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0.xml" ContentType="application/vnd.openxmlformats-officedocument.spreadsheetml.table+xml"/>
  <Override PartName="/xl/slicers/slicer1.xml" ContentType="application/vnd.ms-excel.slicer+xml"/>
  <Override PartName="/xl/tables/table11.xml" ContentType="application/vnd.openxmlformats-officedocument.spreadsheetml.table+xml"/>
  <Override PartName="/xl/pivotTables/pivotTable4.xml" ContentType="application/vnd.openxmlformats-officedocument.spreadsheetml.pivotTable+xml"/>
  <Override PartName="/xl/drawings/drawing2.xml" ContentType="application/vnd.openxmlformats-officedocument.drawing+xml"/>
  <Override PartName="/xl/tables/table12.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6.xml" ContentType="application/vnd.openxmlformats-officedocument.spreadsheetml.table+xml"/>
  <Override PartName="/xl/tables/table17.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8.xml" ContentType="application/vnd.openxmlformats-officedocument.spreadsheetml.table+xml"/>
  <Override PartName="/xl/slicers/slicer4.xml" ContentType="application/vnd.ms-excel.slicer+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67" documentId="8_{D643CB47-3E18-4844-A539-D42A0FB977E5}" xr6:coauthVersionLast="47" xr6:coauthVersionMax="47" xr10:uidLastSave="{CF6801AB-EB92-ED41-9709-0636EB264AA9}"/>
  <bookViews>
    <workbookView xWindow="-108" yWindow="-108" windowWidth="23256" windowHeight="12456" activeTab="9" xr2:uid="{E7D9A63E-D9E8-4997-9BC3-9785CA208C4E}"/>
  </bookViews>
  <sheets>
    <sheet name="Billing" sheetId="9" r:id="rId1"/>
    <sheet name="Balance" sheetId="21" r:id="rId2"/>
    <sheet name="Bill Print" sheetId="19" r:id="rId3"/>
    <sheet name="Expenses" sheetId="8" r:id="rId4"/>
    <sheet name="Profit" sheetId="10" r:id="rId5"/>
    <sheet name="Transport" sheetId="18" r:id="rId6"/>
    <sheet name="ledger" sheetId="1" r:id="rId7"/>
    <sheet name="ledger2" sheetId="20" r:id="rId8"/>
    <sheet name="Wood" sheetId="6" r:id="rId9"/>
    <sheet name="Cashbook" sheetId="17" r:id="rId10"/>
    <sheet name="Dyes" sheetId="7" r:id="rId11"/>
    <sheet name="Finish" sheetId="15" r:id="rId12"/>
    <sheet name="Electricity" sheetId="13" r:id="rId13"/>
    <sheet name="Miscellaneous" sheetId="11" r:id="rId14"/>
    <sheet name="Salary Acc" sheetId="12" r:id="rId15"/>
    <sheet name="pivot " sheetId="2" r:id="rId16"/>
    <sheet name="Running Acc" sheetId="14" r:id="rId17"/>
  </sheet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6" l="1"/>
  <c r="G3" i="6"/>
  <c r="G4" i="6"/>
  <c r="G5" i="6"/>
  <c r="G6" i="6"/>
  <c r="G7" i="6"/>
  <c r="G8" i="6"/>
  <c r="G9" i="6"/>
  <c r="G10" i="6"/>
  <c r="G11" i="6"/>
  <c r="G12" i="6"/>
  <c r="G13" i="6"/>
  <c r="G14" i="6"/>
  <c r="G15" i="6"/>
  <c r="G16" i="6"/>
  <c r="G17" i="6"/>
  <c r="G18" i="6"/>
  <c r="G19" i="6"/>
  <c r="G20" i="6"/>
  <c r="G21" i="6"/>
  <c r="G22" i="6"/>
  <c r="G23" i="6"/>
  <c r="G24" i="6"/>
  <c r="G25" i="6"/>
  <c r="G26" i="6"/>
  <c r="G27" i="6"/>
  <c r="G29" i="6"/>
  <c r="G30" i="6"/>
  <c r="G31" i="6"/>
  <c r="G32" i="6"/>
  <c r="G33" i="6"/>
  <c r="H2" i="6"/>
  <c r="I2" i="6"/>
  <c r="H3" i="6"/>
  <c r="I3" i="6"/>
  <c r="H4" i="6"/>
  <c r="I4" i="6"/>
  <c r="H6" i="6"/>
  <c r="I6" i="6"/>
  <c r="H7" i="6"/>
  <c r="I7" i="6"/>
  <c r="H9" i="6"/>
  <c r="H10" i="6"/>
  <c r="H13" i="6"/>
  <c r="I13" i="6"/>
  <c r="H14" i="6"/>
  <c r="I14" i="6"/>
  <c r="H15" i="6"/>
  <c r="H18" i="6"/>
  <c r="I18" i="6"/>
  <c r="H19" i="6"/>
  <c r="I19" i="6"/>
  <c r="H20" i="6"/>
  <c r="I20" i="6"/>
  <c r="H21" i="6"/>
  <c r="I21" i="6"/>
  <c r="H22" i="6"/>
  <c r="I22" i="6"/>
  <c r="H25" i="6"/>
  <c r="I25" i="6"/>
  <c r="H26" i="6"/>
  <c r="I26" i="6"/>
  <c r="H27" i="6"/>
  <c r="H28" i="6"/>
  <c r="H30" i="6"/>
  <c r="H31" i="6"/>
  <c r="I31" i="6"/>
  <c r="H32" i="6"/>
  <c r="I32" i="6"/>
  <c r="H44" i="9" a="1"/>
  <c r="H44" i="9"/>
  <c r="H45" i="9" a="1"/>
  <c r="H45" i="9"/>
  <c r="H46" i="9" a="1"/>
  <c r="H46" i="9"/>
  <c r="H47" i="9" a="1"/>
  <c r="H47" i="9"/>
  <c r="H48" i="9" a="1"/>
  <c r="H48" i="9"/>
  <c r="H49" i="9" a="1"/>
  <c r="H49" i="9"/>
  <c r="H50" i="9" a="1"/>
  <c r="H50" i="9"/>
  <c r="H51" i="9" a="1"/>
  <c r="H51" i="9"/>
  <c r="H52" i="9" a="1"/>
  <c r="H52" i="9"/>
  <c r="H53" i="9" a="1"/>
  <c r="H53" i="9"/>
  <c r="H54" i="9" a="1"/>
  <c r="H54" i="9"/>
  <c r="G44" i="9" a="1"/>
  <c r="G44" i="9"/>
  <c r="I44" i="9"/>
  <c r="J44" i="9"/>
  <c r="K44" i="9"/>
  <c r="G45" i="9" a="1"/>
  <c r="G45" i="9"/>
  <c r="I45" i="9"/>
  <c r="G46" i="9" a="1"/>
  <c r="G46" i="9"/>
  <c r="G47" i="9" a="1"/>
  <c r="G47" i="9"/>
  <c r="G48" i="9" a="1"/>
  <c r="G48" i="9"/>
  <c r="G49" i="9" a="1"/>
  <c r="G49" i="9"/>
  <c r="I49" i="9"/>
  <c r="J49" i="9"/>
  <c r="K49" i="9"/>
  <c r="G50" i="9" a="1"/>
  <c r="G50" i="9"/>
  <c r="J50" i="9"/>
  <c r="G51" i="9" a="1"/>
  <c r="G51" i="9"/>
  <c r="I51" i="9"/>
  <c r="G52" i="9" a="1"/>
  <c r="G52" i="9"/>
  <c r="I52" i="9"/>
  <c r="J52" i="9"/>
  <c r="K52" i="9"/>
  <c r="G53" i="9" a="1"/>
  <c r="G53" i="9"/>
  <c r="G54" i="9" a="1"/>
  <c r="G54" i="9"/>
  <c r="F44" i="9" a="1"/>
  <c r="F44" i="9"/>
  <c r="F45" i="9" a="1"/>
  <c r="F45" i="9"/>
  <c r="F46" i="9" a="1"/>
  <c r="F46" i="9"/>
  <c r="F47" i="9" a="1"/>
  <c r="F47" i="9"/>
  <c r="F48" i="9" a="1"/>
  <c r="F48" i="9"/>
  <c r="F49" i="9" a="1"/>
  <c r="F49" i="9"/>
  <c r="F50" i="9" a="1"/>
  <c r="F50" i="9"/>
  <c r="F51" i="9" a="1"/>
  <c r="F51" i="9"/>
  <c r="F52" i="9" a="1"/>
  <c r="F52" i="9"/>
  <c r="F53" i="9" a="1"/>
  <c r="F53" i="9"/>
  <c r="F54" i="9" a="1"/>
  <c r="F54" i="9"/>
  <c r="E44" i="9" a="1"/>
  <c r="E44" i="9"/>
  <c r="E45" i="9" a="1"/>
  <c r="E45" i="9"/>
  <c r="E46" i="9" a="1"/>
  <c r="E46" i="9"/>
  <c r="E47" i="9" a="1"/>
  <c r="E47" i="9"/>
  <c r="E48" i="9" a="1"/>
  <c r="E48" i="9"/>
  <c r="E49" i="9" a="1"/>
  <c r="E49" i="9"/>
  <c r="E50" i="9" a="1"/>
  <c r="E50" i="9"/>
  <c r="E51" i="9" a="1"/>
  <c r="E51" i="9"/>
  <c r="E52" i="9" a="1"/>
  <c r="E52" i="9"/>
  <c r="E53" i="9" a="1"/>
  <c r="E53" i="9"/>
  <c r="E54" i="9" a="1"/>
  <c r="E54" i="9"/>
  <c r="D44" i="9" a="1"/>
  <c r="D44" i="9"/>
  <c r="D45" i="9" a="1"/>
  <c r="D45" i="9"/>
  <c r="D46" i="9" a="1"/>
  <c r="D46" i="9"/>
  <c r="D47" i="9" a="1"/>
  <c r="D47" i="9"/>
  <c r="D48" i="9" a="1"/>
  <c r="D48" i="9"/>
  <c r="D49" i="9" a="1"/>
  <c r="D49" i="9"/>
  <c r="D50" i="9" a="1"/>
  <c r="D50" i="9"/>
  <c r="D51" i="9" a="1"/>
  <c r="D51" i="9"/>
  <c r="D52" i="9" a="1"/>
  <c r="D52" i="9"/>
  <c r="D53" i="9" a="1"/>
  <c r="D53" i="9"/>
  <c r="D54" i="9" a="1"/>
  <c r="D54" i="9"/>
  <c r="C44" i="9" a="1"/>
  <c r="C44" i="9"/>
  <c r="C45" i="9" a="1"/>
  <c r="C45" i="9"/>
  <c r="C46" i="9" a="1"/>
  <c r="C46" i="9"/>
  <c r="C47" i="9" a="1"/>
  <c r="C47" i="9"/>
  <c r="C48" i="9" a="1"/>
  <c r="C48" i="9"/>
  <c r="C49" i="9" a="1"/>
  <c r="C49" i="9"/>
  <c r="C50" i="9" a="1"/>
  <c r="C50" i="9"/>
  <c r="C51" i="9" a="1"/>
  <c r="C51" i="9"/>
  <c r="C52" i="9" a="1"/>
  <c r="C52" i="9"/>
  <c r="C53" i="9" a="1"/>
  <c r="C53" i="9"/>
  <c r="C54" i="9" a="1"/>
  <c r="C54" i="9"/>
  <c r="J45" i="9"/>
  <c r="K45" i="9"/>
  <c r="J46" i="9"/>
  <c r="K46" i="9"/>
  <c r="J48" i="9"/>
  <c r="K48" i="9"/>
  <c r="J47" i="9"/>
  <c r="J51" i="9"/>
  <c r="K51" i="9"/>
  <c r="C13" i="12"/>
  <c r="C12" i="12"/>
  <c r="C3" i="12"/>
  <c r="A11" i="21"/>
  <c r="B21" i="9" a="1"/>
  <c r="A10" i="21"/>
  <c r="A8" i="21"/>
  <c r="I69" i="20"/>
  <c r="J69" i="20"/>
  <c r="H69" i="20"/>
  <c r="I68" i="20"/>
  <c r="J68" i="20"/>
  <c r="H68" i="20"/>
  <c r="I67" i="20"/>
  <c r="J67" i="20"/>
  <c r="H67" i="20"/>
  <c r="F67" i="20"/>
  <c r="I66" i="20"/>
  <c r="J66" i="20"/>
  <c r="H66" i="20"/>
  <c r="I65" i="20"/>
  <c r="J65" i="20"/>
  <c r="H65" i="20"/>
  <c r="I64" i="20"/>
  <c r="J64" i="20"/>
  <c r="H64" i="20"/>
  <c r="I63" i="20"/>
  <c r="J63" i="20"/>
  <c r="H63" i="20"/>
  <c r="I62" i="20"/>
  <c r="J62" i="20"/>
  <c r="H62" i="20"/>
  <c r="I61" i="20"/>
  <c r="J61" i="20"/>
  <c r="H61" i="20"/>
  <c r="I60" i="20"/>
  <c r="J60" i="20"/>
  <c r="H60" i="20"/>
  <c r="F60" i="20"/>
  <c r="I59" i="20"/>
  <c r="J59" i="20"/>
  <c r="H59" i="20"/>
  <c r="I58" i="20"/>
  <c r="J58" i="20"/>
  <c r="H58" i="20"/>
  <c r="J57" i="20"/>
  <c r="I57" i="20"/>
  <c r="H57" i="20"/>
  <c r="I56" i="20"/>
  <c r="J56" i="20"/>
  <c r="H56" i="20"/>
  <c r="I55" i="20"/>
  <c r="J55" i="20"/>
  <c r="H55" i="20"/>
  <c r="I54" i="20"/>
  <c r="J54" i="20"/>
  <c r="H54" i="20"/>
  <c r="J53" i="20"/>
  <c r="I53" i="20"/>
  <c r="H53" i="20"/>
  <c r="I52" i="20"/>
  <c r="J52" i="20"/>
  <c r="H52" i="20"/>
  <c r="I51" i="20"/>
  <c r="J51" i="20"/>
  <c r="H51" i="20"/>
  <c r="J50" i="20"/>
  <c r="I50" i="20"/>
  <c r="H50" i="20"/>
  <c r="J49" i="20"/>
  <c r="I49" i="20"/>
  <c r="H49" i="20"/>
  <c r="I48" i="20"/>
  <c r="J48" i="20"/>
  <c r="H48" i="20"/>
  <c r="H47" i="20"/>
  <c r="G47" i="20"/>
  <c r="I47" i="20"/>
  <c r="J47" i="20"/>
  <c r="F47" i="20"/>
  <c r="I46" i="20"/>
  <c r="J46" i="20"/>
  <c r="H46" i="20"/>
  <c r="I45" i="20"/>
  <c r="J45" i="20"/>
  <c r="H45" i="20"/>
  <c r="I44" i="20"/>
  <c r="J44" i="20"/>
  <c r="H44" i="20"/>
  <c r="I43" i="20"/>
  <c r="J43" i="20"/>
  <c r="H43" i="20"/>
  <c r="I42" i="20"/>
  <c r="J42" i="20"/>
  <c r="H42" i="20"/>
  <c r="I41" i="20"/>
  <c r="J41" i="20"/>
  <c r="H41" i="20"/>
  <c r="I40" i="20"/>
  <c r="J40" i="20"/>
  <c r="H40" i="20"/>
  <c r="I39" i="20"/>
  <c r="J39" i="20"/>
  <c r="H39" i="20"/>
  <c r="I38" i="20"/>
  <c r="J38" i="20"/>
  <c r="H38" i="20"/>
  <c r="I37" i="20"/>
  <c r="J37" i="20"/>
  <c r="H37" i="20"/>
  <c r="I36" i="20"/>
  <c r="J36" i="20"/>
  <c r="H36" i="20"/>
  <c r="I35" i="20"/>
  <c r="J35" i="20"/>
  <c r="H35" i="20"/>
  <c r="I34" i="20"/>
  <c r="J34" i="20"/>
  <c r="H34" i="20"/>
  <c r="I33" i="20"/>
  <c r="J33" i="20"/>
  <c r="H33" i="20"/>
  <c r="I32" i="20"/>
  <c r="J32" i="20"/>
  <c r="H32" i="20"/>
  <c r="I31" i="20"/>
  <c r="J31" i="20"/>
  <c r="H31" i="20"/>
  <c r="F31" i="20"/>
  <c r="I30" i="20"/>
  <c r="J30" i="20"/>
  <c r="H30" i="20"/>
  <c r="F30" i="20"/>
  <c r="I29" i="20"/>
  <c r="J29" i="20"/>
  <c r="H29" i="20"/>
  <c r="I28" i="20"/>
  <c r="J28" i="20"/>
  <c r="H28" i="20"/>
  <c r="I27" i="20"/>
  <c r="J27" i="20"/>
  <c r="H27" i="20"/>
  <c r="I26" i="20"/>
  <c r="J26" i="20"/>
  <c r="H26" i="20"/>
  <c r="I25" i="20"/>
  <c r="J25" i="20"/>
  <c r="H25" i="20"/>
  <c r="I24" i="20"/>
  <c r="J24" i="20"/>
  <c r="H24" i="20"/>
  <c r="I23" i="20"/>
  <c r="J23" i="20"/>
  <c r="H23" i="20"/>
  <c r="I22" i="20"/>
  <c r="J22" i="20"/>
  <c r="H22" i="20"/>
  <c r="I21" i="20"/>
  <c r="J21" i="20"/>
  <c r="H21" i="20"/>
  <c r="I20" i="20"/>
  <c r="J20" i="20"/>
  <c r="H20" i="20"/>
  <c r="I19" i="20"/>
  <c r="J19" i="20"/>
  <c r="H19" i="20"/>
  <c r="I18" i="20"/>
  <c r="J18" i="20"/>
  <c r="H18" i="20"/>
  <c r="I17" i="20"/>
  <c r="J17" i="20"/>
  <c r="H17" i="20"/>
  <c r="I16" i="20"/>
  <c r="J16" i="20"/>
  <c r="H16" i="20"/>
  <c r="J15" i="20"/>
  <c r="H15" i="20"/>
  <c r="I14" i="20"/>
  <c r="J14" i="20"/>
  <c r="H14" i="20"/>
  <c r="I13" i="20"/>
  <c r="J13" i="20"/>
  <c r="H13" i="20"/>
  <c r="I12" i="20"/>
  <c r="J12" i="20"/>
  <c r="H12" i="20"/>
  <c r="I11" i="20"/>
  <c r="J11" i="20"/>
  <c r="H11" i="20"/>
  <c r="I10" i="20"/>
  <c r="J10" i="20"/>
  <c r="H10" i="20"/>
  <c r="I9" i="20"/>
  <c r="J9" i="20"/>
  <c r="H9" i="20"/>
  <c r="I8" i="20"/>
  <c r="J8" i="20"/>
  <c r="H8" i="20"/>
  <c r="J7" i="20"/>
  <c r="I7" i="20"/>
  <c r="H7" i="20"/>
  <c r="I6" i="20"/>
  <c r="J6" i="20"/>
  <c r="H6" i="20"/>
  <c r="I5" i="20"/>
  <c r="J5" i="20"/>
  <c r="H5" i="20"/>
  <c r="I4" i="20"/>
  <c r="J4" i="20"/>
  <c r="H4" i="20"/>
  <c r="J3" i="20"/>
  <c r="I3" i="20"/>
  <c r="H3" i="20"/>
  <c r="J2" i="20"/>
  <c r="I2" i="20"/>
  <c r="H2" i="20"/>
  <c r="F47" i="1"/>
  <c r="G47" i="1"/>
  <c r="F67" i="1"/>
  <c r="F60" i="1"/>
  <c r="I2" i="1"/>
  <c r="J2" i="1"/>
  <c r="I3" i="1"/>
  <c r="J3" i="1"/>
  <c r="I4" i="1"/>
  <c r="I42" i="1"/>
  <c r="I43" i="1"/>
  <c r="I44" i="1"/>
  <c r="I53" i="1"/>
  <c r="I5" i="1"/>
  <c r="I6" i="1"/>
  <c r="I7" i="1"/>
  <c r="I8" i="1"/>
  <c r="I9" i="1"/>
  <c r="I10" i="1"/>
  <c r="I11" i="1"/>
  <c r="I12" i="1"/>
  <c r="I13" i="1"/>
  <c r="I14" i="1"/>
  <c r="I16" i="1"/>
  <c r="I17" i="1"/>
  <c r="I18" i="1"/>
  <c r="I19" i="1"/>
  <c r="I20" i="1"/>
  <c r="I21" i="1"/>
  <c r="I22" i="1"/>
  <c r="I23" i="1"/>
  <c r="I24" i="1"/>
  <c r="I25" i="1"/>
  <c r="I26" i="1"/>
  <c r="I27" i="1"/>
  <c r="I28" i="1"/>
  <c r="I29" i="1"/>
  <c r="I30" i="1"/>
  <c r="I31" i="1"/>
  <c r="I32" i="1"/>
  <c r="I33" i="1"/>
  <c r="I34" i="1"/>
  <c r="I35" i="1"/>
  <c r="I36" i="1"/>
  <c r="I37" i="1"/>
  <c r="I38" i="1"/>
  <c r="I39" i="1"/>
  <c r="I40" i="1"/>
  <c r="I41" i="1"/>
  <c r="I45" i="1"/>
  <c r="I46" i="1"/>
  <c r="I47" i="1"/>
  <c r="I48" i="1"/>
  <c r="I49" i="1"/>
  <c r="I50" i="1"/>
  <c r="I51" i="1"/>
  <c r="I52" i="1"/>
  <c r="I54" i="1"/>
  <c r="I55" i="1"/>
  <c r="I56" i="1"/>
  <c r="I57" i="1"/>
  <c r="I58" i="1"/>
  <c r="I59" i="1"/>
  <c r="I60" i="1"/>
  <c r="I61" i="1"/>
  <c r="I62" i="1"/>
  <c r="I63" i="1"/>
  <c r="I64" i="1"/>
  <c r="I65" i="1"/>
  <c r="I66" i="1"/>
  <c r="I67" i="1"/>
  <c r="I68" i="1"/>
  <c r="I69" i="1"/>
  <c r="I70"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F42" i="2"/>
  <c r="E42" i="2"/>
  <c r="G42" i="2"/>
  <c r="F38" i="2"/>
  <c r="E38" i="2"/>
  <c r="G38" i="2"/>
  <c r="F35" i="2"/>
  <c r="E35" i="2"/>
  <c r="G35" i="2"/>
  <c r="F41" i="2"/>
  <c r="E41" i="2"/>
  <c r="G41" i="2"/>
  <c r="F40" i="2"/>
  <c r="E40" i="2"/>
  <c r="G40" i="2"/>
  <c r="F17" i="2"/>
  <c r="E17" i="2"/>
  <c r="G17" i="2"/>
  <c r="F30" i="2"/>
  <c r="E30" i="2"/>
  <c r="G30" i="2"/>
  <c r="F25" i="2"/>
  <c r="E25" i="2"/>
  <c r="G25" i="2"/>
  <c r="F29" i="2"/>
  <c r="E29" i="2"/>
  <c r="G29" i="2"/>
  <c r="F36" i="2"/>
  <c r="E36" i="2"/>
  <c r="G36" i="2"/>
  <c r="F37" i="2"/>
  <c r="E37" i="2"/>
  <c r="G37" i="2"/>
  <c r="F32" i="2"/>
  <c r="E32" i="2"/>
  <c r="G32" i="2"/>
  <c r="F34" i="2"/>
  <c r="E34" i="2"/>
  <c r="G34" i="2"/>
  <c r="F33" i="2"/>
  <c r="E33" i="2"/>
  <c r="G33" i="2"/>
  <c r="F31" i="2"/>
  <c r="E31" i="2"/>
  <c r="G31" i="2"/>
  <c r="F26" i="2"/>
  <c r="E26" i="2"/>
  <c r="G26" i="2"/>
  <c r="F28" i="2"/>
  <c r="E28" i="2"/>
  <c r="G28" i="2"/>
  <c r="F27" i="2"/>
  <c r="E27" i="2"/>
  <c r="G27" i="2"/>
  <c r="F24" i="2"/>
  <c r="E24" i="2"/>
  <c r="G24" i="2"/>
  <c r="F23" i="2"/>
  <c r="E23" i="2"/>
  <c r="G23" i="2"/>
  <c r="F22" i="2"/>
  <c r="E22" i="2"/>
  <c r="G22" i="2"/>
  <c r="F20" i="2"/>
  <c r="E20" i="2"/>
  <c r="G20" i="2"/>
  <c r="F21" i="2"/>
  <c r="E21" i="2"/>
  <c r="G21" i="2"/>
  <c r="F18" i="2"/>
  <c r="E18" i="2"/>
  <c r="G18" i="2"/>
  <c r="F39" i="2"/>
  <c r="E39" i="2"/>
  <c r="G39" i="2"/>
  <c r="F16" i="2"/>
  <c r="E16" i="2"/>
  <c r="G16" i="2"/>
  <c r="F13" i="2"/>
  <c r="E13" i="2"/>
  <c r="G13" i="2"/>
  <c r="F6" i="2"/>
  <c r="E6" i="2"/>
  <c r="G6" i="2"/>
  <c r="F15" i="2"/>
  <c r="E15" i="2"/>
  <c r="G15" i="2"/>
  <c r="F14" i="2"/>
  <c r="E14" i="2"/>
  <c r="G14" i="2"/>
  <c r="F12" i="2"/>
  <c r="E12" i="2"/>
  <c r="G12" i="2"/>
  <c r="F11" i="2"/>
  <c r="E11" i="2"/>
  <c r="G11" i="2"/>
  <c r="F10" i="2"/>
  <c r="E10" i="2"/>
  <c r="G10" i="2"/>
  <c r="F19" i="2"/>
  <c r="E19" i="2"/>
  <c r="G19" i="2"/>
  <c r="F9" i="2"/>
  <c r="E9" i="2"/>
  <c r="G9" i="2"/>
  <c r="F8" i="2"/>
  <c r="E8" i="2"/>
  <c r="G8" i="2"/>
  <c r="F7" i="2"/>
  <c r="E7" i="2"/>
  <c r="G7" i="2"/>
  <c r="F4" i="2"/>
  <c r="E4" i="2"/>
  <c r="G4" i="2"/>
  <c r="F5" i="2"/>
  <c r="E5" i="2"/>
  <c r="G5" i="2"/>
  <c r="I12" i="12"/>
  <c r="H69" i="1"/>
  <c r="I30" i="6"/>
  <c r="I29" i="6"/>
  <c r="I5" i="6"/>
  <c r="I8" i="6"/>
  <c r="I9" i="6"/>
  <c r="I10" i="6"/>
  <c r="I11" i="6"/>
  <c r="I12" i="6"/>
  <c r="I15" i="6"/>
  <c r="I16" i="6"/>
  <c r="I17" i="6"/>
  <c r="I23" i="6"/>
  <c r="I24" i="6"/>
  <c r="I27" i="6"/>
  <c r="I28" i="6"/>
  <c r="C19" i="8"/>
  <c r="H17" i="7"/>
  <c r="D16" i="14"/>
  <c r="J18" i="14"/>
  <c r="J19" i="14"/>
  <c r="J20" i="14"/>
  <c r="G18" i="15"/>
  <c r="H18" i="15"/>
  <c r="H19" i="15"/>
  <c r="H20" i="15"/>
  <c r="H21" i="15"/>
  <c r="H22" i="15"/>
  <c r="D193" i="17"/>
  <c r="C190" i="17"/>
  <c r="H34" i="2"/>
  <c r="I34" i="2"/>
  <c r="D34" i="2"/>
  <c r="H35" i="2"/>
  <c r="I35" i="2"/>
  <c r="D35" i="2"/>
  <c r="H55" i="1"/>
  <c r="B2" i="2"/>
  <c r="H39" i="2"/>
  <c r="I39" i="2"/>
  <c r="D39" i="2"/>
  <c r="H64" i="1"/>
  <c r="H41" i="2"/>
  <c r="I41" i="2"/>
  <c r="D41" i="2"/>
  <c r="E43" i="2"/>
  <c r="F43" i="2"/>
  <c r="G43" i="2"/>
  <c r="H43" i="2"/>
  <c r="I43" i="2"/>
  <c r="D43" i="2"/>
  <c r="E44" i="2"/>
  <c r="F44" i="2"/>
  <c r="G44" i="2"/>
  <c r="E45" i="2"/>
  <c r="F45" i="2"/>
  <c r="G45" i="2"/>
  <c r="H45" i="2"/>
  <c r="I45" i="2"/>
  <c r="D45" i="2"/>
  <c r="E46" i="2"/>
  <c r="F46" i="2"/>
  <c r="G46" i="2"/>
  <c r="H46" i="2"/>
  <c r="I46" i="2"/>
  <c r="D46" i="2"/>
  <c r="H38" i="2"/>
  <c r="I38" i="2"/>
  <c r="D38" i="2"/>
  <c r="I11" i="12"/>
  <c r="C10" i="12"/>
  <c r="C9" i="12"/>
  <c r="C153" i="17"/>
  <c r="G17" i="15"/>
  <c r="H17" i="15"/>
  <c r="C93" i="17"/>
  <c r="G14" i="15"/>
  <c r="H14" i="15"/>
  <c r="F11" i="15"/>
  <c r="F16" i="15"/>
  <c r="F13" i="15"/>
  <c r="F12" i="15"/>
  <c r="E4" i="7"/>
  <c r="H4" i="7"/>
  <c r="E5" i="7"/>
  <c r="E6" i="7"/>
  <c r="H6" i="7"/>
  <c r="E7" i="7"/>
  <c r="E8" i="7"/>
  <c r="E9" i="7"/>
  <c r="H9" i="7"/>
  <c r="E10" i="7"/>
  <c r="H10" i="7"/>
  <c r="E11" i="7"/>
  <c r="H11" i="7"/>
  <c r="E12" i="7"/>
  <c r="H12" i="7"/>
  <c r="E13" i="7"/>
  <c r="H13" i="7"/>
  <c r="E14" i="7"/>
  <c r="E18" i="7"/>
  <c r="C7" i="8"/>
  <c r="C4" i="12"/>
  <c r="C5" i="12"/>
  <c r="C6" i="12"/>
  <c r="C7" i="12"/>
  <c r="C8" i="12"/>
  <c r="C11" i="12"/>
  <c r="I3" i="12"/>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3" i="14"/>
  <c r="J4" i="14"/>
  <c r="J5" i="14"/>
  <c r="J6" i="14"/>
  <c r="J7" i="14"/>
  <c r="J8" i="14"/>
  <c r="J9" i="14"/>
  <c r="J10" i="14"/>
  <c r="J11" i="14"/>
  <c r="J12" i="14"/>
  <c r="J13" i="14"/>
  <c r="J14" i="14"/>
  <c r="J15" i="14"/>
  <c r="J16" i="14"/>
  <c r="J17" i="14"/>
  <c r="G15" i="15"/>
  <c r="H15" i="15"/>
  <c r="H15" i="7"/>
  <c r="H16" i="7"/>
  <c r="G16" i="15"/>
  <c r="H16" i="15"/>
  <c r="G5" i="15"/>
  <c r="G6" i="15"/>
  <c r="H6" i="15"/>
  <c r="G7" i="15"/>
  <c r="H7" i="15"/>
  <c r="G8" i="15"/>
  <c r="F8" i="15"/>
  <c r="H8" i="15"/>
  <c r="G9" i="15"/>
  <c r="H9" i="15"/>
  <c r="G10" i="15"/>
  <c r="H10" i="15"/>
  <c r="G11" i="15"/>
  <c r="H11" i="15"/>
  <c r="G12" i="15"/>
  <c r="H12" i="15"/>
  <c r="G13" i="15"/>
  <c r="H13" i="15"/>
  <c r="J30" i="9"/>
  <c r="B11" i="21"/>
  <c r="J31" i="9"/>
  <c r="K31" i="9"/>
  <c r="J32" i="9"/>
  <c r="K32" i="9"/>
  <c r="J33" i="9"/>
  <c r="K33" i="9"/>
  <c r="I30" i="9"/>
  <c r="I31" i="9"/>
  <c r="I32" i="9"/>
  <c r="I33" i="9"/>
  <c r="R11" i="17"/>
  <c r="J4" i="19" a="1"/>
  <c r="J4" i="19"/>
  <c r="E8" i="18"/>
  <c r="E3" i="18"/>
  <c r="E4" i="18"/>
  <c r="E5" i="18"/>
  <c r="E6" i="18"/>
  <c r="E7" i="18"/>
  <c r="E9" i="18"/>
  <c r="E10" i="18"/>
  <c r="E11" i="18"/>
  <c r="E12" i="18"/>
  <c r="E13" i="18"/>
  <c r="E14" i="18"/>
  <c r="E15" i="18"/>
  <c r="E16" i="18"/>
  <c r="E17" i="18"/>
  <c r="E18" i="18"/>
  <c r="E19" i="18"/>
  <c r="E20" i="18"/>
  <c r="H27" i="1"/>
  <c r="H29" i="1"/>
  <c r="H23" i="2"/>
  <c r="I23" i="2"/>
  <c r="D23" i="2"/>
  <c r="H24" i="2"/>
  <c r="I24" i="2"/>
  <c r="D24" i="2"/>
  <c r="H25" i="2"/>
  <c r="I25" i="2"/>
  <c r="D25" i="2"/>
  <c r="H26" i="2"/>
  <c r="I26" i="2"/>
  <c r="D26" i="2"/>
  <c r="H27" i="2"/>
  <c r="I27" i="2"/>
  <c r="D27" i="2"/>
  <c r="H28" i="2"/>
  <c r="I28" i="2"/>
  <c r="D28" i="2"/>
  <c r="H30" i="2"/>
  <c r="I30" i="2"/>
  <c r="D30" i="2"/>
  <c r="H45" i="1"/>
  <c r="H32" i="2"/>
  <c r="I32" i="2"/>
  <c r="D32" i="2"/>
  <c r="H30" i="1"/>
  <c r="R9" i="17"/>
  <c r="H20" i="2"/>
  <c r="I20" i="2"/>
  <c r="D20" i="2"/>
  <c r="F31" i="1"/>
  <c r="F30" i="1"/>
  <c r="G14" i="7"/>
  <c r="F23" i="15"/>
  <c r="H25" i="1"/>
  <c r="H3" i="1"/>
  <c r="H19" i="1"/>
  <c r="H21" i="1"/>
  <c r="H13" i="2"/>
  <c r="I13" i="2"/>
  <c r="D13" i="2"/>
  <c r="H14" i="2"/>
  <c r="I14" i="2"/>
  <c r="D14" i="2"/>
  <c r="H16" i="2"/>
  <c r="I16" i="2"/>
  <c r="D16" i="2"/>
  <c r="H17" i="2"/>
  <c r="I17" i="2"/>
  <c r="D17" i="2"/>
  <c r="H18" i="2"/>
  <c r="I18" i="2"/>
  <c r="D18" i="2"/>
  <c r="H19" i="2"/>
  <c r="I19" i="2"/>
  <c r="D19" i="2"/>
  <c r="H5" i="15"/>
  <c r="G3" i="7"/>
  <c r="H3" i="7"/>
  <c r="G2" i="7"/>
  <c r="H2" i="7"/>
  <c r="H5" i="7"/>
  <c r="H7" i="7"/>
  <c r="H8" i="7"/>
  <c r="C8" i="8"/>
  <c r="H11" i="2"/>
  <c r="I11" i="2"/>
  <c r="H10" i="2"/>
  <c r="I10" i="2"/>
  <c r="D10" i="2"/>
  <c r="H8" i="2"/>
  <c r="I8" i="2"/>
  <c r="D8" i="2"/>
  <c r="H9" i="1"/>
  <c r="N3" i="7"/>
  <c r="E6" i="11"/>
  <c r="D6" i="11"/>
  <c r="H12" i="2"/>
  <c r="I12" i="2"/>
  <c r="D12" i="2"/>
  <c r="H5" i="2"/>
  <c r="I5" i="2"/>
  <c r="D5" i="2"/>
  <c r="N5" i="7"/>
  <c r="F3" i="2"/>
  <c r="H4" i="1"/>
  <c r="D202" i="17"/>
  <c r="O10" i="17"/>
  <c r="H33" i="2"/>
  <c r="I33" i="2"/>
  <c r="D33" i="2"/>
  <c r="H9" i="2"/>
  <c r="I9" i="2"/>
  <c r="D9" i="2"/>
  <c r="H24" i="1"/>
  <c r="H15" i="1"/>
  <c r="H10" i="1"/>
  <c r="H29" i="2"/>
  <c r="I29" i="2"/>
  <c r="D29" i="2"/>
  <c r="H67" i="1"/>
  <c r="H44" i="1"/>
  <c r="H53" i="1"/>
  <c r="H2" i="1"/>
  <c r="H8" i="1"/>
  <c r="H40" i="2"/>
  <c r="I40" i="2"/>
  <c r="D40" i="2"/>
  <c r="H6" i="2"/>
  <c r="I6" i="2"/>
  <c r="D6" i="2"/>
  <c r="H22" i="2"/>
  <c r="I22" i="2"/>
  <c r="D22" i="2"/>
  <c r="H34" i="1"/>
  <c r="H36" i="1"/>
  <c r="H47" i="1"/>
  <c r="H37" i="2"/>
  <c r="I37" i="2"/>
  <c r="D37" i="2"/>
  <c r="H7" i="1"/>
  <c r="H4" i="2"/>
  <c r="I4" i="2"/>
  <c r="D4" i="2"/>
  <c r="H68" i="1"/>
  <c r="H36" i="2"/>
  <c r="I36" i="2"/>
  <c r="D36" i="2"/>
  <c r="H31" i="1"/>
  <c r="H59" i="1"/>
  <c r="H35" i="1"/>
  <c r="H23" i="1"/>
  <c r="H60" i="1"/>
  <c r="H18" i="1"/>
  <c r="H7" i="2"/>
  <c r="I7" i="2"/>
  <c r="D7" i="2"/>
  <c r="H11" i="1"/>
  <c r="H20" i="1"/>
  <c r="H40" i="1"/>
  <c r="H21" i="2"/>
  <c r="I21" i="2"/>
  <c r="D21" i="2"/>
  <c r="H5" i="1"/>
  <c r="H6" i="1"/>
  <c r="H26" i="1"/>
  <c r="H28" i="1"/>
  <c r="H62" i="1"/>
  <c r="H61" i="1"/>
  <c r="H50" i="1"/>
  <c r="H56" i="1"/>
  <c r="H54" i="1"/>
  <c r="H46" i="1"/>
  <c r="H52" i="1"/>
  <c r="H66" i="1"/>
  <c r="H49" i="1"/>
  <c r="H63" i="1"/>
  <c r="H41" i="1"/>
  <c r="H65" i="1"/>
  <c r="H13" i="1"/>
  <c r="H15" i="2"/>
  <c r="I15" i="2"/>
  <c r="D15" i="2"/>
  <c r="H31" i="2"/>
  <c r="I31" i="2"/>
  <c r="D31" i="2"/>
  <c r="H14" i="1"/>
  <c r="H17" i="1"/>
  <c r="H22" i="1"/>
  <c r="H16" i="1"/>
  <c r="H12" i="1"/>
  <c r="H44" i="2"/>
  <c r="I44" i="2"/>
  <c r="D44" i="2"/>
  <c r="H42" i="2"/>
  <c r="I42" i="2"/>
  <c r="D42" i="2"/>
  <c r="H39" i="1"/>
  <c r="H33" i="1"/>
  <c r="H38" i="1"/>
  <c r="H37" i="1"/>
  <c r="H57" i="1"/>
  <c r="H43" i="1"/>
  <c r="H32" i="1"/>
  <c r="H42" i="1"/>
  <c r="H58" i="1"/>
  <c r="H48" i="1"/>
  <c r="H51" i="1"/>
  <c r="C6" i="8"/>
  <c r="C5" i="8"/>
  <c r="A6" i="21"/>
  <c r="B10" i="9"/>
  <c r="E10" i="9"/>
  <c r="C4" i="8"/>
  <c r="I70" i="20"/>
  <c r="R10" i="17"/>
  <c r="C16" i="10"/>
  <c r="C12" i="10"/>
  <c r="C202" i="17"/>
  <c r="F202" i="17"/>
  <c r="O9" i="17"/>
  <c r="O11" i="17"/>
  <c r="K70" i="20"/>
  <c r="J70" i="20"/>
  <c r="G27" i="9" a="1"/>
  <c r="G27" i="9"/>
  <c r="A3" i="21"/>
  <c r="J28" i="9"/>
  <c r="B9" i="21"/>
  <c r="J38" i="1"/>
  <c r="B21" i="9"/>
  <c r="J21" i="9"/>
  <c r="K21" i="9"/>
  <c r="B2" i="21"/>
  <c r="J29" i="9"/>
  <c r="B10" i="21"/>
  <c r="C12" i="19" a="1"/>
  <c r="C12" i="19"/>
  <c r="I50" i="9"/>
  <c r="I47" i="9"/>
  <c r="K47" i="9"/>
  <c r="I48" i="9"/>
  <c r="I46" i="9"/>
  <c r="H21" i="9" a="1"/>
  <c r="H21" i="9"/>
  <c r="B6" i="9"/>
  <c r="B11" i="9"/>
  <c r="C14" i="19" a="1"/>
  <c r="C14" i="19"/>
  <c r="A7" i="21"/>
  <c r="G23" i="9" a="1"/>
  <c r="G23" i="9"/>
  <c r="A2" i="21"/>
  <c r="J27" i="9"/>
  <c r="B8" i="21"/>
  <c r="B8" i="9"/>
  <c r="G26" i="9" a="1"/>
  <c r="G26" i="9"/>
  <c r="F21" i="9" a="1"/>
  <c r="F21" i="9"/>
  <c r="D14" i="19" a="1"/>
  <c r="D14" i="19"/>
  <c r="J26" i="9"/>
  <c r="K26" i="9"/>
  <c r="B5" i="9"/>
  <c r="C10" i="9"/>
  <c r="J4" i="1"/>
  <c r="K70" i="1"/>
  <c r="G21" i="9" a="1"/>
  <c r="G21" i="9"/>
  <c r="A4" i="21"/>
  <c r="J23" i="9"/>
  <c r="K23" i="9"/>
  <c r="G24" i="9" a="1"/>
  <c r="G24" i="9"/>
  <c r="G28" i="9" a="1"/>
  <c r="G28" i="9"/>
  <c r="J25" i="9"/>
  <c r="B6" i="21"/>
  <c r="D21" i="9" a="1"/>
  <c r="D21" i="9"/>
  <c r="D10" i="19" a="1"/>
  <c r="D10" i="19"/>
  <c r="A9" i="21"/>
  <c r="A5" i="21"/>
  <c r="B9" i="9"/>
  <c r="B4" i="9"/>
  <c r="J70" i="1"/>
  <c r="J22" i="9"/>
  <c r="K22" i="9"/>
  <c r="G22" i="9" a="1"/>
  <c r="G22" i="9"/>
  <c r="I22" i="9"/>
  <c r="J24" i="9"/>
  <c r="B5" i="21"/>
  <c r="B7" i="9"/>
  <c r="G29" i="9" a="1"/>
  <c r="G29" i="9"/>
  <c r="I29" i="9"/>
  <c r="C21" i="9" a="1"/>
  <c r="C21" i="9"/>
  <c r="D8" i="19" a="1"/>
  <c r="D8" i="19"/>
  <c r="E21" i="9" a="1"/>
  <c r="E21" i="9"/>
  <c r="D12" i="19" a="1"/>
  <c r="D12" i="19"/>
  <c r="G25" i="9" a="1"/>
  <c r="G25" i="9"/>
  <c r="K50" i="9"/>
  <c r="E4" i="9"/>
  <c r="C4" i="9"/>
  <c r="I25" i="9"/>
  <c r="E9" i="9" a="1"/>
  <c r="E9" i="9"/>
  <c r="C9" i="9"/>
  <c r="C11" i="9"/>
  <c r="E11" i="9"/>
  <c r="C5" i="9"/>
  <c r="E5" i="9"/>
  <c r="I26" i="9"/>
  <c r="E7" i="9"/>
  <c r="C7" i="9"/>
  <c r="I28" i="9"/>
  <c r="C8" i="9"/>
  <c r="E8" i="9"/>
  <c r="I24" i="9"/>
  <c r="K24" i="9"/>
  <c r="I27" i="9"/>
  <c r="I21" i="9"/>
  <c r="C16" i="9"/>
  <c r="C6" i="9"/>
  <c r="E6" i="9"/>
  <c r="I23" i="9"/>
  <c r="D16" i="19" a="1"/>
  <c r="D16" i="19"/>
  <c r="C18" i="9"/>
  <c r="C3" i="10"/>
  <c r="C2" i="2"/>
  <c r="K30" i="9"/>
  <c r="D17" i="14"/>
  <c r="C10" i="8"/>
  <c r="J21" i="14"/>
  <c r="C12" i="8"/>
  <c r="B4" i="21"/>
  <c r="D21" i="18"/>
  <c r="C11" i="8"/>
  <c r="C14" i="12"/>
  <c r="H33" i="6"/>
  <c r="R12" i="17"/>
  <c r="C19" i="10"/>
  <c r="E21" i="18"/>
  <c r="I13" i="12"/>
  <c r="C9" i="8"/>
  <c r="D18" i="19" a="1"/>
  <c r="D18" i="19"/>
  <c r="F21" i="18"/>
  <c r="I33" i="6"/>
  <c r="H23" i="15"/>
  <c r="K25" i="9"/>
  <c r="D20" i="19" a="1"/>
  <c r="D20" i="19"/>
  <c r="K29" i="9"/>
  <c r="K28" i="9"/>
  <c r="H14" i="7"/>
  <c r="B7" i="21"/>
  <c r="G23" i="15"/>
  <c r="B3" i="21"/>
  <c r="K27" i="9"/>
  <c r="D2" i="2"/>
  <c r="C11" i="10"/>
  <c r="C13" i="10"/>
  <c r="C14" i="8"/>
  <c r="C4" i="10"/>
  <c r="C15" i="10"/>
  <c r="C17" i="10"/>
  <c r="C5" i="10"/>
  <c r="F21" i="10"/>
  <c r="C2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<sst xmlns="http://schemas.openxmlformats.org/spreadsheetml/2006/main" count="1279" uniqueCount="258">
  <si>
    <t>Billing</t>
  </si>
  <si>
    <t>Party Name</t>
  </si>
  <si>
    <t>Tiyaar</t>
  </si>
  <si>
    <t>Rate</t>
  </si>
  <si>
    <t>Total</t>
  </si>
  <si>
    <t>Row Labels</t>
  </si>
  <si>
    <t>Sum of Tiyaar</t>
  </si>
  <si>
    <t>Sum of Total</t>
  </si>
  <si>
    <t>Gaz</t>
  </si>
  <si>
    <t>Adjusted Bill</t>
  </si>
  <si>
    <t>Amount Paid</t>
  </si>
  <si>
    <t>Balance</t>
  </si>
  <si>
    <t>Arshad</t>
  </si>
  <si>
    <t>Parties:</t>
  </si>
  <si>
    <t>BSC</t>
  </si>
  <si>
    <t>Ejaz Sahab</t>
  </si>
  <si>
    <t>Shehzad Kamoki</t>
  </si>
  <si>
    <t>Sufi Nawaz Sahab</t>
  </si>
  <si>
    <t>Grand Total</t>
  </si>
  <si>
    <t>Total:</t>
  </si>
  <si>
    <t>(Real Figure)</t>
  </si>
  <si>
    <t>Date</t>
  </si>
  <si>
    <t>Party</t>
  </si>
  <si>
    <t>Debit</t>
  </si>
  <si>
    <t>Credit</t>
  </si>
  <si>
    <t>Description</t>
  </si>
  <si>
    <t>Bank</t>
  </si>
  <si>
    <t>Sum of Debit</t>
  </si>
  <si>
    <t>Sum of Credit</t>
  </si>
  <si>
    <t>chemicals</t>
  </si>
  <si>
    <t>Chemicals</t>
  </si>
  <si>
    <t>Malik Zaheer</t>
  </si>
  <si>
    <t>starch</t>
  </si>
  <si>
    <t>Salary</t>
  </si>
  <si>
    <t>Finish</t>
  </si>
  <si>
    <t>Transport</t>
  </si>
  <si>
    <t>self</t>
  </si>
  <si>
    <t>misc</t>
  </si>
  <si>
    <t>wood</t>
  </si>
  <si>
    <t>Rashan</t>
  </si>
  <si>
    <t>Parts</t>
  </si>
  <si>
    <t>Khalid sahab</t>
  </si>
  <si>
    <t>LPG</t>
  </si>
  <si>
    <t>salary haseen</t>
  </si>
  <si>
    <t>haseen</t>
  </si>
  <si>
    <t>bill #670</t>
  </si>
  <si>
    <t>Bank charges</t>
  </si>
  <si>
    <t>billing</t>
  </si>
  <si>
    <t>adil</t>
  </si>
  <si>
    <t>Misc</t>
  </si>
  <si>
    <t>package</t>
  </si>
  <si>
    <t>Atta</t>
  </si>
  <si>
    <t>parts</t>
  </si>
  <si>
    <t>parts+petrol</t>
  </si>
  <si>
    <t>Expenses</t>
  </si>
  <si>
    <t>Type</t>
  </si>
  <si>
    <t>Amount</t>
  </si>
  <si>
    <t>Wood</t>
  </si>
  <si>
    <t>Dyes/Chemical</t>
  </si>
  <si>
    <t xml:space="preserve">Finish </t>
  </si>
  <si>
    <t>Electricity</t>
  </si>
  <si>
    <t>Running Acc</t>
  </si>
  <si>
    <t>Column1</t>
  </si>
  <si>
    <t>Column2</t>
  </si>
  <si>
    <t>Profit</t>
  </si>
  <si>
    <t>raksha</t>
  </si>
  <si>
    <t>Bill Number</t>
  </si>
  <si>
    <t>Quality</t>
  </si>
  <si>
    <t>Shipment Number</t>
  </si>
  <si>
    <t>Kora/metre</t>
  </si>
  <si>
    <t>Tiyaar/gaz</t>
  </si>
  <si>
    <t>shortage %</t>
  </si>
  <si>
    <t>tiyar/meters</t>
  </si>
  <si>
    <t>(All)</t>
  </si>
  <si>
    <t>chamki</t>
  </si>
  <si>
    <t>1601-a</t>
  </si>
  <si>
    <t>Sum of Tiyaar/gaz</t>
  </si>
  <si>
    <t>Sum of tiyar/meters</t>
  </si>
  <si>
    <t>Sum of billing</t>
  </si>
  <si>
    <t>RD</t>
  </si>
  <si>
    <t>-</t>
  </si>
  <si>
    <t>Vehicle Number</t>
  </si>
  <si>
    <t>Weight</t>
  </si>
  <si>
    <t>Rent</t>
  </si>
  <si>
    <t>total</t>
  </si>
  <si>
    <t>Paid</t>
  </si>
  <si>
    <t>balance</t>
  </si>
  <si>
    <t>Aqib</t>
  </si>
  <si>
    <t>was 242 changed to 240</t>
  </si>
  <si>
    <t>Gari #</t>
  </si>
  <si>
    <t>Sum of Weight</t>
  </si>
  <si>
    <t>Sum of total</t>
  </si>
  <si>
    <t>Sum of Paid</t>
  </si>
  <si>
    <t>Sum of balance</t>
  </si>
  <si>
    <t>(blank)</t>
  </si>
  <si>
    <t>Chemical Name</t>
  </si>
  <si>
    <t>Boxes</t>
  </si>
  <si>
    <t>Price</t>
  </si>
  <si>
    <t>Black</t>
  </si>
  <si>
    <t>Blue</t>
  </si>
  <si>
    <t>UniColour</t>
  </si>
  <si>
    <t>Yellow 4G</t>
  </si>
  <si>
    <t>Scarlet B</t>
  </si>
  <si>
    <t>Rubine B</t>
  </si>
  <si>
    <t>Red F3BS</t>
  </si>
  <si>
    <t>Sum of Price</t>
  </si>
  <si>
    <t>Sum of Balance</t>
  </si>
  <si>
    <t>Violet 3R</t>
  </si>
  <si>
    <t>Violet 5R</t>
  </si>
  <si>
    <t>Blue GSL</t>
  </si>
  <si>
    <t>Yellow 10GF</t>
  </si>
  <si>
    <t>Quantity</t>
  </si>
  <si>
    <t>Starch</t>
  </si>
  <si>
    <t>Faysal Akraam</t>
  </si>
  <si>
    <t>PVA</t>
  </si>
  <si>
    <t>Bill number</t>
  </si>
  <si>
    <t>Units</t>
  </si>
  <si>
    <t>july-aug</t>
  </si>
  <si>
    <t>bsc etc</t>
  </si>
  <si>
    <t>Khalid Sahab</t>
  </si>
  <si>
    <t>Shipment number</t>
  </si>
  <si>
    <t>Max of Kora/metre</t>
  </si>
  <si>
    <t>cost</t>
  </si>
  <si>
    <t>Max of Kora/gaz</t>
  </si>
  <si>
    <t>Tiyar/metre</t>
  </si>
  <si>
    <t>Cost</t>
  </si>
  <si>
    <t>info</t>
  </si>
  <si>
    <t>disp pwdr etc</t>
  </si>
  <si>
    <t>Advance Salary</t>
  </si>
  <si>
    <t>Master Zulfiqar</t>
  </si>
  <si>
    <t>Advance</t>
  </si>
  <si>
    <t>Person</t>
  </si>
  <si>
    <t>Billing (Super Chamki)</t>
  </si>
  <si>
    <t>Rate (Chamki)</t>
  </si>
  <si>
    <t>Master Arshad</t>
  </si>
  <si>
    <t>Toll tax</t>
  </si>
  <si>
    <t>shahzore</t>
  </si>
  <si>
    <t>Challan</t>
  </si>
  <si>
    <t>Qadeer Driver</t>
  </si>
  <si>
    <t>Self</t>
  </si>
  <si>
    <t>110 Khalid sahab 50 self</t>
  </si>
  <si>
    <t>Cash</t>
  </si>
  <si>
    <t>Petrol</t>
  </si>
  <si>
    <t>Mode</t>
  </si>
  <si>
    <t>Master Sajid</t>
  </si>
  <si>
    <t>Transfer</t>
  </si>
  <si>
    <t>Bank Withdrawal</t>
  </si>
  <si>
    <t>Total Balance</t>
  </si>
  <si>
    <t>amount</t>
  </si>
  <si>
    <t>Withdrawal</t>
  </si>
  <si>
    <t>1450+490</t>
  </si>
  <si>
    <t>rent</t>
  </si>
  <si>
    <t>Farman</t>
  </si>
  <si>
    <t>engine oil</t>
  </si>
  <si>
    <t>dori</t>
  </si>
  <si>
    <t>kharcha</t>
  </si>
  <si>
    <t>Plumber</t>
  </si>
  <si>
    <t>Pins, Brush</t>
  </si>
  <si>
    <t>Diesel|Generator| 28/7/25</t>
  </si>
  <si>
    <t>spray||450 + 110 Khalid sb</t>
  </si>
  <si>
    <t>silky</t>
  </si>
  <si>
    <t>Diff</t>
  </si>
  <si>
    <t>petrol</t>
  </si>
  <si>
    <t>SGE 681</t>
  </si>
  <si>
    <t>withdrawal</t>
  </si>
  <si>
    <t>Billing balance</t>
  </si>
  <si>
    <t>Exp Balance</t>
  </si>
  <si>
    <t>Difference</t>
  </si>
  <si>
    <t>Ejaz (finish operator)</t>
  </si>
  <si>
    <t xml:space="preserve">Farman </t>
  </si>
  <si>
    <t>Unloading</t>
  </si>
  <si>
    <t>E 3229</t>
  </si>
  <si>
    <t>Diesel|Generator| 9/8/25</t>
  </si>
  <si>
    <t>Item</t>
  </si>
  <si>
    <t>Petrol+starch</t>
  </si>
  <si>
    <t>Gazana/meters</t>
  </si>
  <si>
    <t>Total Billing</t>
  </si>
  <si>
    <t>Total Gazana/gaz</t>
  </si>
  <si>
    <t>Total Paid</t>
  </si>
  <si>
    <t>Total Metres</t>
  </si>
  <si>
    <t>Total Chamki</t>
  </si>
  <si>
    <t>Total Super Silky</t>
  </si>
  <si>
    <t>Rate (Super Silky)</t>
  </si>
  <si>
    <t>Total Super Silky/meters</t>
  </si>
  <si>
    <t>#</t>
  </si>
  <si>
    <t>Party Names:</t>
  </si>
  <si>
    <t>Master Tanveer</t>
  </si>
  <si>
    <t>TKA 303</t>
  </si>
  <si>
    <t>workshop</t>
  </si>
  <si>
    <t>LPG//workshop</t>
  </si>
  <si>
    <t>Cash in hand</t>
  </si>
  <si>
    <t>Total influx</t>
  </si>
  <si>
    <t>(Counting 10.5 for kamoki)</t>
  </si>
  <si>
    <t>(considering 10.5)</t>
  </si>
  <si>
    <t>Les 5963</t>
  </si>
  <si>
    <t>Les 1671</t>
  </si>
  <si>
    <t>Orange H3R</t>
  </si>
  <si>
    <t>NP9</t>
  </si>
  <si>
    <t>Chain</t>
  </si>
  <si>
    <t>Bottle (Farman)</t>
  </si>
  <si>
    <t>(4500 credit//4000 optix bill)</t>
  </si>
  <si>
    <t>Sajad Khan</t>
  </si>
  <si>
    <t>Raaz Fabrics</t>
  </si>
  <si>
    <t>Billing (Chamki/Crinkle)</t>
  </si>
  <si>
    <t>Crinkle</t>
  </si>
  <si>
    <t>Total Chamki-crinkle/meters</t>
  </si>
  <si>
    <t>dasti</t>
  </si>
  <si>
    <t>SGD 6691</t>
  </si>
  <si>
    <t>bajwa</t>
  </si>
  <si>
    <t>oil change</t>
  </si>
  <si>
    <t>cash</t>
  </si>
  <si>
    <t xml:space="preserve">Tanveer old </t>
  </si>
  <si>
    <t>mithai (bore)</t>
  </si>
  <si>
    <t>farman//parts</t>
  </si>
  <si>
    <t>bank</t>
  </si>
  <si>
    <t>Omer</t>
  </si>
  <si>
    <t xml:space="preserve">bore </t>
  </si>
  <si>
    <t>bore</t>
  </si>
  <si>
    <t>naeem</t>
  </si>
  <si>
    <t>Hafiz Qureshi</t>
  </si>
  <si>
    <t>Rent (RIR 1055)</t>
  </si>
  <si>
    <t>LWC 1972</t>
  </si>
  <si>
    <t>Bore</t>
  </si>
  <si>
    <t>5 pheray (container to factory)</t>
  </si>
  <si>
    <t>plumber//bore</t>
  </si>
  <si>
    <t>package//farman</t>
  </si>
  <si>
    <t>70k returned</t>
  </si>
  <si>
    <t>Ishtiyaq</t>
  </si>
  <si>
    <t>Farman parts detail</t>
  </si>
  <si>
    <t>Aqib Freight</t>
  </si>
  <si>
    <t>Dyes</t>
  </si>
  <si>
    <t>shoppers</t>
  </si>
  <si>
    <t>wood unloading</t>
  </si>
  <si>
    <t>JT 8395</t>
  </si>
  <si>
    <t>cleaning (sand)</t>
  </si>
  <si>
    <t>unloading</t>
  </si>
  <si>
    <t>Sajid Khan</t>
  </si>
  <si>
    <t>Master Tanver, Master Sajid</t>
  </si>
  <si>
    <t>(Unloading)</t>
  </si>
  <si>
    <t>LPG//engine oil</t>
  </si>
  <si>
    <t>My share:</t>
  </si>
  <si>
    <t>Toll</t>
  </si>
  <si>
    <t>1613-BSC</t>
  </si>
  <si>
    <t>10 bag starch 16/8/25 not included</t>
  </si>
  <si>
    <t>Stock</t>
  </si>
  <si>
    <t>Pva</t>
  </si>
  <si>
    <t>80k Bore not included (16/8/25)</t>
  </si>
  <si>
    <t>Nil</t>
  </si>
  <si>
    <t>mann</t>
  </si>
  <si>
    <t>Kg</t>
  </si>
  <si>
    <t>Column3</t>
  </si>
  <si>
    <t>quantity</t>
  </si>
  <si>
    <t>Stock (for next 15th)</t>
  </si>
  <si>
    <t>(Dyes 16/8/25 not included)</t>
  </si>
  <si>
    <t>Razzaq sb</t>
  </si>
  <si>
    <t>(388/236/100/288 not included)</t>
  </si>
  <si>
    <t>Ashfaq Sahab</t>
  </si>
  <si>
    <t>50k Ashfaq Sahab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</si>
</sst>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79998168889431442"/>
        <bgColor theme="4" tint="0.79998168889431442"/>
      </patternFill>
    </fill>
    <fill>
      <patternFill patternType="solid">
        <fgColor rgb="FFFF0000"/>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6" fillId="0" borderId="0" applyFont="0" applyFill="0" applyBorder="0" applyAlignment="0" applyProtection="0"/>
  </cellStyleXfs>
  <cellXfs count="10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7" borderId="7" xfId="0" applyNumberFormat="1" applyFill="1" applyBorder="1"/>
    <xf numFmtId="14" fontId="0" fillId="0" borderId="8" xfId="0" applyNumberFormat="1" applyBorder="1"/>
    <xf numFmtId="14" fontId="0" fillId="0" borderId="7"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8" borderId="0" xfId="0" applyNumberFormat="1" applyFill="1"/>
    <xf numFmtId="0" fontId="9" fillId="0" borderId="0" xfId="0" applyFont="1"/>
    <xf numFmtId="0" fontId="0" fillId="0" borderId="0" xfId="0" applyAlignment="1">
      <alignment horizontal="center" vertical="top"/>
    </xf>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14" fontId="0" fillId="8" borderId="8" xfId="0" applyNumberFormat="1" applyFill="1" applyBorder="1"/>
    <xf numFmtId="0" fontId="0" fillId="8" borderId="0" xfId="0" applyFill="1"/>
    <xf numFmtId="164" fontId="0" fillId="8" borderId="0" xfId="1" applyNumberFormat="1" applyFont="1" applyFill="1" applyBorder="1"/>
    <xf numFmtId="0" fontId="0" fillId="8" borderId="0" xfId="0" applyFill="1" applyAlignment="1">
      <alignment horizontal="center"/>
    </xf>
    <xf numFmtId="14" fontId="0" fillId="2" borderId="7" xfId="0" applyNumberFormat="1" applyFill="1" applyBorder="1"/>
    <xf numFmtId="0" fontId="0" fillId="2" borderId="0" xfId="0" applyFill="1" applyAlignment="1">
      <alignment horizontal="center"/>
    </xf>
    <xf numFmtId="0" fontId="13" fillId="0" borderId="19" xfId="0" applyFont="1" applyBorder="1"/>
    <xf numFmtId="43" fontId="13" fillId="0" borderId="23" xfId="0" applyNumberFormat="1" applyFont="1" applyBorder="1"/>
    <xf numFmtId="164" fontId="0" fillId="0" borderId="0" xfId="1" applyNumberFormat="1" applyFont="1" applyAlignment="1">
      <alignment vertical="top"/>
    </xf>
    <xf numFmtId="0" fontId="0" fillId="0" borderId="3" xfId="0" applyBorder="1"/>
    <xf numFmtId="0" fontId="1" fillId="3" borderId="3" xfId="0" applyFont="1" applyFill="1" applyBorder="1"/>
    <xf numFmtId="165" fontId="0" fillId="0" borderId="1" xfId="0" applyNumberFormat="1" applyBorder="1"/>
    <xf numFmtId="43" fontId="0" fillId="0" borderId="1" xfId="0" applyNumberFormat="1" applyBorder="1"/>
  </cellXfs>
  <cellStyles count="2">
    <cellStyle name="Comma" xfId="1" builtinId="3"/>
    <cellStyle name="Normal" xfId="0" builtinId="0"/>
  </cellStyles>
  <dxfs count="155">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0" formatCode="General"/>
    </dxf>
    <dxf>
      <numFmt numFmtId="0" formatCode="General"/>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Aptos Narrow"/>
        <family val="2"/>
        <scheme val="minor"/>
      </font>
      <numFmt numFmtId="164" formatCode="_-* #,##0_-;\-* #,##0_-;_-*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numFmt numFmtId="164" formatCode="_-* #,##0_-;\-* #,##0_-;_-* &quot;-&quot;??_-;_-@_-"/>
      <border diagonalUp="0" diagonalDown="0">
        <left style="thin">
          <color auto="1"/>
        </left>
        <right style="thin">
          <color auto="1"/>
        </right>
        <top style="thin">
          <color auto="1"/>
        </top>
        <bottom style="thin">
          <color auto="1"/>
        </bottom>
        <vertical/>
        <horizontal/>
      </border>
    </dxf>
    <dxf>
      <numFmt numFmtId="164" formatCode="_-* #,##0_-;\-* #,##0_-;_-*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numFmt numFmtId="164" formatCode="_-* #,##0_-;\-* #,##0_-;_-*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numFmt numFmtId="164" formatCode="_-* #,##0_-;\-* #,##0_-;_-* &quot;-&quot;??_-;_-@_-"/>
      <border diagonalUp="0" diagonalDown="0">
        <left style="thin">
          <color auto="1"/>
        </left>
        <right style="thin">
          <color auto="1"/>
        </right>
        <top style="thin">
          <color auto="1"/>
        </top>
        <bottom style="thin">
          <color auto="1"/>
        </bottom>
        <vertical/>
        <horizontal/>
      </border>
    </dxf>
    <dxf>
      <numFmt numFmtId="35" formatCode="_-* #,##0.00_-;\-* #,##0.00_-;_-* &quot;-&quot;??_-;_-@_-"/>
      <border diagonalUp="0" diagonalDown="0">
        <left style="thin">
          <color auto="1"/>
        </left>
        <right style="thin">
          <color auto="1"/>
        </right>
        <top style="thin">
          <color auto="1"/>
        </top>
        <bottom style="thin">
          <color auto="1"/>
        </bottom>
        <vertical/>
        <horizontal/>
      </border>
    </dxf>
    <dxf>
      <numFmt numFmtId="165" formatCode="_-* #,##0.0_-;\-* #,##0.0_-;_-*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numFmt numFmtId="164" formatCode="_-* #,##0_-;\-* #,##0_-;_-*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numFmt numFmtId="164" formatCode="_-* #,##0_-;\-* #,##0_-;_-* &quot;-&quot;??_-;_-@_-"/>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Aptos Narrow"/>
        <family val="2"/>
        <scheme val="minor"/>
      </font>
      <border diagonalUp="0" diagonalDown="0">
        <left style="thin">
          <color auto="1"/>
        </left>
        <right style="thin">
          <color auto="1"/>
        </right>
        <top style="thin">
          <color auto="1"/>
        </top>
        <bottom style="thin">
          <color auto="1"/>
        </bottom>
        <vertical/>
        <horizontal/>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fill>
        <patternFill patternType="solid">
          <fgColor indexed="64"/>
          <bgColor theme="3" tint="0.749992370372631"/>
        </patternFill>
      </fill>
      <border diagonalUp="0" diagonalDown="0" outline="0">
        <left style="thin">
          <color auto="1"/>
        </left>
        <right style="thin">
          <color auto="1"/>
        </right>
        <top/>
        <bottom/>
      </border>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pivotCacheDefinition" Target="pivotCache/pivotCacheDefinition1.xml" /><Relationship Id="rId26" Type="http://schemas.microsoft.com/office/2007/relationships/slicerCache" Target="slicerCaches/slicerCache3.xml" /><Relationship Id="rId3" Type="http://schemas.openxmlformats.org/officeDocument/2006/relationships/worksheet" Target="worksheets/sheet3.xml" /><Relationship Id="rId21" Type="http://schemas.openxmlformats.org/officeDocument/2006/relationships/pivotCacheDefinition" Target="pivotCache/pivotCacheDefinition4.xml" /><Relationship Id="rId34" Type="http://schemas.openxmlformats.org/officeDocument/2006/relationships/sharedStrings" Target="sharedStrings.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microsoft.com/office/2007/relationships/slicerCache" Target="slicerCaches/slicerCache2.xml" /><Relationship Id="rId33" Type="http://schemas.openxmlformats.org/officeDocument/2006/relationships/styles" Target="styles.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pivotCacheDefinition" Target="pivotCache/pivotCacheDefinition3.xml" /><Relationship Id="rId29" Type="http://schemas.microsoft.com/office/2007/relationships/slicerCache" Target="slicerCaches/slicerCache6.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microsoft.com/office/2007/relationships/slicerCache" Target="slicerCaches/slicerCache1.xml" /><Relationship Id="rId32" Type="http://schemas.openxmlformats.org/officeDocument/2006/relationships/connections" Target="connections.xml" /><Relationship Id="rId37" Type="http://schemas.openxmlformats.org/officeDocument/2006/relationships/calcChain" Target="calcChain.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pivotCacheDefinition" Target="pivotCache/pivotCacheDefinition6.xml" /><Relationship Id="rId28" Type="http://schemas.microsoft.com/office/2007/relationships/slicerCache" Target="slicerCaches/slicerCache5.xml" /><Relationship Id="rId36" Type="http://schemas.openxmlformats.org/officeDocument/2006/relationships/powerPivotData" Target="model/item.data" /><Relationship Id="rId10" Type="http://schemas.openxmlformats.org/officeDocument/2006/relationships/worksheet" Target="worksheets/sheet10.xml" /><Relationship Id="rId19" Type="http://schemas.openxmlformats.org/officeDocument/2006/relationships/pivotCacheDefinition" Target="pivotCache/pivotCacheDefinition2.xml" /><Relationship Id="rId31"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pivotCacheDefinition" Target="pivotCache/pivotCacheDefinition5.xml" /><Relationship Id="rId27" Type="http://schemas.microsoft.com/office/2007/relationships/slicerCache" Target="slicerCaches/slicerCache4.xml" /><Relationship Id="rId30" Type="http://schemas.microsoft.com/office/2007/relationships/slicerCache" Target="slicerCaches/slicerCache7.xml" /><Relationship Id="rId35" Type="http://schemas.openxmlformats.org/officeDocument/2006/relationships/sheetMetadata" Target="metadata.xml" /></Relationships>
</file>

<file path=xl/drawings/drawing1.xml><?xml version="1.0" encoding="utf-8"?>
<xdr:wsDr xmlns:xdr="http://schemas.openxmlformats.org/drawingml/2006/spreadsheetDrawing" xmlns:a="http://schemas.openxmlformats.org/drawingml/2006/main">
  <xdr:twoCellAnchor editAs="absolute">
    <xdr:from>
      <xdr:col>12</xdr:col>
      <xdr:colOff>41157</xdr:colOff>
      <xdr:row>82</xdr:row>
      <xdr:rowOff>98777</xdr:rowOff>
    </xdr:from>
    <xdr:to>
      <xdr:col>16</xdr:col>
      <xdr:colOff>105591</xdr:colOff>
      <xdr:row>87</xdr:row>
      <xdr:rowOff>177170</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2092046" y="4209814"/>
              <a:ext cx="4586904" cy="972097"/>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575791</xdr:colOff>
      <xdr:row>71</xdr:row>
      <xdr:rowOff>14475</xdr:rowOff>
    </xdr:from>
    <xdr:to>
      <xdr:col>12</xdr:col>
      <xdr:colOff>526522</xdr:colOff>
      <xdr:row>79</xdr:row>
      <xdr:rowOff>71967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0743729" y="2173475"/>
              <a:ext cx="1871605" cy="14968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91853</xdr:colOff>
      <xdr:row>28</xdr:row>
      <xdr:rowOff>37011</xdr:rowOff>
    </xdr:from>
    <xdr:to>
      <xdr:col>13</xdr:col>
      <xdr:colOff>447690</xdr:colOff>
      <xdr:row>33</xdr:row>
      <xdr:rowOff>172341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332048" y="5105595"/>
              <a:ext cx="1791772" cy="103431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9</xdr:col>
      <xdr:colOff>212029</xdr:colOff>
      <xdr:row>211</xdr:row>
      <xdr:rowOff>154458</xdr:rowOff>
    </xdr:from>
    <xdr:to>
      <xdr:col>11</xdr:col>
      <xdr:colOff>574524</xdr:colOff>
      <xdr:row>216</xdr:row>
      <xdr:rowOff>66524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8285600" y="2331601"/>
              <a:ext cx="2255400" cy="81920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355655</xdr:colOff>
      <xdr:row>0</xdr:row>
      <xdr:rowOff>0</xdr:rowOff>
    </xdr:from>
    <xdr:to>
      <xdr:col>13</xdr:col>
      <xdr:colOff>441476</xdr:colOff>
      <xdr:row>206</xdr:row>
      <xdr:rowOff>78618</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8429226" y="0"/>
              <a:ext cx="3564398" cy="1048372"/>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173280</xdr:colOff>
      <xdr:row>9</xdr:row>
      <xdr:rowOff>68581</xdr:rowOff>
    </xdr:from>
    <xdr:to>
      <xdr:col>11</xdr:col>
      <xdr:colOff>487284</xdr:colOff>
      <xdr:row>15</xdr:row>
      <xdr:rowOff>106680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155180" y="1714501"/>
              <a:ext cx="1973580"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438571</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 /></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 /></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 /></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 /></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87.979407638886" createdVersion="8" refreshedVersion="8" minRefreshableVersion="3" recordCount="197" xr:uid="{B5BDFB73-D93A-4A7A-8149-666BC190B09B}">
  <cacheSource type="worksheet">
    <worksheetSource name="Table14"/>
  </cacheSource>
  <cacheFields count="7">
    <cacheField name="Date" numFmtId="14">
      <sharedItems containsSemiMixedTypes="0" containsNonDate="0" containsDate="1" containsString="0" minDate="2025-07-20T00:00:00" maxDate="2025-08-19T00:00:00"/>
    </cacheField>
    <cacheField name="Party" numFmtId="0">
      <sharedItems containsBlank="1" count="26">
        <s v="BSC"/>
        <s v="Chemicals"/>
        <s v="Finish"/>
        <s v="Salary"/>
        <s v="Malik Zaheer"/>
        <s v="Transport"/>
        <s v="misc"/>
        <s v="Cash"/>
        <s v="Advance Salary"/>
        <s v="Shehzad Kamoki"/>
        <s v="Arshad"/>
        <s v="Rashan"/>
        <s v="Parts"/>
        <s v="Self"/>
        <s v="Faysal Akraam"/>
        <s v="Aqib"/>
        <s v="dasti"/>
        <s v="Omer"/>
        <s v="Ejaz Sahab"/>
        <s v="Sajad Khan"/>
        <s v="Aqib Freight"/>
        <s v="Sufi Nawaz Sahab"/>
        <s v="Hafiz Qureshi"/>
        <s v="Toll"/>
        <m u="1"/>
        <s v="temp" u="1"/>
      </sharedItems>
    </cacheField>
    <cacheField name="Debit" numFmtId="164">
      <sharedItems containsString="0" containsBlank="1" containsNumber="1" containsInteger="1" minValue="200" maxValue="598400"/>
    </cacheField>
    <cacheField name="Credit" numFmtId="164">
      <sharedItems containsString="0" containsBlank="1" containsNumber="1" containsInteger="1" minValue="160" maxValue="500000"/>
    </cacheField>
    <cacheField name="Description" numFmtId="0">
      <sharedItems containsBlank="1"/>
    </cacheField>
    <cacheField name="Mode" numFmtId="0">
      <sharedItems/>
    </cacheField>
    <cacheField name="Withdrawal" numFmtId="0">
      <sharedItems containsString="0" containsBlank="1" containsNumber="1" containsInteger="1" minValue="17000" maxValue="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87.979408217594" createdVersion="8" refreshedVersion="8" minRefreshableVersion="3" recordCount="8" xr:uid="{C9337D87-FB7F-43A5-B835-F515E859066B}">
  <cacheSource type="worksheet">
    <worksheetSource name="Table4"/>
  </cacheSource>
  <cacheFields count="4">
    <cacheField name="Party Name" numFmtId="0">
      <sharedItems containsMixedTypes="1" containsNumber="1" containsInteger="1" minValue="0" maxValue="0" count="9">
        <s v="BSC"/>
        <s v="Ejaz Sahab"/>
        <s v="Arshad"/>
        <s v="Shehzad Kamoki"/>
        <s v="Sufi Nawaz Sahab"/>
        <s v="Sajad Khan"/>
        <s v="Raaz Fabrics"/>
        <s v="Hafiz Qureshi"/>
        <n v="0" u="1"/>
      </sharedItems>
    </cacheField>
    <cacheField name="Tiyaar" numFmtId="1">
      <sharedItems containsSemiMixedTypes="0" containsString="0" containsNumber="1" minValue="19940.563277249454" maxValue="414267.55669348943"/>
    </cacheField>
    <cacheField name="Rate" numFmtId="0">
      <sharedItems containsSemiMixedTypes="0" containsString="0" containsNumber="1" minValue="10" maxValue="10.5"/>
    </cacheField>
    <cacheField name="Total" numFmtId="164">
      <sharedItems containsSemiMixedTypes="0" containsString="0" containsNumber="1" minValue="199405.63277249454" maxValue="4142675.566934894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87.979408449071" createdVersion="8" refreshedVersion="8" minRefreshableVersion="3" recordCount="16" xr:uid="{AC867DCC-CE64-4D1A-827D-F1F3EE10EE4E}">
  <cacheSource type="worksheet">
    <worksheetSource name="Table8"/>
  </cacheSource>
  <cacheFields count="9">
    <cacheField name="Date" numFmtId="14">
      <sharedItems containsSemiMixedTypes="0" containsNonDate="0" containsDate="1" containsString="0" minDate="2025-05-16T00:00:00" maxDate="2025-08-14T00:00:00" count="6">
        <d v="2025-07-24T00:00:00"/>
        <d v="2025-08-01T00:00:00"/>
        <d v="2025-08-05T00:00:00"/>
        <d v="2025-08-11T00:00:00"/>
        <d v="2025-08-13T00:00:00"/>
        <d v="2025-05-16T00:00:00"/>
      </sharedItems>
    </cacheField>
    <cacheField name="Chemical Name" numFmtId="0">
      <sharedItems/>
    </cacheField>
    <cacheField name="Boxes" numFmtId="0">
      <sharedItems containsString="0" containsBlank="1" containsNumber="1" containsInteger="1" minValue="1" maxValue="4"/>
    </cacheField>
    <cacheField name="Rate" numFmtId="0">
      <sharedItems containsString="0" containsBlank="1" containsNumber="1" containsInteger="1" minValue="940" maxValue="3100"/>
    </cacheField>
    <cacheField name="Price" numFmtId="0">
      <sharedItems containsSemiMixedTypes="0" containsString="0" containsNumber="1" containsInteger="1" minValue="28750" maxValue="114250"/>
    </cacheField>
    <cacheField name="Party" numFmtId="0">
      <sharedItems containsBlank="1" count="2">
        <m/>
        <s v="UniColour"/>
      </sharedItems>
    </cacheField>
    <cacheField name="Paid" numFmtId="0">
      <sharedItems containsSemiMixedTypes="0" containsString="0" containsNumber="1" containsInteger="1" minValue="0" maxValue="114250"/>
    </cacheField>
    <cacheField name="Balance" numFmtId="0">
      <sharedItems containsSemiMixedTypes="0" containsString="0" containsNumber="1" containsInteger="1" minValue="0" maxValue="94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87.979408680556" createdVersion="8" refreshedVersion="8" minRefreshableVersion="3" recordCount="18" xr:uid="{376A650C-1F79-4049-BC45-E34989F046B2}">
  <cacheSource type="worksheet">
    <worksheetSource name="Table2"/>
  </cacheSource>
  <cacheFields count="8">
    <cacheField name="Date" numFmtId="14">
      <sharedItems containsNonDate="0" containsDate="1" containsString="0" containsBlank="1" minDate="2025-07-24T00:00:00" maxDate="2025-08-17T00:00:00"/>
    </cacheField>
    <cacheField name="Party Name" numFmtId="0">
      <sharedItems containsBlank="1" count="4">
        <s v="-"/>
        <s v="Faysal Akraam"/>
        <m/>
        <s v="Faysal" u="1"/>
      </sharedItems>
    </cacheField>
    <cacheField name="Item" numFmtId="0">
      <sharedItems containsBlank="1"/>
    </cacheField>
    <cacheField name="Boxes" numFmtId="0">
      <sharedItems containsString="0" containsBlank="1" containsNumber="1" containsInteger="1" minValue="1" maxValue="14"/>
    </cacheField>
    <cacheField name="Quantity" numFmtId="0">
      <sharedItems containsString="0" containsBlank="1" containsNumber="1" containsInteger="1" minValue="0" maxValue="125"/>
    </cacheField>
    <cacheField name="Price" numFmtId="0">
      <sharedItems containsString="0" containsBlank="1" containsNumber="1" containsInteger="1" minValue="8000" maxValue="75000"/>
    </cacheField>
    <cacheField name="Paid" numFmtId="0">
      <sharedItems containsString="0" containsBlank="1" containsNumber="1" containsInteger="1" minValue="0" maxValue="125000"/>
    </cacheField>
    <cacheField name="Balance" numFmtId="0">
      <sharedItems containsSemiMixedTypes="0" containsString="0" containsNumber="1" containsInteger="1" minValue="-100000" maxValue="75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887.979408912041" createdVersion="8" refreshedVersion="8" minRefreshableVersion="3" recordCount="31" xr:uid="{3E5C2981-ACF5-44A9-8567-B1D65DB3A8D2}">
  <cacheSource type="worksheet">
    <worksheetSource name="Table3"/>
  </cacheSource>
  <cacheFields count="9">
    <cacheField name="Date" numFmtId="14">
      <sharedItems containsSemiMixedTypes="0" containsNonDate="0" containsDate="1" containsString="0" minDate="2025-07-13T00:00:00" maxDate="2025-08-18T00:00:00" count="22">
        <d v="2025-07-13T00:00:00"/>
        <d v="2025-07-14T00:00:00"/>
        <d v="2025-07-15T00:00:00"/>
        <d v="2025-07-19T00:00:00"/>
        <d v="2025-07-20T00:00:00"/>
        <d v="2025-07-21T00:00:00"/>
        <d v="2025-07-31T00:00:00"/>
        <d v="2025-08-02T00:00:00"/>
        <d v="2025-08-03T00:00:00"/>
        <d v="2025-08-04T00:00:00"/>
        <d v="2025-08-07T00:00:00"/>
        <d v="2025-08-08T00:00:00"/>
        <d v="2025-08-09T00:00:00"/>
        <d v="2025-08-10T00:00:00"/>
        <d v="2025-08-11T00:00:00"/>
        <d v="2025-08-13T00:00:00"/>
        <d v="2025-08-14T00:00:00"/>
        <d v="2025-08-15T00:00:00"/>
        <d v="2025-08-17T00:00:00"/>
        <d v="2025-08-16T00:00:00"/>
        <d v="2025-08-12T00:00:00"/>
        <d v="2025-08-01T00:00:00" u="1"/>
      </sharedItems>
    </cacheField>
    <cacheField name="Party Name" numFmtId="0">
      <sharedItems containsBlank="1" count="4">
        <s v="Malik Zaheer"/>
        <s v="Aqib"/>
        <s v="Aqib Freight"/>
        <m u="1"/>
      </sharedItems>
    </cacheField>
    <cacheField name="Vehicle Number" numFmtId="0">
      <sharedItems containsBlank="1" containsMixedTypes="1" containsNumber="1" containsInteger="1" minValue="52" maxValue="8994" count="23">
        <n v="2980"/>
        <n v="7221"/>
        <n v="8901"/>
        <n v="8994"/>
        <n v="364"/>
        <n v="4068"/>
        <m/>
        <n v="3229"/>
        <n v="1910"/>
        <n v="6038"/>
        <s v="-"/>
        <n v="52"/>
        <n v="2727"/>
        <n v="2570"/>
        <n v="6851"/>
        <n v="303"/>
        <n v="5963"/>
        <n v="1671"/>
        <n v="1055"/>
        <n v="1972"/>
        <s v="(Unloading)"/>
        <n v="6691" u="1"/>
        <n v="8395" u="1"/>
      </sharedItems>
    </cacheField>
    <cacheField name="Weight" numFmtId="164">
      <sharedItems containsString="0" containsBlank="1" containsNumber="1" containsInteger="1" minValue="39" maxValue="432"/>
    </cacheField>
    <cacheField name="Rate" numFmtId="164">
      <sharedItems containsString="0" containsBlank="1" containsNumber="1" containsInteger="1" minValue="700" maxValue="765"/>
    </cacheField>
    <cacheField name="Rent" numFmtId="164">
      <sharedItems containsString="0" containsBlank="1" containsNumber="1" containsInteger="1" minValue="0" maxValue="81000"/>
    </cacheField>
    <cacheField name="total" numFmtId="164">
      <sharedItems containsSemiMixedTypes="0" containsString="0" containsNumber="1" containsInteger="1" minValue="0" maxValue="330480"/>
    </cacheField>
    <cacheField name="Paid" numFmtId="164">
      <sharedItems containsString="0" containsBlank="1" containsNumber="1" containsInteger="1" minValue="0" maxValue="375550"/>
    </cacheField>
    <cacheField name="balance" numFmtId="164">
      <sharedItems containsSemiMixedTypes="0" containsString="0" containsNumber="1" containsInteger="1" minValue="-269120" maxValue="33048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LNext Device" refreshedDate="45888.695087615743" createdVersion="8" refreshedVersion="8" minRefreshableVersion="3" recordCount="68" xr:uid="{46CBB50D-3613-4E5B-8212-DD0313DCD05A}">
  <cacheSource type="worksheet">
    <worksheetSource name="Table1"/>
  </cacheSource>
  <cacheFields count="14">
    <cacheField name="Date" numFmtId="14">
      <sharedItems containsSemiMixedTypes="0" containsNonDate="0" containsDate="1" containsString="0" minDate="2025-07-25T00:00:00" maxDate="2025-08-17T00:00:00" count="17">
        <d v="2025-07-25T00:00:00"/>
        <d v="2025-07-26T00:00:00"/>
        <d v="2025-07-28T00:00:00"/>
        <d v="2025-07-29T00:00:00"/>
        <d v="2025-07-31T00:00:00"/>
        <d v="2025-08-02T00:00:00"/>
        <d v="2025-08-04T00:00:00"/>
        <d v="2025-08-05T00:00:00"/>
        <d v="2025-08-06T00:00:00"/>
        <d v="2025-08-08T00:00:00"/>
        <d v="2025-08-09T00:00:00"/>
        <d v="2025-08-10T00:00:00"/>
        <d v="2025-08-12T00:00:00"/>
        <d v="2025-08-13T00:00:00"/>
        <d v="2025-08-15T00:00:00"/>
        <d v="2025-08-16T00:00:00"/>
        <d v="2025-08-03T00:00:00" u="1"/>
      </sharedItems>
    </cacheField>
    <cacheField name="Party Name" numFmtId="0">
      <sharedItems containsBlank="1" count="15">
        <s v="BSC"/>
        <s v="Ejaz Sahab"/>
        <s v="Arshad"/>
        <s v="Shehzad Kamoki"/>
        <s v="Sufi Nawaz Sahab"/>
        <s v="Sajad Khan"/>
        <s v="Raaz Fabrics"/>
        <s v="Hafiz Qureshi"/>
        <m/>
        <s v="YING" u="1"/>
        <s v="Meow" u="1"/>
        <s v="Umer Sb" u="1"/>
        <s v="-" u="1"/>
        <s v="Sajjad" u="1"/>
        <s v="Haji Ejaz" u="1"/>
      </sharedItems>
    </cacheField>
    <cacheField name="Bill Number" numFmtId="0">
      <sharedItems containsString="0" containsBlank="1" containsNumber="1" containsInteger="1" minValue="604" maxValue="720" count="116">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7"/>
        <n v="718"/>
        <n v="719"/>
        <n v="720"/>
        <m/>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62">
        <n v="1595"/>
        <s v="1601-a"/>
        <n v="1593"/>
        <n v="1599"/>
        <n v="1597"/>
        <n v="1600"/>
        <n v="1602"/>
        <s v="RD"/>
        <n v="1558"/>
        <n v="1603"/>
        <n v="1619"/>
        <n v="1621"/>
        <n v="1601"/>
        <n v="1606"/>
        <s v="1613-BSC"/>
        <n v="1609"/>
        <n v="1614"/>
        <n v="1623"/>
        <n v="1610"/>
        <n v="1620"/>
        <n v="1608"/>
        <n v="1624"/>
        <n v="1625"/>
        <n v="1618"/>
        <n v="1611"/>
        <n v="1629"/>
        <n v="1631"/>
        <n v="1604"/>
        <n v="1627"/>
        <n v="1615"/>
        <n v="1630"/>
        <n v="1635"/>
        <n v="1617"/>
        <n v="1637"/>
        <n v="1642"/>
        <n v="1613"/>
        <n v="1634"/>
        <n v="1645"/>
        <n v="1638"/>
        <m/>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0">
      <sharedItems containsBlank="1" containsMixedTypes="1" containsNumber="1" minValue="1859" maxValue="100721"/>
    </cacheField>
    <cacheField name="Tiyaar/gaz" numFmtId="164">
      <sharedItems containsString="0" containsBlank="1" containsNumber="1" containsInteger="1" minValue="1826" maxValue="51373"/>
    </cacheField>
    <cacheField name="shortage %" numFmtId="165">
      <sharedItems containsMixedTypes="1" containsNumber="1" minValue="-1.0935369591681621" maxValue="94.981169546031452"/>
    </cacheField>
    <cacheField name="tiyar/meters" numFmtId="165">
      <sharedItems containsString="0" containsBlank="1" containsNumber="1" minValue="0" maxValue="46976.042428675937"/>
    </cacheField>
    <cacheField name="billing" numFmtId="165">
      <sharedItems containsSemiMixedTypes="0" containsString="0" containsNumber="1" minValue="0" maxValue="469760.42428675934"/>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d v="2025-07-20T00:00:00"/>
    <x v="0"/>
    <m/>
    <n v="5000"/>
    <s v="Bank"/>
    <s v="Bank"/>
    <m/>
  </r>
  <r>
    <d v="2025-07-24T00:00:00"/>
    <x v="0"/>
    <m/>
    <n v="97650"/>
    <s v="chemicals"/>
    <s v="Bank"/>
    <m/>
  </r>
  <r>
    <d v="2025-07-24T00:00:00"/>
    <x v="1"/>
    <n v="97650"/>
    <m/>
    <s v="chemicals"/>
    <s v="Bank"/>
    <m/>
  </r>
  <r>
    <d v="2025-07-25T00:00:00"/>
    <x v="0"/>
    <m/>
    <n v="48300"/>
    <s v="starch"/>
    <s v="Bank"/>
    <m/>
  </r>
  <r>
    <d v="2025-07-25T00:00:00"/>
    <x v="2"/>
    <n v="48300"/>
    <m/>
    <s v="starch"/>
    <s v="Bank"/>
    <m/>
  </r>
  <r>
    <d v="2025-07-28T00:00:00"/>
    <x v="0"/>
    <m/>
    <n v="48800"/>
    <s v="starch"/>
    <s v="Bank"/>
    <m/>
  </r>
  <r>
    <d v="2025-07-28T00:00:00"/>
    <x v="2"/>
    <n v="48800"/>
    <m/>
    <s v="starch"/>
    <s v="Bank"/>
    <m/>
  </r>
  <r>
    <d v="2025-07-28T00:00:00"/>
    <x v="0"/>
    <m/>
    <n v="100000"/>
    <s v="self"/>
    <s v="Bank"/>
    <m/>
  </r>
  <r>
    <d v="2025-07-28T00:00:00"/>
    <x v="3"/>
    <n v="100000"/>
    <m/>
    <s v="self"/>
    <s v="Bank"/>
    <m/>
  </r>
  <r>
    <d v="2025-07-31T00:00:00"/>
    <x v="0"/>
    <m/>
    <n v="25250"/>
    <s v="Malik Zaheer"/>
    <s v="Bank"/>
    <m/>
  </r>
  <r>
    <d v="2025-07-31T00:00:00"/>
    <x v="4"/>
    <n v="25250"/>
    <m/>
    <s v="wood"/>
    <s v="Bank"/>
    <m/>
  </r>
  <r>
    <d v="2025-07-31T00:00:00"/>
    <x v="0"/>
    <m/>
    <n v="225000"/>
    <s v="Billing"/>
    <s v="Bank"/>
    <m/>
  </r>
  <r>
    <d v="2025-07-31T00:00:00"/>
    <x v="4"/>
    <n v="165000"/>
    <m/>
    <s v="wood"/>
    <s v="Bank"/>
    <m/>
  </r>
  <r>
    <d v="2025-07-31T00:00:00"/>
    <x v="3"/>
    <n v="50000"/>
    <m/>
    <s v="Khalid sahab"/>
    <s v="Bank"/>
    <m/>
  </r>
  <r>
    <d v="2025-07-31T00:00:00"/>
    <x v="5"/>
    <n v="4820"/>
    <m/>
    <s v="LPG"/>
    <s v="Bank"/>
    <m/>
  </r>
  <r>
    <d v="2025-07-24T00:00:00"/>
    <x v="0"/>
    <m/>
    <n v="3000"/>
    <s v="salary haseen"/>
    <s v="Bank"/>
    <m/>
  </r>
  <r>
    <d v="2025-07-24T00:00:00"/>
    <x v="3"/>
    <n v="3000"/>
    <m/>
    <s v="haseen"/>
    <s v="Bank"/>
    <m/>
  </r>
  <r>
    <d v="2025-07-24T00:00:00"/>
    <x v="0"/>
    <m/>
    <n v="2500"/>
    <s v="Transport"/>
    <s v="Bank"/>
    <m/>
  </r>
  <r>
    <d v="2025-07-24T00:00:00"/>
    <x v="5"/>
    <n v="2500"/>
    <m/>
    <m/>
    <s v="Bank"/>
    <m/>
  </r>
  <r>
    <d v="2025-07-24T00:00:00"/>
    <x v="0"/>
    <m/>
    <n v="700"/>
    <s v="misc"/>
    <s v="Bank"/>
    <m/>
  </r>
  <r>
    <d v="2025-07-24T00:00:00"/>
    <x v="6"/>
    <n v="700"/>
    <m/>
    <m/>
    <s v="Bank"/>
    <m/>
  </r>
  <r>
    <d v="2025-08-02T00:00:00"/>
    <x v="0"/>
    <m/>
    <n v="354398"/>
    <m/>
    <s v="Bank"/>
    <m/>
  </r>
  <r>
    <d v="2025-08-02T00:00:00"/>
    <x v="7"/>
    <m/>
    <m/>
    <m/>
    <s v="Transfer"/>
    <n v="25004"/>
  </r>
  <r>
    <d v="2025-08-02T00:00:00"/>
    <x v="2"/>
    <n v="48300"/>
    <m/>
    <s v="starch"/>
    <s v="Bank"/>
    <m/>
  </r>
  <r>
    <d v="2025-08-02T00:00:00"/>
    <x v="5"/>
    <n v="6430"/>
    <m/>
    <s v="LPG"/>
    <s v="Bank"/>
    <m/>
  </r>
  <r>
    <d v="2025-08-02T00:00:00"/>
    <x v="8"/>
    <n v="10000"/>
    <m/>
    <s v="Master Sajid"/>
    <s v="Cash"/>
    <m/>
  </r>
  <r>
    <d v="2025-08-02T00:00:00"/>
    <x v="4"/>
    <n v="200000"/>
    <m/>
    <s v="wood"/>
    <s v="Bank"/>
    <m/>
  </r>
  <r>
    <d v="2025-08-02T00:00:00"/>
    <x v="9"/>
    <m/>
    <n v="50000"/>
    <s v="bill #670"/>
    <s v="Bank"/>
    <m/>
  </r>
  <r>
    <d v="2025-08-02T00:00:00"/>
    <x v="6"/>
    <n v="1740"/>
    <m/>
    <s v="Bank charges"/>
    <s v="Bank"/>
    <m/>
  </r>
  <r>
    <d v="2025-08-03T00:00:00"/>
    <x v="10"/>
    <m/>
    <n v="100000"/>
    <s v="Billing"/>
    <s v="Bank"/>
    <m/>
  </r>
  <r>
    <d v="2025-08-04T00:00:00"/>
    <x v="4"/>
    <n v="101550"/>
    <m/>
    <s v="wood"/>
    <s v="Bank"/>
    <m/>
  </r>
  <r>
    <d v="2025-08-04T00:00:00"/>
    <x v="4"/>
    <n v="200000"/>
    <m/>
    <s v="wood"/>
    <s v="Bank"/>
    <m/>
  </r>
  <r>
    <d v="2025-08-04T00:00:00"/>
    <x v="0"/>
    <m/>
    <n v="200000"/>
    <m/>
    <s v="Bank"/>
    <m/>
  </r>
  <r>
    <d v="2025-08-04T00:00:00"/>
    <x v="2"/>
    <n v="69200"/>
    <m/>
    <s v="starch"/>
    <s v="Bank"/>
    <m/>
  </r>
  <r>
    <d v="2025-08-04T00:00:00"/>
    <x v="5"/>
    <n v="3840"/>
    <m/>
    <s v="LPG"/>
    <s v="Bank"/>
    <m/>
  </r>
  <r>
    <d v="2025-08-04T00:00:00"/>
    <x v="3"/>
    <n v="2664"/>
    <m/>
    <s v="adil"/>
    <s v="Cash"/>
    <m/>
  </r>
  <r>
    <d v="2025-08-04T00:00:00"/>
    <x v="6"/>
    <n v="200"/>
    <m/>
    <s v="package"/>
    <s v="Bank"/>
    <m/>
  </r>
  <r>
    <d v="2025-08-04T00:00:00"/>
    <x v="11"/>
    <n v="1840"/>
    <m/>
    <s v="Rashan"/>
    <s v="Bank"/>
    <m/>
  </r>
  <r>
    <d v="2025-08-04T00:00:00"/>
    <x v="11"/>
    <n v="1050"/>
    <m/>
    <s v="Atta"/>
    <s v="Bank"/>
    <m/>
  </r>
  <r>
    <d v="2025-08-04T00:00:00"/>
    <x v="0"/>
    <m/>
    <n v="7400"/>
    <s v="parts"/>
    <s v="Bank"/>
    <m/>
  </r>
  <r>
    <d v="2025-08-04T00:00:00"/>
    <x v="12"/>
    <n v="7400"/>
    <m/>
    <s v="parts+petrol"/>
    <s v="Bank"/>
    <m/>
  </r>
  <r>
    <d v="2025-08-05T00:00:00"/>
    <x v="11"/>
    <n v="13000"/>
    <m/>
    <m/>
    <s v="Bank"/>
    <m/>
  </r>
  <r>
    <d v="2025-08-05T00:00:00"/>
    <x v="11"/>
    <n v="2170"/>
    <m/>
    <m/>
    <s v="Bank"/>
    <m/>
  </r>
  <r>
    <d v="2025-08-05T00:00:00"/>
    <x v="12"/>
    <n v="4380"/>
    <m/>
    <m/>
    <s v="Bank"/>
    <m/>
  </r>
  <r>
    <d v="2025-08-05T00:00:00"/>
    <x v="0"/>
    <m/>
    <n v="150000"/>
    <m/>
    <s v="Bank"/>
    <m/>
  </r>
  <r>
    <d v="2025-08-05T00:00:00"/>
    <x v="0"/>
    <m/>
    <n v="67300"/>
    <m/>
    <s v="Bank"/>
    <m/>
  </r>
  <r>
    <d v="2025-08-05T00:00:00"/>
    <x v="1"/>
    <n v="67300"/>
    <m/>
    <s v="chemicals"/>
    <s v="Bank"/>
    <m/>
  </r>
  <r>
    <d v="2025-08-05T00:00:00"/>
    <x v="8"/>
    <n v="20000"/>
    <m/>
    <s v="Master Zulfiqar"/>
    <s v="Bank"/>
    <m/>
  </r>
  <r>
    <d v="2025-08-05T00:00:00"/>
    <x v="8"/>
    <n v="5000"/>
    <m/>
    <s v="Master Zulfiqar"/>
    <s v="Bank"/>
    <m/>
  </r>
  <r>
    <d v="2025-08-06T00:00:00"/>
    <x v="5"/>
    <n v="5600"/>
    <m/>
    <s v="LPG"/>
    <s v="Bank"/>
    <m/>
  </r>
  <r>
    <d v="2025-08-06T00:00:00"/>
    <x v="8"/>
    <n v="25000"/>
    <m/>
    <s v="Master Arshad"/>
    <s v="Cash"/>
    <m/>
  </r>
  <r>
    <d v="2025-08-06T00:00:00"/>
    <x v="0"/>
    <m/>
    <n v="30300"/>
    <m/>
    <s v="Cash"/>
    <m/>
  </r>
  <r>
    <d v="2025-08-06T00:00:00"/>
    <x v="12"/>
    <n v="9300"/>
    <m/>
    <m/>
    <s v="Cash"/>
    <m/>
  </r>
  <r>
    <d v="2025-08-06T00:00:00"/>
    <x v="5"/>
    <n v="1000"/>
    <m/>
    <s v="Toll tax"/>
    <s v="Cash"/>
    <m/>
  </r>
  <r>
    <d v="2025-08-06T00:00:00"/>
    <x v="5"/>
    <n v="3500"/>
    <m/>
    <s v="shahzore"/>
    <s v="Cash"/>
    <m/>
  </r>
  <r>
    <d v="2025-08-06T00:00:00"/>
    <x v="5"/>
    <n v="2015"/>
    <m/>
    <s v="Challan"/>
    <s v="Cash"/>
    <m/>
  </r>
  <r>
    <d v="2025-08-06T00:00:00"/>
    <x v="12"/>
    <n v="1180"/>
    <m/>
    <m/>
    <s v="Cash"/>
    <m/>
  </r>
  <r>
    <d v="2025-08-06T00:00:00"/>
    <x v="6"/>
    <n v="500"/>
    <m/>
    <m/>
    <s v="Cash"/>
    <m/>
  </r>
  <r>
    <d v="2025-08-06T00:00:00"/>
    <x v="8"/>
    <n v="20000"/>
    <m/>
    <s v="Qadeer Driver"/>
    <s v="Bank"/>
    <m/>
  </r>
  <r>
    <d v="2025-08-06T00:00:00"/>
    <x v="13"/>
    <m/>
    <n v="160"/>
    <s v="110 Khalid sahab 50 self"/>
    <s v="Cash"/>
    <m/>
  </r>
  <r>
    <d v="2025-08-06T00:00:00"/>
    <x v="5"/>
    <n v="5316"/>
    <m/>
    <s v="Petrol"/>
    <s v="Bank"/>
    <m/>
  </r>
  <r>
    <d v="2025-08-07T00:00:00"/>
    <x v="11"/>
    <n v="1940"/>
    <m/>
    <s v="1450+490"/>
    <s v="Bank"/>
    <m/>
  </r>
  <r>
    <d v="2025-08-07T00:00:00"/>
    <x v="4"/>
    <n v="28550"/>
    <m/>
    <s v="rent"/>
    <s v="Bank"/>
    <m/>
  </r>
  <r>
    <d v="2025-08-07T00:00:00"/>
    <x v="4"/>
    <n v="82000"/>
    <m/>
    <s v="rent"/>
    <s v="Bank"/>
    <m/>
  </r>
  <r>
    <d v="2025-08-07T00:00:00"/>
    <x v="5"/>
    <n v="3820"/>
    <m/>
    <s v="LPG"/>
    <s v="Bank"/>
    <m/>
  </r>
  <r>
    <d v="2025-08-07T00:00:00"/>
    <x v="0"/>
    <m/>
    <n v="2170"/>
    <s v="Rashan"/>
    <s v="Bank"/>
    <m/>
  </r>
  <r>
    <d v="2025-08-07T00:00:00"/>
    <x v="11"/>
    <n v="1680"/>
    <m/>
    <m/>
    <s v="Bank"/>
    <m/>
  </r>
  <r>
    <d v="2025-08-07T00:00:00"/>
    <x v="6"/>
    <n v="560"/>
    <m/>
    <s v="spray||450 + 110 Khalid sb"/>
    <s v="Bank"/>
    <m/>
  </r>
  <r>
    <d v="2025-08-07T00:00:00"/>
    <x v="0"/>
    <m/>
    <n v="285000"/>
    <m/>
    <s v="Bank"/>
    <m/>
  </r>
  <r>
    <d v="2025-08-07T00:00:00"/>
    <x v="4"/>
    <n v="265000"/>
    <m/>
    <s v="wood"/>
    <s v="Bank"/>
    <m/>
  </r>
  <r>
    <d v="2025-08-07T00:00:00"/>
    <x v="8"/>
    <n v="16000"/>
    <m/>
    <s v="Farman"/>
    <s v="Bank"/>
    <m/>
  </r>
  <r>
    <d v="2025-08-07T00:00:00"/>
    <x v="12"/>
    <n v="1100"/>
    <m/>
    <s v="engine oil"/>
    <s v="Bank"/>
    <m/>
  </r>
  <r>
    <d v="2025-08-07T00:00:00"/>
    <x v="6"/>
    <n v="570"/>
    <m/>
    <s v="dori"/>
    <s v="Bank"/>
    <m/>
  </r>
  <r>
    <d v="2025-08-07T00:00:00"/>
    <x v="6"/>
    <n v="200"/>
    <m/>
    <s v="kharcha"/>
    <s v="Bank"/>
    <m/>
  </r>
  <r>
    <d v="2025-08-07T00:00:00"/>
    <x v="6"/>
    <n v="350"/>
    <m/>
    <s v="Plumber"/>
    <s v="Bank"/>
    <m/>
  </r>
  <r>
    <d v="2025-08-07T00:00:00"/>
    <x v="5"/>
    <m/>
    <n v="21000"/>
    <s v="rent"/>
    <s v="Bank"/>
    <m/>
  </r>
  <r>
    <d v="2025-08-07T00:00:00"/>
    <x v="12"/>
    <n v="8560"/>
    <m/>
    <s v="Diesel|Generator| 28/7/25"/>
    <s v="Bank"/>
    <m/>
  </r>
  <r>
    <d v="2025-08-07T00:00:00"/>
    <x v="12"/>
    <n v="24150"/>
    <m/>
    <s v="Pins, Brush"/>
    <s v="Bank"/>
    <m/>
  </r>
  <r>
    <d v="2025-08-08T00:00:00"/>
    <x v="0"/>
    <m/>
    <n v="120000"/>
    <m/>
    <s v="Bank"/>
    <m/>
  </r>
  <r>
    <d v="2025-08-08T00:00:00"/>
    <x v="8"/>
    <n v="30000"/>
    <m/>
    <s v="Khalid sahab"/>
    <s v="Bank"/>
    <m/>
  </r>
  <r>
    <d v="2025-08-08T00:00:00"/>
    <x v="7"/>
    <m/>
    <m/>
    <s v="withdrawal"/>
    <s v="Transfer"/>
    <n v="35000"/>
  </r>
  <r>
    <d v="2025-08-08T00:00:00"/>
    <x v="11"/>
    <n v="1620"/>
    <m/>
    <m/>
    <s v="Bank"/>
    <m/>
  </r>
  <r>
    <d v="2025-08-08T00:00:00"/>
    <x v="5"/>
    <n v="5316"/>
    <m/>
    <s v="petrol"/>
    <s v="Bank"/>
    <m/>
  </r>
  <r>
    <d v="2025-08-08T00:00:00"/>
    <x v="4"/>
    <n v="50000"/>
    <m/>
    <s v="SGE 681"/>
    <s v="Bank"/>
    <m/>
  </r>
  <r>
    <d v="2025-08-08T00:00:00"/>
    <x v="12"/>
    <n v="1250"/>
    <m/>
    <m/>
    <s v="Bank"/>
    <m/>
  </r>
  <r>
    <d v="2025-08-09T00:00:00"/>
    <x v="0"/>
    <m/>
    <n v="300000"/>
    <s v="Billing"/>
    <s v="Bank"/>
    <m/>
  </r>
  <r>
    <d v="2025-08-09T00:00:00"/>
    <x v="4"/>
    <n v="200103"/>
    <m/>
    <s v="wood"/>
    <s v="Bank"/>
    <m/>
  </r>
  <r>
    <d v="2025-08-09T00:00:00"/>
    <x v="4"/>
    <n v="35000"/>
    <m/>
    <s v="E 3229"/>
    <s v="Bank"/>
    <m/>
  </r>
  <r>
    <d v="2025-08-09T00:00:00"/>
    <x v="11"/>
    <n v="1790"/>
    <m/>
    <m/>
    <s v="Bank"/>
    <m/>
  </r>
  <r>
    <d v="2025-08-09T00:00:00"/>
    <x v="12"/>
    <n v="8610"/>
    <m/>
    <s v="Diesel|Generator| 9/8/25"/>
    <s v="Bank"/>
    <m/>
  </r>
  <r>
    <d v="2025-08-09T00:00:00"/>
    <x v="0"/>
    <m/>
    <n v="147000"/>
    <s v="billing"/>
    <s v="Bank"/>
    <m/>
  </r>
  <r>
    <d v="2025-08-09T00:00:00"/>
    <x v="2"/>
    <n v="69200"/>
    <m/>
    <s v="starch"/>
    <s v="Bank"/>
    <m/>
  </r>
  <r>
    <d v="2025-08-09T00:00:00"/>
    <x v="14"/>
    <n v="125000"/>
    <m/>
    <s v="PVA"/>
    <s v="Bank"/>
    <m/>
  </r>
  <r>
    <d v="2025-08-09T00:00:00"/>
    <x v="8"/>
    <n v="5000"/>
    <m/>
    <s v="Ejaz (finish operator)"/>
    <s v="Cash"/>
    <m/>
  </r>
  <r>
    <d v="2025-08-09T00:00:00"/>
    <x v="5"/>
    <n v="1000"/>
    <m/>
    <s v="Farman "/>
    <s v="Cash"/>
    <m/>
  </r>
  <r>
    <d v="2025-08-09T00:00:00"/>
    <x v="4"/>
    <n v="20000"/>
    <m/>
    <s v="Unloading"/>
    <s v="Cash"/>
    <m/>
  </r>
  <r>
    <d v="2025-08-09T00:00:00"/>
    <x v="0"/>
    <m/>
    <n v="40000"/>
    <m/>
    <s v="Bank"/>
    <m/>
  </r>
  <r>
    <d v="2025-08-09T00:00:00"/>
    <x v="15"/>
    <n v="40000"/>
    <m/>
    <s v="wood"/>
    <s v="Bank"/>
    <m/>
  </r>
  <r>
    <d v="2025-08-09T00:00:00"/>
    <x v="5"/>
    <n v="600"/>
    <m/>
    <s v="starch"/>
    <s v="Cash"/>
    <m/>
  </r>
  <r>
    <d v="2025-08-09T00:00:00"/>
    <x v="5"/>
    <n v="4512"/>
    <m/>
    <s v="LPG"/>
    <s v="Bank"/>
    <m/>
  </r>
  <r>
    <d v="2025-08-09T00:00:00"/>
    <x v="13"/>
    <n v="800"/>
    <m/>
    <m/>
    <s v="Cash"/>
    <m/>
  </r>
  <r>
    <d v="2025-08-09T00:00:00"/>
    <x v="13"/>
    <m/>
    <n v="800"/>
    <m/>
    <s v="Bank"/>
    <m/>
  </r>
  <r>
    <d v="2025-08-09T00:00:00"/>
    <x v="0"/>
    <m/>
    <n v="175000"/>
    <m/>
    <s v="Cash"/>
    <m/>
  </r>
  <r>
    <d v="2025-08-10T00:00:00"/>
    <x v="0"/>
    <m/>
    <n v="50000"/>
    <m/>
    <s v="Bank"/>
    <m/>
  </r>
  <r>
    <d v="2025-08-10T00:00:00"/>
    <x v="8"/>
    <n v="50000"/>
    <m/>
    <s v="Master Tanveer"/>
    <s v="Bank"/>
    <m/>
  </r>
  <r>
    <d v="2025-08-10T00:00:00"/>
    <x v="0"/>
    <m/>
    <n v="100000"/>
    <m/>
    <s v="Bank"/>
    <m/>
  </r>
  <r>
    <d v="2025-08-10T00:00:00"/>
    <x v="4"/>
    <n v="35600"/>
    <m/>
    <s v="TKA 303"/>
    <s v="Bank"/>
    <m/>
  </r>
  <r>
    <d v="2025-08-10T00:00:00"/>
    <x v="5"/>
    <n v="3500"/>
    <m/>
    <s v="LPG"/>
    <s v="Bank"/>
    <m/>
  </r>
  <r>
    <d v="2025-08-10T00:00:00"/>
    <x v="5"/>
    <n v="1100"/>
    <m/>
    <s v="workshop"/>
    <s v="Bank"/>
    <m/>
  </r>
  <r>
    <d v="2025-08-10T00:00:00"/>
    <x v="11"/>
    <n v="1750"/>
    <m/>
    <m/>
    <s v="Bank"/>
    <m/>
  </r>
  <r>
    <d v="2025-08-10T00:00:00"/>
    <x v="16"/>
    <m/>
    <n v="500"/>
    <s v="(4500 credit//4000 optix bill)"/>
    <s v="Bank"/>
    <m/>
  </r>
  <r>
    <d v="2025-08-11T00:00:00"/>
    <x v="0"/>
    <m/>
    <n v="500000"/>
    <m/>
    <s v="Cash"/>
    <m/>
  </r>
  <r>
    <d v="2025-08-11T00:00:00"/>
    <x v="4"/>
    <n v="36000"/>
    <m/>
    <s v="Les 5963"/>
    <s v="Bank"/>
    <m/>
  </r>
  <r>
    <d v="2025-08-11T00:00:00"/>
    <x v="4"/>
    <n v="28300"/>
    <m/>
    <s v="Les 1671"/>
    <s v="Cash"/>
    <m/>
  </r>
  <r>
    <d v="2025-08-11T00:00:00"/>
    <x v="5"/>
    <n v="1000"/>
    <m/>
    <s v="Toll tax"/>
    <s v="Bank"/>
    <m/>
  </r>
  <r>
    <d v="2025-08-11T00:00:00"/>
    <x v="3"/>
    <n v="598400"/>
    <m/>
    <m/>
    <s v="Cash"/>
    <m/>
  </r>
  <r>
    <d v="2025-08-11T00:00:00"/>
    <x v="0"/>
    <m/>
    <n v="28750"/>
    <m/>
    <s v="Bank"/>
    <m/>
  </r>
  <r>
    <d v="2025-08-11T00:00:00"/>
    <x v="0"/>
    <m/>
    <n v="8000"/>
    <m/>
    <s v="Bank"/>
    <m/>
  </r>
  <r>
    <d v="2025-08-11T00:00:00"/>
    <x v="1"/>
    <n v="28750"/>
    <m/>
    <s v="Orange H3R"/>
    <s v="Bank"/>
    <m/>
  </r>
  <r>
    <d v="2025-08-11T00:00:00"/>
    <x v="2"/>
    <n v="8000"/>
    <m/>
    <s v="NP9"/>
    <s v="Bank"/>
    <m/>
  </r>
  <r>
    <d v="2025-08-11T00:00:00"/>
    <x v="16"/>
    <m/>
    <n v="1000"/>
    <s v="Toll tax"/>
    <s v="Cash"/>
    <m/>
  </r>
  <r>
    <d v="2025-08-11T00:00:00"/>
    <x v="0"/>
    <m/>
    <n v="10000"/>
    <s v="Chain"/>
    <s v="Bank"/>
    <m/>
  </r>
  <r>
    <d v="2025-08-11T00:00:00"/>
    <x v="12"/>
    <n v="10000"/>
    <m/>
    <m/>
    <s v="Bank"/>
    <m/>
  </r>
  <r>
    <d v="2025-08-11T00:00:00"/>
    <x v="6"/>
    <n v="580"/>
    <m/>
    <s v="package"/>
    <s v="Bank"/>
    <m/>
  </r>
  <r>
    <d v="2025-08-11T00:00:00"/>
    <x v="12"/>
    <n v="50000"/>
    <m/>
    <m/>
    <s v="Cash"/>
    <m/>
  </r>
  <r>
    <d v="2025-08-11T00:00:00"/>
    <x v="6"/>
    <n v="200"/>
    <m/>
    <s v="Bottle (Farman)"/>
    <s v="Cash"/>
    <m/>
  </r>
  <r>
    <d v="2025-08-11T00:00:00"/>
    <x v="11"/>
    <n v="2400"/>
    <m/>
    <s v="Rashan"/>
    <s v="Bank"/>
    <m/>
  </r>
  <r>
    <d v="2025-08-11T00:00:00"/>
    <x v="5"/>
    <n v="5316"/>
    <m/>
    <s v="Petrol"/>
    <s v="Cash"/>
    <m/>
  </r>
  <r>
    <d v="2025-08-12T00:00:00"/>
    <x v="0"/>
    <m/>
    <n v="100000"/>
    <s v="billing"/>
    <s v="Cash"/>
    <m/>
  </r>
  <r>
    <d v="2025-08-12T00:00:00"/>
    <x v="4"/>
    <n v="48600"/>
    <m/>
    <s v="SGD 6691"/>
    <s v="Cash"/>
    <m/>
  </r>
  <r>
    <d v="2025-08-12T00:00:00"/>
    <x v="3"/>
    <n v="32080"/>
    <m/>
    <m/>
    <s v="Cash"/>
    <m/>
  </r>
  <r>
    <d v="2025-08-12T00:00:00"/>
    <x v="12"/>
    <n v="7150"/>
    <m/>
    <s v="bajwa"/>
    <s v="Cash"/>
    <m/>
  </r>
  <r>
    <d v="2025-08-12T00:00:00"/>
    <x v="16"/>
    <n v="1500"/>
    <m/>
    <s v="oil change"/>
    <s v="Cash"/>
    <m/>
  </r>
  <r>
    <d v="2025-08-12T00:00:00"/>
    <x v="0"/>
    <m/>
    <n v="49650"/>
    <s v="Billing"/>
    <s v="Bank"/>
    <m/>
  </r>
  <r>
    <d v="2025-08-12T00:00:00"/>
    <x v="6"/>
    <n v="1000"/>
    <m/>
    <s v="Tanveer old "/>
    <s v="Cash"/>
    <m/>
  </r>
  <r>
    <d v="2025-08-12T00:00:00"/>
    <x v="6"/>
    <n v="2000"/>
    <m/>
    <s v="mithai (bore)"/>
    <s v="Cash"/>
    <m/>
  </r>
  <r>
    <d v="2025-08-12T00:00:00"/>
    <x v="0"/>
    <m/>
    <n v="25000"/>
    <s v="farman//parts"/>
    <s v="Bank"/>
    <m/>
  </r>
  <r>
    <d v="2025-08-12T00:00:00"/>
    <x v="14"/>
    <n v="5000"/>
    <m/>
    <m/>
    <s v="Bank"/>
    <m/>
  </r>
  <r>
    <d v="2025-08-12T00:00:00"/>
    <x v="17"/>
    <m/>
    <n v="70000"/>
    <s v="bore "/>
    <s v="Bank"/>
    <m/>
  </r>
  <r>
    <d v="2025-08-12T00:00:00"/>
    <x v="12"/>
    <n v="70000"/>
    <m/>
    <s v="bore"/>
    <s v="Bank"/>
    <m/>
  </r>
  <r>
    <d v="2025-08-12T00:00:00"/>
    <x v="3"/>
    <n v="30000"/>
    <m/>
    <s v="naeem"/>
    <s v="Bank"/>
    <m/>
  </r>
  <r>
    <d v="2025-08-12T00:00:00"/>
    <x v="18"/>
    <m/>
    <n v="200000"/>
    <s v="Billing"/>
    <s v="Bank"/>
    <m/>
  </r>
  <r>
    <d v="2025-08-12T00:00:00"/>
    <x v="4"/>
    <n v="202000"/>
    <m/>
    <s v="wood"/>
    <s v="Bank"/>
    <m/>
  </r>
  <r>
    <d v="2025-08-12T00:00:00"/>
    <x v="11"/>
    <n v="1830"/>
    <m/>
    <m/>
    <s v="Bank"/>
    <m/>
  </r>
  <r>
    <d v="2025-08-12T00:00:00"/>
    <x v="5"/>
    <n v="4600"/>
    <m/>
    <s v="LPG"/>
    <s v="Bank"/>
    <m/>
  </r>
  <r>
    <d v="2025-08-13T00:00:00"/>
    <x v="19"/>
    <m/>
    <n v="300000"/>
    <s v="Billing"/>
    <s v="Bank"/>
    <m/>
  </r>
  <r>
    <d v="2025-08-13T00:00:00"/>
    <x v="20"/>
    <n v="12000"/>
    <m/>
    <s v="Rent (RIR 1055)"/>
    <s v="Bank"/>
    <m/>
  </r>
  <r>
    <d v="2025-08-13T00:00:00"/>
    <x v="8"/>
    <n v="500"/>
    <m/>
    <s v="Qadeer Driver"/>
    <s v="Cash"/>
    <m/>
  </r>
  <r>
    <d v="2025-08-13T00:00:00"/>
    <x v="4"/>
    <n v="27500"/>
    <m/>
    <s v="LWC 1972"/>
    <s v="Bank"/>
    <m/>
  </r>
  <r>
    <d v="2025-08-13T00:00:00"/>
    <x v="12"/>
    <n v="27000"/>
    <m/>
    <s v="Farman parts detail"/>
    <s v="Bank"/>
    <m/>
  </r>
  <r>
    <d v="2025-08-13T00:00:00"/>
    <x v="12"/>
    <n v="8400"/>
    <m/>
    <s v="Bore"/>
    <s v="Bank"/>
    <m/>
  </r>
  <r>
    <d v="2025-08-13T00:00:00"/>
    <x v="2"/>
    <n v="69300"/>
    <m/>
    <s v="starch"/>
    <s v="Bank"/>
    <m/>
  </r>
  <r>
    <d v="2025-08-13T00:00:00"/>
    <x v="2"/>
    <n v="600"/>
    <m/>
    <s v="starch"/>
    <s v="Cash"/>
    <m/>
  </r>
  <r>
    <d v="2025-08-13T00:00:00"/>
    <x v="5"/>
    <n v="2500"/>
    <m/>
    <s v="5 pheray (container to factory)"/>
    <s v="Cash"/>
    <m/>
  </r>
  <r>
    <d v="2025-08-13T00:00:00"/>
    <x v="0"/>
    <m/>
    <n v="114250"/>
    <s v="chemicals"/>
    <s v="Bank"/>
    <m/>
  </r>
  <r>
    <d v="2025-08-13T00:00:00"/>
    <x v="1"/>
    <n v="114250"/>
    <m/>
    <m/>
    <s v="Bank"/>
    <m/>
  </r>
  <r>
    <d v="2025-08-13T00:00:00"/>
    <x v="12"/>
    <n v="2000"/>
    <m/>
    <s v="plumber//bore"/>
    <s v="Cash"/>
    <m/>
  </r>
  <r>
    <d v="2025-08-13T00:00:00"/>
    <x v="6"/>
    <n v="1300"/>
    <m/>
    <s v="package//farman"/>
    <s v="Bank"/>
    <m/>
  </r>
  <r>
    <d v="2025-08-13T00:00:00"/>
    <x v="9"/>
    <m/>
    <n v="300000"/>
    <s v="Billing"/>
    <s v="Bank"/>
    <m/>
  </r>
  <r>
    <d v="2025-08-13T00:00:00"/>
    <x v="5"/>
    <n v="3000"/>
    <m/>
    <s v="petrol"/>
    <s v="Cash"/>
    <m/>
  </r>
  <r>
    <d v="2025-08-13T00:00:00"/>
    <x v="4"/>
    <n v="200500"/>
    <m/>
    <s v="wood"/>
    <s v="Bank"/>
    <m/>
  </r>
  <r>
    <d v="2025-08-13T00:00:00"/>
    <x v="17"/>
    <n v="70000"/>
    <m/>
    <s v="70k returned"/>
    <s v="Bank"/>
    <m/>
  </r>
  <r>
    <d v="2025-08-13T00:00:00"/>
    <x v="3"/>
    <n v="7000"/>
    <m/>
    <s v="Ishtiyaq"/>
    <s v="Bank"/>
    <m/>
  </r>
  <r>
    <d v="2025-08-13T00:00:00"/>
    <x v="3"/>
    <n v="20000"/>
    <m/>
    <s v="Khalid sahab"/>
    <s v="Bank"/>
    <m/>
  </r>
  <r>
    <d v="2025-08-13T00:00:00"/>
    <x v="11"/>
    <n v="1430"/>
    <m/>
    <s v="Rashan"/>
    <s v="Bank"/>
    <m/>
  </r>
  <r>
    <d v="2025-08-14T00:00:00"/>
    <x v="11"/>
    <n v="2400"/>
    <m/>
    <s v="Rashan"/>
    <s v="Bank"/>
    <m/>
  </r>
  <r>
    <d v="2025-08-14T00:00:00"/>
    <x v="15"/>
    <n v="70000"/>
    <m/>
    <s v="wood"/>
    <s v="Bank"/>
    <m/>
  </r>
  <r>
    <d v="2025-08-15T00:00:00"/>
    <x v="7"/>
    <m/>
    <m/>
    <m/>
    <s v="Transfer"/>
    <n v="17000"/>
  </r>
  <r>
    <d v="2025-08-15T00:00:00"/>
    <x v="7"/>
    <m/>
    <m/>
    <m/>
    <s v="Transfer"/>
    <n v="70000"/>
  </r>
  <r>
    <d v="2025-08-15T00:00:00"/>
    <x v="5"/>
    <n v="2500"/>
    <m/>
    <s v="engine oil"/>
    <s v="Cash"/>
    <m/>
  </r>
  <r>
    <d v="2025-08-15T00:00:00"/>
    <x v="6"/>
    <n v="900"/>
    <m/>
    <s v="shoppers"/>
    <s v="Bank"/>
    <m/>
  </r>
  <r>
    <d v="2025-08-15T00:00:00"/>
    <x v="21"/>
    <m/>
    <n v="300000"/>
    <s v="billing"/>
    <s v="Bank"/>
    <m/>
  </r>
  <r>
    <d v="2025-08-15T00:00:00"/>
    <x v="22"/>
    <m/>
    <n v="100000"/>
    <s v="Billing"/>
    <s v="Bank"/>
    <m/>
  </r>
  <r>
    <d v="2025-08-15T00:00:00"/>
    <x v="3"/>
    <n v="100000"/>
    <m/>
    <s v="Master Tanveer"/>
    <s v="Bank"/>
    <m/>
  </r>
  <r>
    <d v="2025-08-15T00:00:00"/>
    <x v="4"/>
    <n v="205000"/>
    <m/>
    <s v="wood"/>
    <s v="Bank"/>
    <m/>
  </r>
  <r>
    <d v="2025-08-15T00:00:00"/>
    <x v="11"/>
    <n v="1620"/>
    <m/>
    <m/>
    <s v="Bank"/>
    <m/>
  </r>
  <r>
    <d v="2025-08-15T00:00:00"/>
    <x v="4"/>
    <n v="56120"/>
    <m/>
    <s v="JT 8395"/>
    <s v="Cash"/>
    <m/>
  </r>
  <r>
    <d v="2025-08-15T00:00:00"/>
    <x v="4"/>
    <n v="8000"/>
    <m/>
    <s v="wood unloading"/>
    <s v="Cash"/>
    <m/>
  </r>
  <r>
    <d v="2025-08-15T00:00:00"/>
    <x v="6"/>
    <n v="1200"/>
    <m/>
    <s v="cleaning (sand)"/>
    <s v="Cash"/>
    <m/>
  </r>
  <r>
    <d v="2025-08-15T00:00:00"/>
    <x v="20"/>
    <n v="1000"/>
    <m/>
    <s v="unloading"/>
    <s v="Cash"/>
    <m/>
  </r>
  <r>
    <d v="2025-08-15T00:00:00"/>
    <x v="11"/>
    <n v="13000"/>
    <m/>
    <s v="Atta"/>
    <s v="Bank"/>
    <m/>
  </r>
  <r>
    <d v="2025-08-15T00:00:00"/>
    <x v="3"/>
    <n v="12000"/>
    <m/>
    <s v="Sajid Khan"/>
    <s v="Cash"/>
    <m/>
  </r>
  <r>
    <d v="2025-08-15T00:00:00"/>
    <x v="5"/>
    <n v="6480"/>
    <m/>
    <s v="LPG"/>
    <s v="Bank"/>
    <m/>
  </r>
  <r>
    <d v="2025-08-16T00:00:00"/>
    <x v="11"/>
    <n v="2915"/>
    <m/>
    <m/>
    <s v="Bank"/>
    <m/>
  </r>
  <r>
    <d v="2025-08-16T00:00:00"/>
    <x v="5"/>
    <n v="5310"/>
    <m/>
    <m/>
    <s v="Bank"/>
    <m/>
  </r>
  <r>
    <d v="2025-08-16T00:00:00"/>
    <x v="23"/>
    <n v="1000"/>
    <m/>
    <m/>
    <s v="Bank"/>
    <m/>
  </r>
  <r>
    <d v="2025-08-16T00:00:00"/>
    <x v="16"/>
    <m/>
    <n v="1000"/>
    <s v="Razzaq sb"/>
    <s v="Bank"/>
    <m/>
  </r>
  <r>
    <d v="2025-08-16T00:00:00"/>
    <x v="4"/>
    <n v="39000"/>
    <m/>
    <s v="E 3229"/>
    <s v="Bank"/>
    <m/>
  </r>
  <r>
    <d v="2025-08-16T00:00:00"/>
    <x v="2"/>
    <n v="69950"/>
    <m/>
    <s v="starch"/>
    <s v="Bank"/>
    <m/>
  </r>
  <r>
    <d v="2025-08-16T00:00:00"/>
    <x v="12"/>
    <n v="80000"/>
    <m/>
    <s v="Bore"/>
    <s v="Bank"/>
    <m/>
  </r>
  <r>
    <d v="2025-08-16T00:00:00"/>
    <x v="0"/>
    <m/>
    <n v="80000"/>
    <s v="Bore"/>
    <s v="Bank"/>
    <m/>
  </r>
  <r>
    <d v="2025-08-16T00:00:00"/>
    <x v="0"/>
    <m/>
    <n v="128420"/>
    <s v="chemicals"/>
    <s v="Bank"/>
    <m/>
  </r>
  <r>
    <d v="2025-08-16T00:00:00"/>
    <x v="1"/>
    <n v="124500"/>
    <m/>
    <m/>
    <s v="Bank"/>
    <m/>
  </r>
  <r>
    <d v="2025-08-16T00:00:00"/>
    <x v="1"/>
    <n v="3920"/>
    <m/>
    <m/>
    <s v="Bank"/>
    <m/>
  </r>
  <r>
    <d v="2025-08-16T00:00:00"/>
    <x v="4"/>
    <n v="201150"/>
    <m/>
    <s v="wood"/>
    <s v="Bank"/>
    <m/>
  </r>
  <r>
    <d v="2025-08-16T00:00:00"/>
    <x v="0"/>
    <m/>
    <n v="200000"/>
    <m/>
    <s v="Bank"/>
    <m/>
  </r>
  <r>
    <d v="2025-08-18T00:00:00"/>
    <x v="8"/>
    <n v="100000"/>
    <m/>
    <s v="Master Zulfiqar"/>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414267.55669348943"/>
    <n v="10"/>
    <n v="4142675.5669348943"/>
  </r>
  <r>
    <x v="1"/>
    <n v="61235.369422092175"/>
    <n v="10"/>
    <n v="612353.69422092172"/>
  </r>
  <r>
    <x v="2"/>
    <n v="76517.922457937093"/>
    <n v="10"/>
    <n v="765179.22457937093"/>
  </r>
  <r>
    <x v="3"/>
    <n v="83155.632772494515"/>
    <n v="10.5"/>
    <n v="873134.14411119244"/>
  </r>
  <r>
    <x v="4"/>
    <n v="139479.7000731529"/>
    <n v="10"/>
    <n v="1434963.4235552307"/>
  </r>
  <r>
    <x v="5"/>
    <n v="156420.99487929774"/>
    <n v="10"/>
    <n v="1564209.9487929773"/>
  </r>
  <r>
    <x v="6"/>
    <n v="21851.682516459401"/>
    <n v="10"/>
    <n v="218516.82516459402"/>
  </r>
  <r>
    <x v="7"/>
    <n v="19940.563277249454"/>
    <n v="10"/>
    <n v="199405.6327724945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s v="Black"/>
    <n v="2"/>
    <m/>
    <n v="47000"/>
    <x v="0"/>
    <n v="47000"/>
    <n v="0"/>
    <m/>
  </r>
  <r>
    <x v="0"/>
    <s v="Blue"/>
    <n v="1"/>
    <m/>
    <n v="28750"/>
    <x v="0"/>
    <n v="28750"/>
    <n v="0"/>
    <m/>
  </r>
  <r>
    <x v="1"/>
    <s v="Black"/>
    <n v="4"/>
    <n v="940"/>
    <n v="94000"/>
    <x v="1"/>
    <n v="0"/>
    <n v="94000"/>
    <m/>
  </r>
  <r>
    <x v="1"/>
    <s v="Blue"/>
    <n v="2"/>
    <n v="1140"/>
    <n v="57000"/>
    <x v="1"/>
    <n v="0"/>
    <n v="57000"/>
    <m/>
  </r>
  <r>
    <x v="1"/>
    <s v="Yellow 4G"/>
    <n v="2"/>
    <n v="1300"/>
    <n v="65000"/>
    <x v="1"/>
    <n v="0"/>
    <n v="65000"/>
    <m/>
  </r>
  <r>
    <x v="1"/>
    <s v="Scarlet B"/>
    <n v="2"/>
    <n v="1140"/>
    <n v="57000"/>
    <x v="1"/>
    <n v="0"/>
    <n v="57000"/>
    <m/>
  </r>
  <r>
    <x v="1"/>
    <s v="Rubine B"/>
    <n v="2"/>
    <n v="1140"/>
    <n v="57000"/>
    <x v="1"/>
    <n v="0"/>
    <n v="57000"/>
    <m/>
  </r>
  <r>
    <x v="1"/>
    <s v="Red F3BS"/>
    <n v="1"/>
    <n v="1650"/>
    <n v="41250"/>
    <x v="1"/>
    <n v="0"/>
    <n v="41250"/>
    <m/>
  </r>
  <r>
    <x v="1"/>
    <s v="Violet 3R"/>
    <n v="1"/>
    <n v="1450"/>
    <n v="36250"/>
    <x v="1"/>
    <n v="0"/>
    <n v="36250"/>
    <m/>
  </r>
  <r>
    <x v="1"/>
    <s v="Violet 5R"/>
    <n v="1"/>
    <n v="1450"/>
    <n v="36250"/>
    <x v="1"/>
    <n v="0"/>
    <n v="36250"/>
    <m/>
  </r>
  <r>
    <x v="1"/>
    <s v="Blue GSL"/>
    <n v="1"/>
    <n v="3100"/>
    <n v="77500"/>
    <x v="1"/>
    <n v="0"/>
    <n v="77500"/>
    <m/>
  </r>
  <r>
    <x v="1"/>
    <s v="Yellow 10GF"/>
    <n v="1"/>
    <n v="1850"/>
    <n v="46250"/>
    <x v="1"/>
    <n v="0"/>
    <n v="46250"/>
    <m/>
  </r>
  <r>
    <x v="2"/>
    <s v="Chemicals"/>
    <n v="1"/>
    <m/>
    <n v="67300"/>
    <x v="0"/>
    <n v="67300"/>
    <n v="0"/>
    <s v="disp pwdr etc"/>
  </r>
  <r>
    <x v="3"/>
    <s v="Orange H3R"/>
    <n v="1"/>
    <m/>
    <n v="28750"/>
    <x v="0"/>
    <n v="28750"/>
    <n v="0"/>
    <m/>
  </r>
  <r>
    <x v="4"/>
    <s v="Chemicals"/>
    <m/>
    <m/>
    <n v="114250"/>
    <x v="0"/>
    <n v="114250"/>
    <n v="0"/>
    <s v="Dyes"/>
  </r>
  <r>
    <x v="5"/>
    <s v="Chemicals"/>
    <m/>
    <m/>
    <n v="114250"/>
    <x v="0"/>
    <n v="114250"/>
    <n v="0"/>
    <s v="Dyes"/>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d v="2025-07-24T00:00:00"/>
    <x v="0"/>
    <s v="Starch"/>
    <n v="6"/>
    <n v="0"/>
    <n v="21900"/>
    <n v="21900"/>
    <n v="0"/>
  </r>
  <r>
    <d v="2025-07-25T00:00:00"/>
    <x v="0"/>
    <s v="Starch"/>
    <n v="14"/>
    <n v="0"/>
    <n v="48300"/>
    <n v="48300"/>
    <n v="0"/>
  </r>
  <r>
    <d v="2025-07-28T00:00:00"/>
    <x v="0"/>
    <s v="Starch"/>
    <n v="14"/>
    <n v="0"/>
    <n v="48800"/>
    <n v="48800"/>
    <n v="0"/>
  </r>
  <r>
    <d v="2025-07-28T00:00:00"/>
    <x v="1"/>
    <s v="PVA"/>
    <n v="3"/>
    <n v="125"/>
    <n v="75000"/>
    <n v="0"/>
    <n v="75000"/>
  </r>
  <r>
    <d v="2025-08-02T00:00:00"/>
    <x v="0"/>
    <s v="Starch"/>
    <n v="14"/>
    <m/>
    <n v="48300"/>
    <n v="48300"/>
    <n v="0"/>
  </r>
  <r>
    <d v="2025-08-04T00:00:00"/>
    <x v="0"/>
    <s v="Starch"/>
    <n v="10"/>
    <m/>
    <n v="69200"/>
    <n v="69200"/>
    <n v="0"/>
  </r>
  <r>
    <d v="2025-08-05T00:00:00"/>
    <x v="1"/>
    <s v="PVA"/>
    <n v="1"/>
    <n v="125"/>
    <n v="25000"/>
    <n v="0"/>
    <n v="25000"/>
  </r>
  <r>
    <d v="2025-08-07T00:00:00"/>
    <x v="1"/>
    <s v="PVA"/>
    <n v="2"/>
    <n v="125"/>
    <n v="50000"/>
    <n v="0"/>
    <n v="50000"/>
  </r>
  <r>
    <d v="2025-08-09T00:00:00"/>
    <x v="1"/>
    <s v="PVA"/>
    <n v="1"/>
    <n v="125"/>
    <n v="25000"/>
    <n v="125000"/>
    <n v="-100000"/>
  </r>
  <r>
    <d v="2025-08-09T00:00:00"/>
    <x v="0"/>
    <s v="Starch"/>
    <n v="10"/>
    <m/>
    <n v="69800"/>
    <n v="69800"/>
    <n v="0"/>
  </r>
  <r>
    <d v="2025-08-11T00:00:00"/>
    <x v="0"/>
    <s v="NP9"/>
    <n v="1"/>
    <m/>
    <n v="8000"/>
    <n v="8000"/>
    <n v="0"/>
  </r>
  <r>
    <d v="2025-08-12T00:00:00"/>
    <x v="1"/>
    <s v="PVA"/>
    <n v="2"/>
    <n v="125"/>
    <n v="50000"/>
    <n v="5000"/>
    <n v="45000"/>
  </r>
  <r>
    <d v="2025-08-13T00:00:00"/>
    <x v="0"/>
    <s v="Starch"/>
    <n v="10"/>
    <m/>
    <n v="69900"/>
    <n v="69900"/>
    <n v="0"/>
  </r>
  <r>
    <d v="2025-08-16T00:00:00"/>
    <x v="0"/>
    <s v="Starch"/>
    <n v="10"/>
    <m/>
    <n v="69950"/>
    <n v="69950"/>
    <n v="0"/>
  </r>
  <r>
    <m/>
    <x v="2"/>
    <m/>
    <m/>
    <m/>
    <m/>
    <m/>
    <n v="0"/>
  </r>
  <r>
    <m/>
    <x v="2"/>
    <m/>
    <m/>
    <m/>
    <m/>
    <m/>
    <n v="0"/>
  </r>
  <r>
    <m/>
    <x v="2"/>
    <m/>
    <m/>
    <m/>
    <m/>
    <m/>
    <n v="0"/>
  </r>
  <r>
    <m/>
    <x v="2"/>
    <m/>
    <m/>
    <m/>
    <m/>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n v="276"/>
    <n v="750"/>
    <n v="42550"/>
    <n v="207000"/>
    <n v="0"/>
    <n v="207000"/>
  </r>
  <r>
    <x v="1"/>
    <x v="0"/>
    <x v="1"/>
    <n v="206"/>
    <n v="750"/>
    <n v="40000"/>
    <n v="154500"/>
    <n v="0"/>
    <n v="154500"/>
  </r>
  <r>
    <x v="2"/>
    <x v="0"/>
    <x v="2"/>
    <n v="248"/>
    <n v="750"/>
    <n v="36620"/>
    <n v="186000"/>
    <n v="0"/>
    <n v="186000"/>
  </r>
  <r>
    <x v="3"/>
    <x v="1"/>
    <x v="3"/>
    <n v="39"/>
    <n v="700"/>
    <n v="0"/>
    <n v="27300"/>
    <n v="0"/>
    <n v="27300"/>
  </r>
  <r>
    <x v="4"/>
    <x v="0"/>
    <x v="2"/>
    <n v="297"/>
    <n v="765"/>
    <n v="47000"/>
    <n v="227205"/>
    <n v="0"/>
    <n v="227205"/>
  </r>
  <r>
    <x v="5"/>
    <x v="0"/>
    <x v="4"/>
    <n v="432"/>
    <n v="765"/>
    <n v="81000"/>
    <n v="330480"/>
    <n v="0"/>
    <n v="330480"/>
  </r>
  <r>
    <x v="6"/>
    <x v="0"/>
    <x v="5"/>
    <n v="240"/>
    <n v="765"/>
    <n v="25250"/>
    <n v="183600"/>
    <m/>
    <n v="183600"/>
  </r>
  <r>
    <x v="6"/>
    <x v="0"/>
    <x v="6"/>
    <m/>
    <m/>
    <m/>
    <n v="0"/>
    <n v="190250"/>
    <n v="-190250"/>
  </r>
  <r>
    <x v="7"/>
    <x v="0"/>
    <x v="2"/>
    <n v="259"/>
    <n v="765"/>
    <n v="0"/>
    <n v="198135"/>
    <n v="200000"/>
    <n v="-1865"/>
  </r>
  <r>
    <x v="8"/>
    <x v="0"/>
    <x v="7"/>
    <n v="219"/>
    <n v="765"/>
    <m/>
    <n v="167535"/>
    <m/>
    <n v="167535"/>
  </r>
  <r>
    <x v="9"/>
    <x v="0"/>
    <x v="8"/>
    <n v="229"/>
    <n v="765"/>
    <m/>
    <n v="175185"/>
    <m/>
    <n v="175185"/>
  </r>
  <r>
    <x v="9"/>
    <x v="0"/>
    <x v="9"/>
    <n v="282"/>
    <n v="765"/>
    <m/>
    <n v="215730"/>
    <n v="301550"/>
    <n v="-85820"/>
  </r>
  <r>
    <x v="9"/>
    <x v="1"/>
    <x v="10"/>
    <n v="39"/>
    <n v="700"/>
    <m/>
    <n v="27300"/>
    <n v="0"/>
    <n v="27300"/>
  </r>
  <r>
    <x v="10"/>
    <x v="0"/>
    <x v="11"/>
    <n v="283"/>
    <n v="765"/>
    <n v="28550"/>
    <n v="216495"/>
    <n v="375550"/>
    <n v="-159055"/>
  </r>
  <r>
    <x v="10"/>
    <x v="0"/>
    <x v="12"/>
    <n v="206"/>
    <n v="765"/>
    <n v="34000"/>
    <n v="157590"/>
    <m/>
    <n v="157590"/>
  </r>
  <r>
    <x v="10"/>
    <x v="0"/>
    <x v="13"/>
    <n v="266"/>
    <n v="765"/>
    <n v="48000"/>
    <n v="203490"/>
    <m/>
    <n v="203490"/>
  </r>
  <r>
    <x v="11"/>
    <x v="0"/>
    <x v="14"/>
    <n v="258"/>
    <n v="765"/>
    <n v="50000"/>
    <n v="197370"/>
    <n v="50000"/>
    <n v="147370"/>
  </r>
  <r>
    <x v="12"/>
    <x v="0"/>
    <x v="7"/>
    <n v="215"/>
    <n v="765"/>
    <n v="35000"/>
    <n v="164475"/>
    <n v="255103"/>
    <n v="-90628"/>
  </r>
  <r>
    <x v="12"/>
    <x v="1"/>
    <x v="10"/>
    <m/>
    <m/>
    <m/>
    <n v="0"/>
    <n v="40000"/>
    <n v="-40000"/>
  </r>
  <r>
    <x v="13"/>
    <x v="0"/>
    <x v="15"/>
    <n v="202"/>
    <n v="765"/>
    <n v="35600"/>
    <n v="154530"/>
    <n v="35600"/>
    <n v="118930"/>
  </r>
  <r>
    <x v="14"/>
    <x v="0"/>
    <x v="16"/>
    <n v="218"/>
    <n v="765"/>
    <n v="36000"/>
    <n v="166770"/>
    <n v="64300"/>
    <n v="102470"/>
  </r>
  <r>
    <x v="14"/>
    <x v="0"/>
    <x v="17"/>
    <n v="268"/>
    <n v="765"/>
    <n v="28300"/>
    <n v="205020"/>
    <m/>
    <n v="205020"/>
  </r>
  <r>
    <x v="15"/>
    <x v="1"/>
    <x v="18"/>
    <n v="40"/>
    <n v="700"/>
    <m/>
    <n v="28000"/>
    <m/>
    <n v="28000"/>
  </r>
  <r>
    <x v="15"/>
    <x v="0"/>
    <x v="19"/>
    <n v="264"/>
    <n v="765"/>
    <n v="27500"/>
    <n v="201960"/>
    <n v="228000"/>
    <n v="-26040"/>
  </r>
  <r>
    <x v="15"/>
    <x v="2"/>
    <x v="6"/>
    <m/>
    <m/>
    <m/>
    <n v="0"/>
    <n v="12000"/>
    <n v="-12000"/>
  </r>
  <r>
    <x v="16"/>
    <x v="1"/>
    <x v="6"/>
    <m/>
    <m/>
    <m/>
    <n v="0"/>
    <n v="70000"/>
    <n v="-70000"/>
  </r>
  <r>
    <x v="17"/>
    <x v="2"/>
    <x v="20"/>
    <m/>
    <m/>
    <m/>
    <n v="1000"/>
    <n v="1000"/>
    <n v="-1000"/>
  </r>
  <r>
    <x v="18"/>
    <x v="0"/>
    <x v="6"/>
    <m/>
    <m/>
    <m/>
    <n v="0"/>
    <m/>
    <n v="0"/>
  </r>
  <r>
    <x v="17"/>
    <x v="0"/>
    <x v="6"/>
    <m/>
    <m/>
    <m/>
    <n v="0"/>
    <n v="269120"/>
    <n v="-269120"/>
  </r>
  <r>
    <x v="19"/>
    <x v="0"/>
    <x v="6"/>
    <m/>
    <m/>
    <m/>
    <n v="0"/>
    <n v="240150"/>
    <n v="-240150"/>
  </r>
  <r>
    <x v="20"/>
    <x v="0"/>
    <x v="6"/>
    <m/>
    <m/>
    <m/>
    <n v="0"/>
    <n v="250600"/>
    <n v="-2506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x v="0"/>
    <x v="0"/>
    <s v="chamki"/>
    <x v="0"/>
    <n v="30352"/>
    <n v="21904"/>
    <n v="34.010077899922052"/>
    <n v="20029.261155815657"/>
    <n v="200292.61155815655"/>
    <m/>
  </r>
  <r>
    <x v="0"/>
    <x v="0"/>
    <x v="1"/>
    <s v="chamki"/>
    <x v="1"/>
    <n v="34595"/>
    <n v="4318"/>
    <n v="0.64782439669481562"/>
    <n v="3948.4272128749089"/>
    <n v="39484.272128749086"/>
    <m/>
  </r>
  <r>
    <x v="0"/>
    <x v="0"/>
    <x v="2"/>
    <s v="chamki"/>
    <x v="2"/>
    <n v="33269"/>
    <n v="1826"/>
    <n v="94.981169546031452"/>
    <n v="1669.7147037307975"/>
    <n v="16697.147037307976"/>
    <m/>
  </r>
  <r>
    <x v="0"/>
    <x v="0"/>
    <x v="3"/>
    <s v="chamki"/>
    <x v="3"/>
    <n v="24261"/>
    <n v="17764"/>
    <n v="2.6791578670473513"/>
    <n v="16243.599122165328"/>
    <n v="162435.99122165327"/>
    <m/>
  </r>
  <r>
    <x v="1"/>
    <x v="0"/>
    <x v="4"/>
    <s v="chamki"/>
    <x v="3"/>
    <n v="24261"/>
    <n v="8057"/>
    <n v="2.6791578670473513"/>
    <n v="7367.4103877103153"/>
    <n v="73674.10387710316"/>
    <m/>
  </r>
  <r>
    <x v="1"/>
    <x v="0"/>
    <x v="5"/>
    <s v="chamki"/>
    <x v="4"/>
    <n v="22149"/>
    <n v="23975"/>
    <n v="1.0203323682330563"/>
    <n v="21923.00658376006"/>
    <n v="219230.06583760059"/>
    <m/>
  </r>
  <r>
    <x v="1"/>
    <x v="0"/>
    <x v="6"/>
    <s v="chamki"/>
    <x v="5"/>
    <n v="17757"/>
    <n v="14312"/>
    <n v="0.69547770789590402"/>
    <n v="13087.051938551574"/>
    <n v="130870.51938551574"/>
    <m/>
  </r>
  <r>
    <x v="1"/>
    <x v="0"/>
    <x v="7"/>
    <s v="chamki"/>
    <x v="5"/>
    <n v="17757"/>
    <n v="4972"/>
    <n v="0.69547770789590402"/>
    <n v="4546.452084857352"/>
    <n v="45464.52084857352"/>
    <m/>
  </r>
  <r>
    <x v="2"/>
    <x v="0"/>
    <x v="8"/>
    <s v="chamki"/>
    <x v="6"/>
    <n v="100721"/>
    <n v="13290"/>
    <n v="-1.0935369591681621"/>
    <n v="12152.523774689102"/>
    <n v="121525.23774689101"/>
    <m/>
  </r>
  <r>
    <x v="2"/>
    <x v="0"/>
    <x v="9"/>
    <s v="chamki"/>
    <x v="6"/>
    <n v="100721"/>
    <n v="39944"/>
    <n v="-1.0935369591681621"/>
    <n v="36525.237746891005"/>
    <n v="365252.37746891007"/>
    <m/>
  </r>
  <r>
    <x v="2"/>
    <x v="0"/>
    <x v="10"/>
    <s v="chamki"/>
    <x v="1"/>
    <n v="34595"/>
    <n v="33270"/>
    <n v="0.64782439669481562"/>
    <n v="30422.457937088519"/>
    <n v="304224.57937088516"/>
    <m/>
  </r>
  <r>
    <x v="2"/>
    <x v="0"/>
    <x v="11"/>
    <s v="chamki"/>
    <x v="6"/>
    <n v="100721"/>
    <n v="6746"/>
    <n v="-1.0935369591681621"/>
    <n v="6168.6174103877111"/>
    <n v="61686.174103877114"/>
    <m/>
  </r>
  <r>
    <x v="3"/>
    <x v="0"/>
    <x v="12"/>
    <s v="chamki"/>
    <x v="6"/>
    <n v="100721"/>
    <n v="51373"/>
    <n v="-1.0935369591681621"/>
    <n v="46976.042428675937"/>
    <n v="469760.42428675934"/>
    <m/>
  </r>
  <r>
    <x v="3"/>
    <x v="0"/>
    <x v="13"/>
    <s v="chamki"/>
    <x v="7"/>
    <s v="-"/>
    <n v="6925"/>
    <e v="#DIV/0!"/>
    <m/>
    <n v="0"/>
    <m/>
  </r>
  <r>
    <x v="4"/>
    <x v="1"/>
    <x v="14"/>
    <s v="chamki"/>
    <x v="8"/>
    <n v="27931"/>
    <n v="29944"/>
    <n v="1.9686851365905085"/>
    <n v="27381.126554498904"/>
    <n v="273811.26554498903"/>
    <m/>
  </r>
  <r>
    <x v="4"/>
    <x v="2"/>
    <x v="15"/>
    <s v="chamki"/>
    <x v="9"/>
    <n v="34026"/>
    <n v="15774"/>
    <n v="2.1145282808176518"/>
    <n v="14423.9209948793"/>
    <n v="144239.209948793"/>
    <m/>
  </r>
  <r>
    <x v="4"/>
    <x v="2"/>
    <x v="16"/>
    <s v="chamki"/>
    <x v="9"/>
    <n v="34026"/>
    <n v="12076"/>
    <n v="2.1145282808176518"/>
    <n v="11042.428675932701"/>
    <n v="110424.28675932701"/>
    <m/>
  </r>
  <r>
    <x v="5"/>
    <x v="3"/>
    <x v="17"/>
    <s v="chamki"/>
    <x v="10"/>
    <n v="1859"/>
    <n v="2036"/>
    <n v="-0.14744694841482442"/>
    <n v="1861.7410387710315"/>
    <n v="19548.280907095832"/>
    <m/>
  </r>
  <r>
    <x v="6"/>
    <x v="0"/>
    <x v="18"/>
    <s v="chamki"/>
    <x v="11"/>
    <n v="29483"/>
    <n v="32201"/>
    <n v="0.12904911093917804"/>
    <n v="29444.9524506218"/>
    <n v="294449.52450621803"/>
    <m/>
  </r>
  <r>
    <x v="6"/>
    <x v="1"/>
    <x v="19"/>
    <s v="chamki"/>
    <x v="12"/>
    <n v="34595"/>
    <n v="37023"/>
    <n v="2.1412259933710942"/>
    <n v="33854.242867593275"/>
    <n v="338542.42867593275"/>
    <m/>
  </r>
  <r>
    <x v="6"/>
    <x v="2"/>
    <x v="20"/>
    <s v="chamki"/>
    <x v="9"/>
    <n v="34026"/>
    <n v="8574"/>
    <n v="2.1145282808176518"/>
    <n v="7840.1609363569869"/>
    <n v="78401.609363569863"/>
    <m/>
  </r>
  <r>
    <x v="6"/>
    <x v="2"/>
    <x v="21"/>
    <s v="chamki"/>
    <x v="13"/>
    <n v="15311"/>
    <n v="16753"/>
    <n v="-5.3095686855769486E-2"/>
    <n v="15319.129480614485"/>
    <n v="153191.29480614484"/>
    <m/>
  </r>
  <r>
    <x v="6"/>
    <x v="0"/>
    <x v="22"/>
    <s v="chamki"/>
    <x v="14"/>
    <n v="16459"/>
    <n v="17672"/>
    <n v="1.8198353533305749"/>
    <n v="16159.473299195319"/>
    <n v="161594.73299195318"/>
    <m/>
  </r>
  <r>
    <x v="6"/>
    <x v="4"/>
    <x v="23"/>
    <s v="chamki"/>
    <x v="15"/>
    <n v="23028"/>
    <n v="24699"/>
    <n v="1.9235702879570482"/>
    <n v="22585.040234089247"/>
    <n v="225850.40234089247"/>
    <m/>
  </r>
  <r>
    <x v="7"/>
    <x v="0"/>
    <x v="24"/>
    <s v="chamki"/>
    <x v="16"/>
    <n v="30158"/>
    <n v="19789"/>
    <n v="1.0787758963484748"/>
    <n v="18095.281638624729"/>
    <n v="180952.81638624729"/>
    <m/>
  </r>
  <r>
    <x v="7"/>
    <x v="0"/>
    <x v="25"/>
    <s v="chamki"/>
    <x v="17"/>
    <n v="20247"/>
    <n v="21841"/>
    <n v="1.3599384832143784"/>
    <n v="19971.653255303587"/>
    <n v="199716.53255303588"/>
    <m/>
  </r>
  <r>
    <x v="7"/>
    <x v="0"/>
    <x v="26"/>
    <s v="chamki"/>
    <x v="16"/>
    <n v="30158"/>
    <n v="12836"/>
    <n v="1.0787758963484748"/>
    <n v="11737.381126554499"/>
    <n v="117373.81126554499"/>
    <m/>
  </r>
  <r>
    <x v="7"/>
    <x v="4"/>
    <x v="27"/>
    <s v="chamki"/>
    <x v="18"/>
    <n v="6777"/>
    <n v="7252"/>
    <n v="2.1497795968311806"/>
    <n v="6631.3094367227513"/>
    <n v="66313.094367227517"/>
    <m/>
  </r>
  <r>
    <x v="7"/>
    <x v="4"/>
    <x v="28"/>
    <s v="chamki"/>
    <x v="19"/>
    <n v="9567.4835405998547"/>
    <n v="10359"/>
    <n v="0.99397878237599002"/>
    <n v="9472.3847841989773"/>
    <n v="94723.847841989773"/>
    <m/>
  </r>
  <r>
    <x v="7"/>
    <x v="4"/>
    <x v="29"/>
    <s v="chamki"/>
    <x v="20"/>
    <n v="15648.317483540601"/>
    <n v="16890"/>
    <n v="1.3031029042248576"/>
    <n v="15444.403803950257"/>
    <n v="154444.03803950257"/>
    <m/>
  </r>
  <r>
    <x v="7"/>
    <x v="0"/>
    <x v="30"/>
    <s v="chamki"/>
    <x v="21"/>
    <n v="30782"/>
    <n v="4560"/>
    <n v="2.0948552144568708"/>
    <n v="4169.7147037307977"/>
    <n v="41697.147037307979"/>
    <m/>
  </r>
  <r>
    <x v="8"/>
    <x v="3"/>
    <x v="31"/>
    <s v="chamki"/>
    <x v="22"/>
    <n v="82148"/>
    <n v="2156"/>
    <n v="1.0397188808936448"/>
    <n v="1971.4703730797369"/>
    <n v="20700.438917337236"/>
    <m/>
  </r>
  <r>
    <x v="8"/>
    <x v="4"/>
    <x v="32"/>
    <s v="silky"/>
    <x v="23"/>
    <n v="8417"/>
    <n v="7260"/>
    <n v="1.2475101118638463"/>
    <n v="6638.6247256766646"/>
    <n v="79663.496708119972"/>
    <m/>
  </r>
  <r>
    <x v="8"/>
    <x v="4"/>
    <x v="33"/>
    <s v="silky"/>
    <x v="24"/>
    <n v="11690"/>
    <n v="6915"/>
    <n v="-0.69473342999444299"/>
    <n v="6323.1528895391375"/>
    <n v="75877.834674469646"/>
    <m/>
  </r>
  <r>
    <x v="8"/>
    <x v="4"/>
    <x v="34"/>
    <s v="silky"/>
    <x v="23"/>
    <n v="8417"/>
    <n v="1830"/>
    <n v="1.2475101118638463"/>
    <n v="1673.3723482077544"/>
    <n v="20080.468178493051"/>
    <m/>
  </r>
  <r>
    <x v="8"/>
    <x v="4"/>
    <x v="35"/>
    <s v="silky"/>
    <x v="24"/>
    <n v="11690"/>
    <n v="5958"/>
    <n v="-0.69473342999444299"/>
    <n v="5448.0614484272137"/>
    <n v="65376.737381126564"/>
    <m/>
  </r>
  <r>
    <x v="9"/>
    <x v="3"/>
    <x v="36"/>
    <s v="chamki"/>
    <x v="22"/>
    <n v="82148"/>
    <n v="44803"/>
    <n v="1.0397188808936448"/>
    <n v="40968.361375274326"/>
    <n v="430167.79444038041"/>
    <m/>
  </r>
  <r>
    <x v="9"/>
    <x v="3"/>
    <x v="37"/>
    <s v="chamki"/>
    <x v="22"/>
    <n v="82148"/>
    <n v="37802"/>
    <n v="1.0397188808936448"/>
    <n v="34566.569129480617"/>
    <n v="362948.97585954645"/>
    <m/>
  </r>
  <r>
    <x v="9"/>
    <x v="0"/>
    <x v="38"/>
    <s v="chamki"/>
    <x v="25"/>
    <n v="29868"/>
    <n v="10936"/>
    <n v="-0.54603581777867305"/>
    <n v="10000"/>
    <n v="100000"/>
    <m/>
  </r>
  <r>
    <x v="9"/>
    <x v="3"/>
    <x v="39"/>
    <s v="chamki"/>
    <x v="22"/>
    <n v="82148"/>
    <n v="4142"/>
    <n v="1.0397188808936448"/>
    <n v="3787.4908558888078"/>
    <n v="39768.653986832483"/>
    <m/>
  </r>
  <r>
    <x v="10"/>
    <x v="5"/>
    <x v="40"/>
    <s v="chamki"/>
    <x v="21"/>
    <n v="30782"/>
    <n v="25948"/>
    <n v="2.0948552144568708"/>
    <n v="23727.139722019023"/>
    <n v="237271.39722019024"/>
    <m/>
  </r>
  <r>
    <x v="10"/>
    <x v="5"/>
    <x v="41"/>
    <s v="chamki"/>
    <x v="25"/>
    <n v="29868"/>
    <n v="17437"/>
    <n v="-0.54603581777867305"/>
    <n v="15944.586686174105"/>
    <n v="159445.86686174106"/>
    <m/>
  </r>
  <r>
    <x v="11"/>
    <x v="5"/>
    <x v="42"/>
    <s v="chamki"/>
    <x v="26"/>
    <n v="62156"/>
    <n v="46107"/>
    <n v="1.8298249777455311"/>
    <n v="42160.753474762256"/>
    <n v="421607.53474762256"/>
    <m/>
  </r>
  <r>
    <x v="11"/>
    <x v="6"/>
    <x v="43"/>
    <s v="Crinkle"/>
    <x v="27"/>
    <n v="24286"/>
    <n v="23897"/>
    <n v="10.023542302316557"/>
    <n v="21851.682516459401"/>
    <n v="218516.82516459402"/>
    <m/>
  </r>
  <r>
    <x v="12"/>
    <x v="7"/>
    <x v="44"/>
    <s v="chamki"/>
    <x v="28"/>
    <n v="20316"/>
    <n v="19655"/>
    <n v="1.8479854437416066"/>
    <n v="17972.750548646673"/>
    <n v="179727.50548646672"/>
    <m/>
  </r>
  <r>
    <x v="12"/>
    <x v="4"/>
    <x v="45"/>
    <s v="chamki"/>
    <x v="29"/>
    <n v="11826.079005120704"/>
    <n v="13044"/>
    <n v="15.66759040108677"/>
    <n v="11927.578639356256"/>
    <n v="119275.78639356256"/>
    <m/>
  </r>
  <r>
    <x v="12"/>
    <x v="0"/>
    <x v="46"/>
    <s v="chamki"/>
    <x v="30"/>
    <n v="33327"/>
    <n v="20388"/>
    <n v="2.360746274052488"/>
    <n v="18643.013899049012"/>
    <n v="186430.13899049012"/>
    <m/>
  </r>
  <r>
    <x v="12"/>
    <x v="0"/>
    <x v="47"/>
    <s v="chamki"/>
    <x v="31"/>
    <n v="35020"/>
    <n v="9669"/>
    <n v="0.4905546710271409"/>
    <n v="8841.4411119239212"/>
    <n v="88414.411119239216"/>
    <m/>
  </r>
  <r>
    <x v="13"/>
    <x v="4"/>
    <x v="48"/>
    <s v="chamki"/>
    <x v="32"/>
    <n v="21958"/>
    <n v="6236"/>
    <n v="1.5919065545961786"/>
    <n v="5702.2677395757137"/>
    <n v="57022.677395757135"/>
    <m/>
  </r>
  <r>
    <x v="13"/>
    <x v="0"/>
    <x v="49"/>
    <s v="chamki"/>
    <x v="30"/>
    <n v="33327"/>
    <n v="15198"/>
    <n v="2.360746274052488"/>
    <n v="13897.220190197513"/>
    <n v="138972.20190197515"/>
    <m/>
  </r>
  <r>
    <x v="13"/>
    <x v="0"/>
    <x v="50"/>
    <s v="chamki"/>
    <x v="31"/>
    <n v="35020"/>
    <n v="15213"/>
    <n v="0.4905546710271409"/>
    <n v="13910.936356986102"/>
    <n v="139109.36356986102"/>
    <m/>
  </r>
  <r>
    <x v="13"/>
    <x v="5"/>
    <x v="51"/>
    <s v="chamki"/>
    <x v="26"/>
    <n v="62156"/>
    <n v="2262"/>
    <n v="1.8298249777455311"/>
    <n v="2068.3979517190933"/>
    <n v="20683.979517190932"/>
    <m/>
  </r>
  <r>
    <x v="13"/>
    <x v="7"/>
    <x v="52"/>
    <s v="chamki"/>
    <x v="28"/>
    <n v="20316"/>
    <n v="2152"/>
    <n v="1.8479854437416066"/>
    <n v="1967.81272860278"/>
    <n v="19678.1272860278"/>
    <m/>
  </r>
  <r>
    <x v="13"/>
    <x v="5"/>
    <x v="53"/>
    <s v="chamki"/>
    <x v="33"/>
    <n v="35058"/>
    <n v="36984"/>
    <n v="3.535339055442563"/>
    <n v="33818.580833942942"/>
    <n v="338185.80833942944"/>
    <m/>
  </r>
  <r>
    <x v="14"/>
    <x v="4"/>
    <x v="54"/>
    <s v="chamki"/>
    <x v="32"/>
    <n v="21958"/>
    <n v="17395"/>
    <n v="1.5919065545961786"/>
    <n v="15906.181419166058"/>
    <n v="159061.81419166058"/>
    <m/>
  </r>
  <r>
    <x v="14"/>
    <x v="5"/>
    <x v="55"/>
    <s v="chamki"/>
    <x v="25"/>
    <n v="29868"/>
    <n v="4469"/>
    <n v="-0.54603581777867305"/>
    <n v="4086.5032918800298"/>
    <n v="40865.032918800294"/>
    <m/>
  </r>
  <r>
    <x v="14"/>
    <x v="5"/>
    <x v="56"/>
    <s v="chamki"/>
    <x v="21"/>
    <n v="30782"/>
    <n v="2450"/>
    <n v="2.0948552144568708"/>
    <n v="2240.3072421360644"/>
    <n v="22403.072421360645"/>
    <m/>
  </r>
  <r>
    <x v="15"/>
    <x v="5"/>
    <x v="57"/>
    <s v="chamki"/>
    <x v="26"/>
    <n v="62156"/>
    <n v="18361"/>
    <n v="1.8298249777455311"/>
    <n v="16789.502560351135"/>
    <n v="167895.02560351134"/>
    <m/>
  </r>
  <r>
    <x v="15"/>
    <x v="5"/>
    <x v="58"/>
    <s v="chamki"/>
    <x v="34"/>
    <n v="23485"/>
    <n v="17044"/>
    <n v="0.45242032961940026"/>
    <n v="15585.223116313096"/>
    <n v="155852.23116313096"/>
    <m/>
  </r>
  <r>
    <x v="15"/>
    <x v="2"/>
    <x v="59"/>
    <s v="chamki"/>
    <x v="35"/>
    <n v="28459"/>
    <n v="10001"/>
    <n v="1.9913476574945577"/>
    <n v="9145.0256035113398"/>
    <n v="91450.256035113402"/>
    <m/>
  </r>
  <r>
    <x v="15"/>
    <x v="2"/>
    <x v="60"/>
    <s v="chamki"/>
    <x v="35"/>
    <n v="28459"/>
    <n v="20502"/>
    <n v="1.9913476574945577"/>
    <n v="18747.256766642284"/>
    <n v="187472.56766642284"/>
    <m/>
  </r>
  <r>
    <x v="15"/>
    <x v="0"/>
    <x v="61"/>
    <s v="chamki"/>
    <x v="31"/>
    <n v="35020"/>
    <n v="5324"/>
    <n v="0.4905546710271409"/>
    <n v="4868.3247988295543"/>
    <n v="48683.247988295545"/>
    <m/>
  </r>
  <r>
    <x v="15"/>
    <x v="4"/>
    <x v="62"/>
    <s v="chamki"/>
    <x v="36"/>
    <n v="18531"/>
    <n v="19961"/>
    <n v="1.5025613775086555"/>
    <n v="18252.56035113387"/>
    <n v="182525.6035113387"/>
    <m/>
  </r>
  <r>
    <x v="15"/>
    <x v="0"/>
    <x v="63"/>
    <s v="chamki"/>
    <x v="37"/>
    <n v="8547"/>
    <n v="9238"/>
    <n v="1.1661411076187846"/>
    <n v="8447.3299195318214"/>
    <n v="84473.299195318221"/>
    <m/>
  </r>
  <r>
    <x v="15"/>
    <x v="0"/>
    <x v="64"/>
    <s v="chamki"/>
    <x v="31"/>
    <n v="35020"/>
    <n v="7904"/>
    <n v="0.4905546710271409"/>
    <n v="7227.5054864667163"/>
    <n v="72275.054864667167"/>
    <m/>
  </r>
  <r>
    <x v="15"/>
    <x v="0"/>
    <x v="65"/>
    <s v="chamki"/>
    <x v="34"/>
    <n v="23485"/>
    <n v="8523"/>
    <n v="0.45242032961940026"/>
    <n v="7793.5259692757872"/>
    <n v="77935.259692757871"/>
    <m/>
  </r>
  <r>
    <x v="15"/>
    <x v="4"/>
    <x v="66"/>
    <s v="chamki"/>
    <x v="38"/>
    <n v="13542"/>
    <n v="14736"/>
    <n v="0.4965126782676208"/>
    <n v="13474.762253108998"/>
    <n v="134747.62253108999"/>
    <m/>
  </r>
  <r>
    <x v="15"/>
    <x v="8"/>
    <x v="67"/>
    <m/>
    <x v="39"/>
    <m/>
    <m/>
    <e v="#DIV/0!"/>
    <n v="0"/>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 /></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 /></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 /></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2" firstHeaderRow="0" firstDataRow="1" firstDataCol="1"/>
  <pivotFields count="4">
    <pivotField axis="axisRow" showAll="0" includeNewItemsInFilter="1">
      <items count="10">
        <item x="2"/>
        <item x="0"/>
        <item x="1"/>
        <item x="3"/>
        <item m="1" x="8"/>
        <item x="4"/>
        <item x="5"/>
        <item x="6"/>
        <item x="7"/>
        <item t="default"/>
      </items>
    </pivotField>
    <pivotField dataField="1" showAll="0"/>
    <pivotField showAll="0"/>
    <pivotField dataField="1" showAll="0"/>
  </pivotFields>
  <rowFields count="1">
    <field x="0"/>
  </rowFields>
  <rowItems count="9">
    <i>
      <x/>
    </i>
    <i>
      <x v="1"/>
    </i>
    <i>
      <x v="2"/>
    </i>
    <i>
      <x v="3"/>
    </i>
    <i>
      <x v="5"/>
    </i>
    <i>
      <x v="6"/>
    </i>
    <i>
      <x v="7"/>
    </i>
    <i>
      <x v="8"/>
    </i>
    <i t="grand">
      <x/>
    </i>
  </rowItems>
  <colFields count="1">
    <field x="-2"/>
  </colFields>
  <colItems count="2">
    <i>
      <x/>
    </i>
    <i i="1">
      <x v="1"/>
    </i>
  </colItems>
  <dataFields count="2">
    <dataField name="Sum of Tiyaar" fld="1" baseField="0" baseItem="0"/>
    <dataField name="Sum of Total" fld="3" baseField="0" baseItem="0"/>
  </dataFields>
  <formats count="4">
    <format dxfId="154">
      <pivotArea field="0" grandRow="1" outline="0" collapsedLevelsAreSubtotals="1" axis="axisRow" fieldPosition="0">
        <references count="1">
          <reference field="4294967294" count="1" selected="0">
            <x v="1"/>
          </reference>
        </references>
      </pivotArea>
    </format>
    <format dxfId="153">
      <pivotArea field="0" grandRow="1" outline="0" collapsedLevelsAreSubtotals="1" axis="axisRow" fieldPosition="0">
        <references count="1">
          <reference field="4294967294" count="1" selected="0">
            <x v="0"/>
          </reference>
        </references>
      </pivotArea>
    </format>
    <format dxfId="152">
      <pivotArea collapsedLevelsAreSubtotals="1" fieldPosition="0">
        <references count="2">
          <reference field="4294967294" count="1" selected="0">
            <x v="1"/>
          </reference>
          <reference field="0" count="0"/>
        </references>
      </pivotArea>
    </format>
    <format dxfId="15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N47:Q116" firstHeaderRow="0" firstDataRow="1" firstDataCol="1" rowPageCount="3" colPageCount="1"/>
  <pivotFields count="14">
    <pivotField axis="axisPage" showAll="0">
      <items count="18">
        <item x="0"/>
        <item x="1"/>
        <item x="2"/>
        <item x="3"/>
        <item x="4"/>
        <item x="5"/>
        <item m="1" x="16"/>
        <item x="6"/>
        <item x="7"/>
        <item x="8"/>
        <item x="9"/>
        <item x="10"/>
        <item x="11"/>
        <item x="12"/>
        <item x="13"/>
        <item x="14"/>
        <item x="15"/>
        <item t="default"/>
      </items>
    </pivotField>
    <pivotField axis="axisPage" multipleItemSelectionAllowed="1" showAll="0">
      <items count="16">
        <item x="2"/>
        <item x="0"/>
        <item m="1" x="14"/>
        <item x="6"/>
        <item m="1" x="13"/>
        <item m="1" x="12"/>
        <item m="1" x="11"/>
        <item x="1"/>
        <item x="3"/>
        <item m="1" x="10"/>
        <item x="4"/>
        <item m="1" x="9"/>
        <item x="8"/>
        <item x="5"/>
        <item x="7"/>
        <item t="default"/>
      </items>
    </pivotField>
    <pivotField axis="axisRow" numFmtId="164" showAll="0">
      <items count="11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x="0"/>
        <item x="1"/>
        <item x="2"/>
        <item x="3"/>
        <item x="4"/>
        <item x="5"/>
        <item x="6"/>
        <item x="7"/>
        <item x="8"/>
        <item x="9"/>
        <item x="10"/>
        <item x="11"/>
        <item x="12"/>
        <item x="13"/>
        <item x="14"/>
        <item x="15"/>
        <item x="16"/>
        <item x="17"/>
        <item x="46"/>
        <item x="18"/>
        <item x="19"/>
        <item x="20"/>
        <item x="21"/>
        <item x="22"/>
        <item x="23"/>
        <item x="35"/>
        <item x="24"/>
        <item x="25"/>
        <item x="26"/>
        <item x="27"/>
        <item x="28"/>
        <item x="29"/>
        <item x="30"/>
        <item x="31"/>
        <item x="32"/>
        <item x="33"/>
        <item x="34"/>
        <item x="36"/>
        <item x="37"/>
        <item x="38"/>
        <item x="39"/>
        <item x="40"/>
        <item x="41"/>
        <item x="42"/>
        <item x="43"/>
        <item x="44"/>
        <item x="45"/>
        <item x="47"/>
        <item x="48"/>
        <item x="49"/>
        <item x="50"/>
        <item x="51"/>
        <item x="52"/>
        <item x="53"/>
        <item x="54"/>
        <item x="55"/>
        <item x="56"/>
        <item x="57"/>
        <item x="58"/>
        <item x="59"/>
        <item x="60"/>
        <item x="61"/>
        <item x="62"/>
        <item x="63"/>
        <item x="64"/>
        <item x="65"/>
        <item x="66"/>
        <item x="67"/>
        <item t="default"/>
      </items>
    </pivotField>
    <pivotField showAll="0"/>
    <pivotField axis="axisPage" multipleItemSelectionAllowed="1" showAll="0">
      <items count="63">
        <item x="8"/>
        <item m="1" x="44"/>
        <item m="1" x="45"/>
        <item m="1" x="53"/>
        <item m="1" x="43"/>
        <item m="1" x="42"/>
        <item m="1" x="46"/>
        <item m="1" x="57"/>
        <item m="1" x="49"/>
        <item m="1" x="50"/>
        <item m="1" x="47"/>
        <item m="1" x="48"/>
        <item m="1" x="58"/>
        <item m="1" x="51"/>
        <item m="1" x="52"/>
        <item m="1" x="55"/>
        <item m="1" x="56"/>
        <item m="1" x="54"/>
        <item x="2"/>
        <item m="1" x="60"/>
        <item x="0"/>
        <item m="1" x="59"/>
        <item x="4"/>
        <item x="3"/>
        <item x="5"/>
        <item x="12"/>
        <item x="6"/>
        <item x="9"/>
        <item x="13"/>
        <item x="15"/>
        <item x="35"/>
        <item x="10"/>
        <item x="11"/>
        <item m="1" x="61"/>
        <item m="1" x="41"/>
        <item m="1" x="40"/>
        <item x="7"/>
        <item x="1"/>
        <item x="16"/>
        <item x="17"/>
        <item x="18"/>
        <item x="19"/>
        <item x="20"/>
        <item x="21"/>
        <item x="22"/>
        <item x="23"/>
        <item x="24"/>
        <item x="25"/>
        <item x="26"/>
        <item x="27"/>
        <item x="28"/>
        <item x="29"/>
        <item x="30"/>
        <item x="31"/>
        <item x="32"/>
        <item x="33"/>
        <item x="34"/>
        <item x="14"/>
        <item x="36"/>
        <item x="37"/>
        <item x="38"/>
        <item x="39"/>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69">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48:U65" firstHeaderRow="0" firstDataRow="1" firstDataCol="1"/>
  <pivotFields count="14">
    <pivotField axis="axisRow" numFmtId="14" showAll="0">
      <items count="18">
        <item x="0"/>
        <item x="1"/>
        <item x="2"/>
        <item x="3"/>
        <item x="4"/>
        <item x="5"/>
        <item m="1" x="16"/>
        <item x="6"/>
        <item x="7"/>
        <item x="8"/>
        <item x="9"/>
        <item x="10"/>
        <item x="11"/>
        <item x="12"/>
        <item x="13"/>
        <item x="14"/>
        <item x="15"/>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7">
    <i>
      <x/>
    </i>
    <i>
      <x v="1"/>
    </i>
    <i>
      <x v="2"/>
    </i>
    <i>
      <x v="3"/>
    </i>
    <i>
      <x v="4"/>
    </i>
    <i>
      <x v="5"/>
    </i>
    <i>
      <x v="7"/>
    </i>
    <i>
      <x v="8"/>
    </i>
    <i>
      <x v="9"/>
    </i>
    <i>
      <x v="10"/>
    </i>
    <i>
      <x v="11"/>
    </i>
    <i>
      <x v="12"/>
    </i>
    <i>
      <x v="13"/>
    </i>
    <i>
      <x v="14"/>
    </i>
    <i>
      <x v="15"/>
    </i>
    <i>
      <x v="1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D45:H89" firstHeaderRow="0" firstDataRow="1" firstDataCol="1" rowPageCount="1" colPageCount="1"/>
  <pivotFields count="9">
    <pivotField axis="axisRow" numFmtId="14" showAll="0">
      <items count="23">
        <item x="0"/>
        <item x="1"/>
        <item x="2"/>
        <item x="3"/>
        <item x="4"/>
        <item x="5"/>
        <item x="6"/>
        <item m="1" x="21"/>
        <item x="7"/>
        <item x="8"/>
        <item x="9"/>
        <item x="10"/>
        <item x="11"/>
        <item x="12"/>
        <item x="13"/>
        <item x="14"/>
        <item x="20"/>
        <item x="15"/>
        <item x="16"/>
        <item x="17"/>
        <item x="19"/>
        <item x="18"/>
        <item t="default"/>
      </items>
    </pivotField>
    <pivotField axis="axisPage" showAll="0">
      <items count="5">
        <item x="1"/>
        <item x="0"/>
        <item m="1" x="3"/>
        <item x="2"/>
        <item t="default"/>
      </items>
    </pivotField>
    <pivotField axis="axisRow" showAll="0">
      <items count="24">
        <item x="4"/>
        <item x="8"/>
        <item x="0"/>
        <item x="7"/>
        <item x="5"/>
        <item x="9"/>
        <item x="1"/>
        <item x="2"/>
        <item x="3"/>
        <item x="10"/>
        <item x="6"/>
        <item x="11"/>
        <item x="12"/>
        <item x="13"/>
        <item x="14"/>
        <item x="15"/>
        <item x="16"/>
        <item x="17"/>
        <item m="1" x="21"/>
        <item x="18"/>
        <item x="19"/>
        <item x="20"/>
        <item m="1" x="22"/>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4">
    <i>
      <x/>
    </i>
    <i r="1">
      <x v="2"/>
    </i>
    <i>
      <x v="1"/>
    </i>
    <i r="1">
      <x v="6"/>
    </i>
    <i>
      <x v="2"/>
    </i>
    <i r="1">
      <x v="7"/>
    </i>
    <i>
      <x v="4"/>
    </i>
    <i r="1">
      <x v="7"/>
    </i>
    <i>
      <x v="5"/>
    </i>
    <i r="1">
      <x/>
    </i>
    <i>
      <x v="6"/>
    </i>
    <i r="1">
      <x v="4"/>
    </i>
    <i r="1">
      <x v="10"/>
    </i>
    <i>
      <x v="8"/>
    </i>
    <i r="1">
      <x v="7"/>
    </i>
    <i>
      <x v="9"/>
    </i>
    <i r="1">
      <x v="3"/>
    </i>
    <i>
      <x v="10"/>
    </i>
    <i r="1">
      <x v="1"/>
    </i>
    <i r="1">
      <x v="5"/>
    </i>
    <i>
      <x v="11"/>
    </i>
    <i r="1">
      <x v="11"/>
    </i>
    <i r="1">
      <x v="12"/>
    </i>
    <i r="1">
      <x v="13"/>
    </i>
    <i>
      <x v="12"/>
    </i>
    <i r="1">
      <x v="14"/>
    </i>
    <i>
      <x v="13"/>
    </i>
    <i r="1">
      <x v="3"/>
    </i>
    <i>
      <x v="14"/>
    </i>
    <i r="1">
      <x v="15"/>
    </i>
    <i>
      <x v="15"/>
    </i>
    <i r="1">
      <x v="16"/>
    </i>
    <i r="1">
      <x v="17"/>
    </i>
    <i>
      <x v="16"/>
    </i>
    <i r="1">
      <x v="10"/>
    </i>
    <i>
      <x v="17"/>
    </i>
    <i r="1">
      <x v="20"/>
    </i>
    <i>
      <x v="19"/>
    </i>
    <i r="1">
      <x v="10"/>
    </i>
    <i>
      <x v="20"/>
    </i>
    <i r="1">
      <x v="10"/>
    </i>
    <i>
      <x v="21"/>
    </i>
    <i r="1">
      <x v="10"/>
    </i>
    <i t="grand">
      <x/>
    </i>
  </rowItems>
  <colFields count="1">
    <field x="-2"/>
  </colFields>
  <colItems count="4">
    <i>
      <x/>
    </i>
    <i i="1">
      <x v="1"/>
    </i>
    <i i="2">
      <x v="2"/>
    </i>
    <i i="3">
      <x v="3"/>
    </i>
  </colItems>
  <pageFields count="1">
    <pageField fld="1" item="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5">
      <pivotArea dataOnly="0" labelOnly="1" outline="0" fieldPosition="0">
        <references count="1">
          <reference field="1" count="1">
            <x v="1"/>
          </reference>
        </references>
      </pivotArea>
    </format>
    <format dxfId="74">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0:L35" firstHeaderRow="0" firstDataRow="1" firstDataCol="1"/>
  <pivotFields count="7">
    <pivotField numFmtId="14" showAll="0"/>
    <pivotField axis="axisRow" showAll="0">
      <items count="27">
        <item x="8"/>
        <item x="10"/>
        <item x="0"/>
        <item x="7"/>
        <item x="1"/>
        <item x="2"/>
        <item x="4"/>
        <item x="6"/>
        <item x="12"/>
        <item x="11"/>
        <item x="3"/>
        <item x="13"/>
        <item x="9"/>
        <item x="5"/>
        <item x="14"/>
        <item x="15"/>
        <item x="16"/>
        <item m="1" x="25"/>
        <item x="17"/>
        <item x="18"/>
        <item m="1" x="24"/>
        <item x="19"/>
        <item x="20"/>
        <item x="21"/>
        <item x="22"/>
        <item x="23"/>
        <item t="default"/>
      </items>
    </pivotField>
    <pivotField dataField="1" showAll="0"/>
    <pivotField dataField="1"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8"/>
    </i>
    <i>
      <x v="19"/>
    </i>
    <i>
      <x v="21"/>
    </i>
    <i>
      <x v="22"/>
    </i>
    <i>
      <x v="23"/>
    </i>
    <i>
      <x v="24"/>
    </i>
    <i>
      <x v="25"/>
    </i>
    <i t="grand">
      <x/>
    </i>
  </rowItems>
  <colFields count="1">
    <field x="-2"/>
  </colFields>
  <colItems count="2">
    <i>
      <x/>
    </i>
    <i i="1">
      <x v="1"/>
    </i>
  </colItems>
  <dataFields count="2">
    <dataField name="Sum of Credit" fld="3" baseField="0" baseItem="0"/>
    <dataField name="Sum of Debit" fld="2" baseField="0" baseItem="0"/>
  </dataFields>
  <formats count="1">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7">
        <item x="0"/>
        <item x="1"/>
        <item x="2"/>
        <item x="3"/>
        <item x="4"/>
        <item x="5"/>
        <item t="default"/>
      </items>
    </pivotField>
    <pivotField showAll="0"/>
    <pivotField showAll="0"/>
    <pivotField showAll="0"/>
    <pivotField dataField="1" showAll="0"/>
    <pivotField axis="axisPage" showAll="0">
      <items count="3">
        <item x="1"/>
        <item x="0"/>
        <item t="default"/>
      </items>
    </pivotField>
    <pivotField showAll="0"/>
    <pivotField dataField="1" showAll="0"/>
    <pivotField showAll="0"/>
  </pivotFields>
  <rowFields count="1">
    <field x="0"/>
  </rowFields>
  <rowItems count="7">
    <i>
      <x/>
    </i>
    <i>
      <x v="1"/>
    </i>
    <i>
      <x v="2"/>
    </i>
    <i>
      <x v="3"/>
    </i>
    <i>
      <x v="4"/>
    </i>
    <i>
      <x v="5"/>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5">
        <item m="1" x="3"/>
        <item x="2"/>
        <item x="1"/>
        <item x="0"/>
        <item t="default"/>
      </items>
    </pivotField>
    <pivotField showAll="0"/>
    <pivotField showAll="0"/>
    <pivotField showAll="0"/>
    <pivotField dataField="1" showAll="0"/>
    <pivotField dataField="1" showAll="0"/>
    <pivotField dataField="1" showAll="0"/>
  </pivotFields>
  <rowFields count="1">
    <field x="1"/>
  </rowFields>
  <rowItems count="4">
    <i>
      <x v="1"/>
    </i>
    <i>
      <x v="2"/>
    </i>
    <i>
      <x v="3"/>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4" firstHeaderRow="0" firstDataRow="1" firstDataCol="1" rowPageCount="1" colPageCount="1"/>
  <pivotFields count="14">
    <pivotField showAll="0"/>
    <pivotField axis="axisPage" showAll="0">
      <items count="16">
        <item m="1" x="12"/>
        <item x="2"/>
        <item x="0"/>
        <item x="1"/>
        <item m="1" x="14"/>
        <item m="1" x="10"/>
        <item x="6"/>
        <item m="1" x="13"/>
        <item x="3"/>
        <item x="4"/>
        <item m="1" x="11"/>
        <item m="1" x="9"/>
        <item x="8"/>
        <item x="5"/>
        <item x="7"/>
        <item t="default"/>
      </items>
    </pivotField>
    <pivotField showAll="0"/>
    <pivotField showAll="0"/>
    <pivotField axis="axisRow" showAll="0">
      <items count="63">
        <item m="1" x="44"/>
        <item m="1" x="45"/>
        <item m="1" x="43"/>
        <item m="1" x="42"/>
        <item m="1" x="46"/>
        <item m="1" x="48"/>
        <item m="1" x="47"/>
        <item m="1" x="49"/>
        <item m="1" x="50"/>
        <item m="1" x="51"/>
        <item m="1" x="52"/>
        <item m="1" x="53"/>
        <item m="1" x="54"/>
        <item m="1" x="55"/>
        <item m="1" x="61"/>
        <item m="1" x="41"/>
        <item m="1" x="56"/>
        <item m="1" x="57"/>
        <item m="1" x="58"/>
        <item x="2"/>
        <item x="0"/>
        <item m="1" x="59"/>
        <item m="1" x="60"/>
        <item x="12"/>
        <item x="3"/>
        <item x="4"/>
        <item x="5"/>
        <item x="6"/>
        <item x="7"/>
        <item x="8"/>
        <item x="9"/>
        <item x="10"/>
        <item x="11"/>
        <item x="13"/>
        <item x="35"/>
        <item x="15"/>
        <item m="1" x="40"/>
        <item x="1"/>
        <item x="16"/>
        <item x="17"/>
        <item x="18"/>
        <item x="19"/>
        <item x="20"/>
        <item x="21"/>
        <item x="22"/>
        <item x="23"/>
        <item x="24"/>
        <item x="25"/>
        <item x="26"/>
        <item x="27"/>
        <item x="28"/>
        <item x="29"/>
        <item x="30"/>
        <item x="31"/>
        <item x="32"/>
        <item x="33"/>
        <item x="34"/>
        <item x="14"/>
        <item x="36"/>
        <item x="37"/>
        <item x="38"/>
        <item x="39"/>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1">
    <i>
      <x v="19"/>
    </i>
    <i>
      <x v="20"/>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x v="54"/>
    </i>
    <i>
      <x v="55"/>
    </i>
    <i>
      <x v="56"/>
    </i>
    <i>
      <x v="57"/>
    </i>
    <i>
      <x v="58"/>
    </i>
    <i>
      <x v="59"/>
    </i>
    <i>
      <x v="60"/>
    </i>
    <i>
      <x v="61"/>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2">
      <pivotArea type="all" dataOnly="0" outline="0" fieldPosition="0"/>
    </format>
    <format dxfId="11">
      <pivotArea outline="0" collapsedLevelsAreSubtotals="1" fieldPosition="0"/>
    </format>
    <format dxfId="10">
      <pivotArea field="4" type="button" dataOnly="0" labelOnly="1" outline="0" axis="axisRow" fieldPosition="0"/>
    </format>
    <format dxfId="9">
      <pivotArea dataOnly="0" labelOnly="1" fieldPosition="0">
        <references count="1">
          <reference field="4" count="0"/>
        </references>
      </pivotArea>
    </format>
    <format dxfId="8">
      <pivotArea dataOnly="0" labelOnly="1" grandRow="1" outline="0" fieldPosition="0"/>
    </format>
    <format dxfId="7">
      <pivotArea dataOnly="0" labelOnly="1" outline="0" fieldPosition="0">
        <references count="1">
          <reference field="4294967294" count="2">
            <x v="0"/>
            <x v="1"/>
          </reference>
        </references>
      </pivotArea>
    </format>
    <format dxfId="6">
      <pivotArea grandRow="1" outline="0" collapsedLevelsAreSubtotals="1" fieldPosition="0"/>
    </format>
    <format dxfId="5">
      <pivotArea field="4" type="button" dataOnly="0" labelOnly="1" outline="0" axis="axisRow" fieldPosition="0"/>
    </format>
    <format dxfId="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62">
        <i x="8" s="1"/>
        <i x="2" s="1"/>
        <i x="0" s="1"/>
        <i x="4" s="1"/>
        <i x="3" s="1"/>
        <i x="5" s="1"/>
        <i x="12" s="1"/>
        <i x="6" s="1"/>
        <i x="9" s="1"/>
        <i x="27" s="1"/>
        <i x="13" s="1"/>
        <i x="20" s="1"/>
        <i x="15" s="1"/>
        <i x="18" s="1"/>
        <i x="24" s="1"/>
        <i x="35" s="1"/>
        <i x="16" s="1"/>
        <i x="29" s="1"/>
        <i x="32" s="1"/>
        <i x="23" s="1"/>
        <i x="10" s="1"/>
        <i x="19" s="1"/>
        <i x="11" s="1"/>
        <i x="17" s="1"/>
        <i x="21" s="1"/>
        <i x="22" s="1"/>
        <i x="28" s="1"/>
        <i x="25" s="1"/>
        <i x="30" s="1"/>
        <i x="26" s="1"/>
        <i x="36" s="1"/>
        <i x="31" s="1"/>
        <i x="33" s="1"/>
        <i x="38" s="1"/>
        <i x="34" s="1"/>
        <i x="37" s="1"/>
        <i x="1" s="1"/>
        <i x="14" s="1"/>
        <i x="7" s="1"/>
        <i x="44" s="1" nd="1"/>
        <i x="45" s="1" nd="1"/>
        <i x="53" s="1" nd="1"/>
        <i x="43" s="1" nd="1"/>
        <i x="42" s="1" nd="1"/>
        <i x="46" s="1" nd="1"/>
        <i x="57" s="1" nd="1"/>
        <i x="49" s="1" nd="1"/>
        <i x="50" s="1" nd="1"/>
        <i x="47" s="1" nd="1"/>
        <i x="48" s="1" nd="1"/>
        <i x="58" s="1" nd="1"/>
        <i x="51" s="1" nd="1"/>
        <i x="52" s="1" nd="1"/>
        <i x="55" s="1" nd="1"/>
        <i x="56" s="1" nd="1"/>
        <i x="54" s="1" nd="1"/>
        <i x="60" s="1" nd="1"/>
        <i x="59" s="1" nd="1"/>
        <i x="61" s="1" nd="1"/>
        <i x="41" s="1" nd="1"/>
        <i x="40" s="1" nd="1"/>
        <i x="3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startItem="4" columnCount="4" rowHeight="247650"/>
  <slicer name="Date" xr10:uid="{A1A3D396-C797-4750-957E-CF701F9D3C93}" cache="Slicer_Date" caption="Date" startItem="1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8"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1" totalsRowShown="0">
  <autoFilter ref="B3:E11" xr:uid="{726F66F6-6434-425A-A910-C3CBF3339B20}"/>
  <tableColumns count="4">
    <tableColumn id="1" xr3:uid="{7A2445A9-BF1B-49FB-84BB-52F6CB270F38}" name="Party Name" dataDxfId="150">
      <calculatedColumnFormula>B21</calculatedColumnFormula>
    </tableColumn>
    <tableColumn id="2" xr3:uid="{7EDCC2ED-0339-42B3-9633-FFEA7A3DD9F3}" name="Tiyaar" dataDxfId="149">
      <calculatedColumnFormula>SUMIFS(ledger!G:G, ledger!B:B, B4, ledger!E:E, "&lt;&gt;*RD*") / 1.0936</calculatedColumnFormula>
    </tableColumn>
    <tableColumn id="3" xr3:uid="{CC1535DD-3FE7-4F55-8040-E7643388A78E}" name="Rate"/>
    <tableColumn id="4" xr3:uid="{059CB70B-ADAD-4985-84AA-0D530BAC5567}" name="Total" dataDxfId="14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87F6708-B08A-4B62-B933-0106F39FB774}" name="Table24" displayName="Table24" ref="B43:M54" totalsRowShown="0" headerRowDxfId="147" headerRowBorderDxfId="146" tableBorderDxfId="145">
  <autoFilter ref="B43:M54" xr:uid="{587F6708-B08A-4B62-B933-0106F39FB774}"/>
  <tableColumns count="12">
    <tableColumn id="1" xr3:uid="{428B0D8D-BF4F-42E6-A9D5-7AA9B2D1A930}" name="Column1" dataDxfId="144"/>
    <tableColumn id="2" xr3:uid="{2E197760-116F-477C-991E-3AB0A05A351B}" name="Gaz" dataDxfId="143" dataCellStyle="Comma">
      <calculatedColumnFormula array="1">_xlfn.BYROW(B44,_xlfn.LAMBDA(_xlpm.party,SUMIFS(ledger!G:G,ledger!B:B,_xlpm.party,ledger!E:E,"&lt;&gt;*RD*")))</calculatedColumnFormula>
    </tableColumn>
    <tableColumn id="3" xr3:uid="{9F3A41E5-F346-4736-963F-D4D36503F7E0}" name="Total Metres" dataDxfId="142" dataCellStyle="Comma">
      <calculatedColumnFormula array="1">_xlfn.BYROW(B44, _xlfn.LAMBDA(_xlpm.party, SUMIFS(ledger!G:G, ledger!B:B, _xlpm.party, ledger!E:E, "&lt;&gt;*RD*") / 1.0936 ))</calculatedColumnFormula>
    </tableColumn>
    <tableColumn id="4" xr3:uid="{568C15E3-0757-4D63-851F-6021C26061F2}" name="Total Chamki" dataDxfId="141">
      <calculatedColumnFormula array="1">_xlfn.BYROW(B44,_xlfn.LAMBDA(_xlpm.party,SUMIFS(ledger!G:G,ledger!B:B,_xlpm.party,ledger!E:E,"&lt;&gt;*RD*",ledger!D:D,"Chamki")+SUMIFS(ledger!G:G, ledger!B:B, _xlpm.party, ledger!E:E, "&lt;&gt;*RD*", ledger!D:D, "Crinkle")))/1.0936</calculatedColumnFormula>
    </tableColumn>
    <tableColumn id="5" xr3:uid="{B40C4729-0FAA-4BFB-A463-CE4D4E816450}" name="Total Super Silky" dataDxfId="140">
      <calculatedColumnFormula array="1">_xlfn.BYROW(B44,_xlfn.LAMBDA(_xlpm.party,SUMIFS(ledger!G:G,ledger!B:B,_xlpm.party,ledger!E:E,"&lt;&gt;*RD*",ledger!D:D,"Silky")))/1.0936</calculatedColumnFormula>
    </tableColumn>
    <tableColumn id="6" xr3:uid="{1EFD85E7-B875-41A2-9124-A6344C05943B}" name="Billing (Chamki/Crinkle)" dataDxfId="139" dataCellStyle="Comma">
      <calculatedColumnFormula array="1">_xlfn.BYROW(B44,_xlfn.LAMBDA(_xlpm.party,(SUMIFS(ledger!G:G,ledger!B:B,_xlpm.party,ledger!E:E,"&lt;&gt;*RD*",ledger!D:D, "Chamki")+SUMIFS(ledger!G:G, ledger!B:B, _xlpm.party, ledger!E:E, "&lt;&gt;*RD*", ledger!D:D, "Crinkle"))/1.0936))*L44</calculatedColumnFormula>
    </tableColumn>
    <tableColumn id="7" xr3:uid="{28FF4AA1-04A3-42DB-BB3F-DBBF7E8832F3}" name="Billing (Super Chamki)" dataDxfId="138" dataCellStyle="Comma">
      <calculatedColumnFormula array="1">_xlfn.BYROW(B44,_xlfn.LAMBDA(_xlpm.party,SUMIFS(ledger!G:G,ledger!B:B,_xlpm.party,ledger!E:E,"&lt;&gt;*RD*",ledger!D:D, "Silky")/1.0936))* 12</calculatedColumnFormula>
    </tableColumn>
    <tableColumn id="8" xr3:uid="{45D300C9-22D0-4317-8546-B2BE4A27AFBC}" name="Adjusted Bill" dataDxfId="137"/>
    <tableColumn id="9" xr3:uid="{FAC8C50E-53A8-4715-9A82-DC91432C9D6E}" name="Amount Paid" dataDxfId="136" dataCellStyle="Comma"/>
    <tableColumn id="10" xr3:uid="{BB1839A2-4A33-4E03-9927-00D170372A81}" name="Balance" dataDxfId="135" dataCellStyle="Comma"/>
    <tableColumn id="11" xr3:uid="{7FF7C397-CAC1-4DDE-83DA-23093724B175}" name="Rate (Chamki)" dataDxfId="134"/>
    <tableColumn id="12" xr3:uid="{F674D052-396F-480C-B1B7-03DD7B5944AD}" name="Rate (Super Silky)" dataDxfId="1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73C3E16-623C-49E2-8C0A-7757125B1B54}" name="Table22" displayName="Table22" ref="A1:B11" totalsRowShown="0">
  <autoFilter ref="A1:B11" xr:uid="{F73C3E16-623C-49E2-8C0A-7757125B1B54}"/>
  <tableColumns count="2">
    <tableColumn id="1" xr3:uid="{17257979-C0F0-4E9B-BBB8-16C519FA26A1}" name="Party Name" dataDxfId="132">
      <calculatedColumnFormula>Billing!B21</calculatedColumnFormula>
    </tableColumn>
    <tableColumn id="2" xr3:uid="{8BB88583-CC34-41F9-8C3A-9559891D9586}" name="Amount Paid" dataDxfId="131">
      <calculatedColumnFormula>Billing!J21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30" dataDxfId="129">
  <autoFilter ref="B7:D20" xr:uid="{449E5D32-DF9C-4018-96AB-CA98E118D910}"/>
  <tableColumns count="3">
    <tableColumn id="1" xr3:uid="{F663704C-91DD-4BB9-B7EB-EEB0C5EDED6C}" name="Description" dataDxfId="128"/>
    <tableColumn id="2" xr3:uid="{6D94D495-CD0B-4FD3-9771-81D731982A97}" name="Rate" dataDxfId="127" dataCellStyle="Comma"/>
    <tableColumn id="3" xr3:uid="{2D14CEAD-3602-40E7-A488-3584EBC9141E}" name="#" dataDxfId="126" dataCellStyle="Comm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5" totalsRowDxfId="124"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3" dataDxfId="122" headerRowCellStyle="Comma" dataCellStyle="Comma">
  <autoFilter ref="B2:C5" xr:uid="{136E8F7F-D03F-4198-8335-91A003EA9E45}"/>
  <tableColumns count="2">
    <tableColumn id="1" xr3:uid="{279FA697-9952-479A-AC05-0D4992B41374}" name="Column1" dataDxfId="121" dataCellStyle="Comma"/>
    <tableColumn id="2" xr3:uid="{8A64998B-65EF-41CD-BCB0-3DDB7B359C54}" name="Column2" dataDxfId="120" dataCellStyle="Comm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19"/>
    <tableColumn id="2" xr3:uid="{51D27FA2-8DDF-4369-BAF7-7D1FE90E16A0}" name="Column2" dataDxfId="11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21" totalsRowCount="1">
  <autoFilter ref="B2:F20" xr:uid="{A0F58B95-D9E6-473F-8BE5-C4A8DDED103B}"/>
  <tableColumns count="5">
    <tableColumn id="1" xr3:uid="{8D801E24-A4A4-436D-ACAE-08E5208293FB}" name="Date" dataDxfId="117" totalsRowDxfId="116"/>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5">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0" totalsRowCount="1" headerRowDxfId="113" dataDxfId="112" headerRowCellStyle="Comma" dataCellStyle="Comma">
  <autoFilter ref="A1:K69" xr:uid="{11DACEC6-751B-4B1D-817F-5C5BCD38EF6D}">
    <filterColumn colId="1">
      <filters>
        <filter val="Sajad Khan"/>
      </filters>
    </filterColumn>
  </autoFilter>
  <tableColumns count="11">
    <tableColumn id="1" xr3:uid="{2FCE3FA8-A48C-4685-8919-AE44C6C71FD9}" name="Date" dataDxfId="111" dataCellStyle="Comma"/>
    <tableColumn id="2" xr3:uid="{5780FD5F-0890-44E6-B59C-8E37A559FE36}" name="Party Name" dataDxfId="110" dataCellStyle="Comma"/>
    <tableColumn id="3" xr3:uid="{5B3ECD85-9174-40AC-BFBD-49CAC97A83D3}" name="Bill Number" dataDxfId="109" dataCellStyle="Comma"/>
    <tableColumn id="4" xr3:uid="{11B50761-04B6-4262-AD4D-7182450037D1}" name="Quality" dataDxfId="108" dataCellStyle="Comma"/>
    <tableColumn id="5" xr3:uid="{2C556969-B713-4967-BD24-466AACCBE5F5}" name="Shipment Number" dataDxfId="107" totalsRowDxfId="106" dataCellStyle="Comma"/>
    <tableColumn id="6" xr3:uid="{F4E1FD2B-9017-4DEB-B772-BF447ECE56F7}" name="Kora/metre" dataDxfId="105" totalsRowDxfId="104" dataCellStyle="Comma"/>
    <tableColumn id="7" xr3:uid="{52ACC1DA-7A76-4A90-B809-3A1AE728E7EA}" name="Tiyaar/gaz" dataDxfId="103" totalsRowDxfId="102" dataCellStyle="Comma"/>
    <tableColumn id="8" xr3:uid="{31A0FF5E-56F0-44D1-9865-73256B964660}" name="shortage %" dataDxfId="101" totalsRowDxfId="100" dataCellStyle="Comma">
      <calculatedColumnFormula>_xlfn.XLOOKUP(Table1[[#This Row],[Shipment Number]], 'pivot '!A:A,'pivot '!G:G, "NF")</calculatedColumnFormula>
    </tableColumn>
    <tableColumn id="9" xr3:uid="{F99075E0-AC8E-094D-BB85-272AD2C6C568}" name="tiyar/meters" totalsRowFunction="sum" dataDxfId="99" totalsRowDxfId="98" dataCellStyle="Comma">
      <calculatedColumnFormula>(Table1[[#This Row],[Tiyaar/gaz]]/1.0936)</calculatedColumnFormula>
    </tableColumn>
    <tableColumn id="10" xr3:uid="{4B2AF87E-7D86-A946-B130-EA2852096C91}" name="billing" totalsRowFunction="sum" dataDxfId="97" totalsRowDxfId="96" dataCellStyle="Comma">
      <calculatedColumnFormula>Table1[[#This Row],[tiyar/meters]] *10</calculatedColumnFormula>
    </tableColumn>
    <tableColumn id="11" xr3:uid="{0D198F0C-D2D3-4F75-9F3B-25A393B5D570}" name="Total Billing" totalsRowFunction="custom" dataDxfId="95" dataCellStyle="Comma">
      <totalsRowFormula>SUM(Table1[billing])</totalsRow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F548369-5FC8-400F-81C0-B7AF47271037}" name="Table124" displayName="Table124" ref="A1:K70" totalsRowCount="1" headerRowDxfId="94" dataDxfId="93" headerRowCellStyle="Comma" dataCellStyle="Comma">
  <autoFilter ref="A1:K69" xr:uid="{7F548369-5FC8-400F-81C0-B7AF47271037}"/>
  <tableColumns count="11">
    <tableColumn id="1" xr3:uid="{D7FB5856-AE7A-4A24-B2D5-FF9480E15BBF}" name="Date" dataDxfId="92" dataCellStyle="Comma"/>
    <tableColumn id="2" xr3:uid="{303F1EA3-1962-4054-91F4-C561694F2376}" name="Party Name" dataDxfId="91" dataCellStyle="Comma"/>
    <tableColumn id="3" xr3:uid="{F36229C6-D35A-442E-81FF-1D9FF239BB06}" name="Bill Number" dataDxfId="90" dataCellStyle="Comma"/>
    <tableColumn id="4" xr3:uid="{0E3B5CDB-CDC9-4B66-AF46-33C531BC5467}" name="Quality" dataDxfId="89" dataCellStyle="Comma"/>
    <tableColumn id="5" xr3:uid="{B8B710B7-45B7-4037-92FF-047A25142250}" name="Shipment Number" dataDxfId="88" totalsRowDxfId="87" dataCellStyle="Comma"/>
    <tableColumn id="6" xr3:uid="{3FF734F2-FA68-4DDC-90AE-9780A08BB28C}" name="Kora/metre" dataDxfId="86" totalsRowDxfId="85" dataCellStyle="Comma"/>
    <tableColumn id="7" xr3:uid="{B6CD6418-2026-44E7-8AB3-0380E950B61B}" name="Tiyaar/gaz" dataDxfId="84" totalsRowDxfId="83" dataCellStyle="Comma"/>
    <tableColumn id="8" xr3:uid="{9E35E7E0-9D4B-475C-AC21-66402F6608F7}" name="shortage %" dataDxfId="82" totalsRowDxfId="81" dataCellStyle="Comma">
      <calculatedColumnFormula>_xlfn.XLOOKUP(Table124[[#This Row],[Shipment Number]], 'pivot '!A:A,'pivot '!G:G, "NF")</calculatedColumnFormula>
    </tableColumn>
    <tableColumn id="9" xr3:uid="{5694F46E-D86A-4DBA-B922-7565A18CE21E}" name="tiyar/meters" totalsRowFunction="sum" dataDxfId="80" totalsRowDxfId="79" dataCellStyle="Comma">
      <calculatedColumnFormula>(Table124[[#This Row],[Tiyaar/gaz]]/1.0936)</calculatedColumnFormula>
    </tableColumn>
    <tableColumn id="10" xr3:uid="{DFD0B164-BA14-476A-8077-1EB17A66C226}" name="billing" totalsRowFunction="sum" dataDxfId="78" totalsRowDxfId="77" dataCellStyle="Comma">
      <calculatedColumnFormula>Table124[[#This Row],[tiyar/meters]] *10</calculatedColumnFormula>
    </tableColumn>
    <tableColumn id="11" xr3:uid="{836BF1A3-BE0D-4C08-950B-D9D8659430AD}" name="Total Billing" totalsRowFunction="custom" dataDxfId="76" dataCellStyle="Comma">
      <totalsRowFormula>SUM(Table124[billing])</totalsRow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73" headerRowBorderDxfId="72" tableBorderDxfId="71">
  <autoFilter ref="A1:I32" xr:uid="{F8E8C957-ABE7-4E4F-8D4E-7D44E26B334F}"/>
  <sortState xmlns:xlrd2="http://schemas.microsoft.com/office/spreadsheetml/2017/richdata2" ref="A2:I2">
    <sortCondition ref="A1:A2"/>
  </sortState>
  <tableColumns count="9">
    <tableColumn id="1" xr3:uid="{C2E817D6-AB98-4DDD-8890-736B27F261CD}" name="Date" dataDxfId="70" totalsRowDxfId="69"/>
    <tableColumn id="2" xr3:uid="{CFB51890-CCDC-463C-81C9-3F8BD7469CB9}" name="Party Name"/>
    <tableColumn id="3" xr3:uid="{A113D971-1C9D-4733-99C4-BD0CC4333209}" name="Vehicle Number"/>
    <tableColumn id="4" xr3:uid="{49780304-3DD1-4AE9-98EE-2BC7EB8F3B57}" name="Weight" dataDxfId="68" totalsRowDxfId="67" dataCellStyle="Comma"/>
    <tableColumn id="5" xr3:uid="{FCAF1BC6-1D8C-42AD-8BBC-F924BF2DC7FE}" name="Rate" dataDxfId="66" totalsRowDxfId="65" dataCellStyle="Comma"/>
    <tableColumn id="6" xr3:uid="{8C70A624-4134-410C-9C45-9FDEB51D51BF}" name="Rent" dataDxfId="64" totalsRowDxfId="63" dataCellStyle="Comma"/>
    <tableColumn id="7" xr3:uid="{EBCE10AE-9634-4982-9C95-37ABC8A7078C}" name="total" totalsRowFunction="sum" dataDxfId="62" totalsRowDxfId="61" dataCellStyle="Comma">
      <calculatedColumnFormula>D2*E2</calculatedColumnFormula>
    </tableColumn>
    <tableColumn id="9" xr3:uid="{D4788559-C94A-44D9-B9AE-E72B214355AC}" name="Paid" totalsRowFunction="sum" dataDxfId="60" totalsRowDxfId="59" dataCellStyle="Comma"/>
    <tableColumn id="8" xr3:uid="{E26F5BF0-1875-4FC6-994D-49F202ED562B}" name="balance" totalsRowFunction="sum" dataDxfId="58" totalsRowDxfId="57" dataCellStyle="Comma">
      <calculatedColumnFormula>(D2*E2)-Table3[[#This Row],[Paid]]</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02" totalsRowCount="1">
  <autoFilter ref="A1:G201" xr:uid="{CB032221-B416-47A8-9A76-693DE76CFD04}">
    <filterColumn colId="1">
      <filters>
        <filter val="Sufi Nawaz Sahab"/>
      </filters>
    </filterColumn>
  </autoFilter>
  <tableColumns count="7">
    <tableColumn id="1" xr3:uid="{554B1EED-65B6-4E9A-B646-82727FAC40DE}" name="Date" dataDxfId="55" totalsRowDxfId="54"/>
    <tableColumn id="2" xr3:uid="{32259059-42CF-4947-83DE-115AA430BE2B}" name="Party"/>
    <tableColumn id="3" xr3:uid="{A1320223-D55D-483C-91C3-AB19B95CC9D8}" name="Debit" totalsRowFunction="sum" dataDxfId="53" totalsRowDxfId="52" dataCellStyle="Comma"/>
    <tableColumn id="4" xr3:uid="{E9745767-9FF0-4B1C-9052-FF335D1D7588}" name="Credit" totalsRowFunction="sum" dataDxfId="51" totalsRowDxfId="50" dataCellStyle="Comma"/>
    <tableColumn id="5" xr3:uid="{5C88A48E-2467-4E6D-B626-2442B7FD0BE4}" name="Description"/>
    <tableColumn id="6" xr3:uid="{63CA4666-144E-4BE6-8B7C-7CB992BD3041}" name="Mode" totalsRowFunction="custom" dataDxfId="49" totalsRowDxfId="48">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N8:O11" totalsRowShown="0" headerRowBorderDxfId="47" tableBorderDxfId="46" totalsRowBorderDxfId="45">
  <autoFilter ref="N8:O11" xr:uid="{DCE01694-23ED-48BF-8B92-4186B9ED10A8}"/>
  <tableColumns count="2">
    <tableColumn id="1" xr3:uid="{C8484DAF-2989-4C2F-9AEC-A6917E1C57F6}" name="Type" dataDxfId="44"/>
    <tableColumn id="2" xr3:uid="{B07B7A2A-4D4E-4654-BED6-FE2F0A7BEC34}" name="Amount" dataDxfId="4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R12" totalsRowCount="1" headerRowDxfId="42" headerRowBorderDxfId="41" tableBorderDxfId="40" totalsRowBorderDxfId="39">
  <autoFilter ref="Q8:R11" xr:uid="{D166BDD1-ACD7-45D7-8AE9-7350373F8CEB}"/>
  <tableColumns count="2">
    <tableColumn id="1" xr3:uid="{64F0205E-DEA7-4571-BA86-E4374A5FEE28}" name="Type" totalsRowLabel="Total" dataDxfId="38" totalsRowDxfId="37"/>
    <tableColumn id="2" xr3:uid="{15FA05F9-789C-4459-9BE0-5C1EC84D3365}" name="amount" totalsRowFunction="custom" dataDxfId="36" totalsRowDxfId="35">
      <totalsRowFormula>SUM(R10:R11)</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4" totalsRowDxfId="33"/>
    <tableColumn id="2" xr3:uid="{5B9D0FEE-4304-4C5C-A05C-5B27CF7841D3}" name="Type"/>
    <tableColumn id="3" xr3:uid="{6A91CA0D-C802-4C6F-9F39-CA53687E8EDE}" name="Description"/>
    <tableColumn id="4" xr3:uid="{A251D40C-AB87-4BB4-85F8-444B20E32FDF}" name="Total" totalsRowFunction="custom" dataDxfId="32" totalsRowDxfId="31" dataCellStyle="Comma">
      <totalsRowFormula>SUM(Table7[Total])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8" totalsRowCount="1" headerRowDxfId="30" headerRowBorderDxfId="29">
  <autoFilter ref="A1:I1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2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dataDxfId="2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23" totalsRowCount="1" headerRowDxfId="26" headerRowBorderDxfId="25">
  <autoFilter ref="A4:H22" xr:uid="{A4C80688-A8BA-4BA7-90B4-791CD99446B4}"/>
  <sortState xmlns:xlrd2="http://schemas.microsoft.com/office/spreadsheetml/2017/richdata2" ref="A5:H16">
    <sortCondition ref="A4:A16"/>
  </sortState>
  <tableColumns count="8">
    <tableColumn id="1" xr3:uid="{4A818912-918E-4111-ACFC-BC93FEF7C1AD}" name="Date" dataDxfId="24" totalsRowDxfId="23"/>
    <tableColumn id="8" xr3:uid="{477ACFD5-62AF-4F69-974B-E9B974C11D7D}" name="Party Name" dataDxfId="2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tableColumn id="7" xr3:uid="{BB689DF2-5D1E-436D-84C4-9745D88E8F3D}" name="Balance" totalsRowFunction="sum" dataDxfId="21">
      <calculatedColumnFormula>Table2[[#This Row],[Price]]-Table2[[#This Row],[Paid]]</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0" totalsRowDxfId="19" dataCellStyle="Comma"/>
    <tableColumn id="6" xr3:uid="{8816813F-07CA-42C2-B1D6-851406F94D6E}" name="Column1" totalsRowFunction="cou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14" totalsRowCount="1">
  <autoFilter ref="B2:E13" xr:uid="{62116EC9-BBDE-41BB-A2D7-8BCF3AB6260F}"/>
  <tableColumns count="4">
    <tableColumn id="1" xr3:uid="{7DB097C9-B24B-4164-AE75-219BA075790F}" name="Date" dataDxfId="18" totalsRowDxfId="17"/>
    <tableColumn id="2" xr3:uid="{053BFC14-4828-417C-9F9F-95B6E232A945}" name="Amount" totalsRowFunction="custom" dataDxfId="16" totalsRowDxfId="1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13" totalsRowCount="1">
  <autoFilter ref="H2:J12" xr:uid="{A7B203B0-1AB7-490A-A749-F34A78C46DF4}"/>
  <tableColumns count="3">
    <tableColumn id="1" xr3:uid="{B4CDCF07-E9DA-48C6-997D-76B3FCF36D4E}" name="Date" dataDxfId="14" totalsRowDxfId="1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17" totalsRowCount="1">
  <autoFilter ref="B2:E16" xr:uid="{4694C645-BA0B-477E-AE5E-02046C12E841}"/>
  <tableColumns count="4">
    <tableColumn id="1" xr3:uid="{1D391A77-9D14-4B37-AD91-EEEDC97B6A4E}" name="Date" dataDxfId="3" totalsRowDxfId="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21" totalsRowCount="1">
  <autoFilter ref="H2:J20" xr:uid="{A7265B0E-A50D-4BC5-9C1C-E62AF5B48CAF}"/>
  <tableColumns count="3">
    <tableColumn id="1" xr3:uid="{AB5830E5-ECCF-4406-AB96-EB98EE86F300}" name="Date" dataDxfId="1" totalsRowDxfId="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openxmlformats.org/officeDocument/2006/relationships/table" Target="../tables/table2.xml" /></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 /></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 /><Relationship Id="rId1" Type="http://schemas.openxmlformats.org/officeDocument/2006/relationships/printerSettings" Target="../printerSettings/printerSettings2.bin" /></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 /><Relationship Id="rId2" Type="http://schemas.openxmlformats.org/officeDocument/2006/relationships/table" Target="../tables/table5.xml" /><Relationship Id="rId1" Type="http://schemas.openxmlformats.org/officeDocument/2006/relationships/printerSettings" Target="../printerSettings/printerSettings3.bin" /></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 /><Relationship Id="rId2" Type="http://schemas.openxmlformats.org/officeDocument/2006/relationships/table" Target="../tables/table7.xml" /><Relationship Id="rId1" Type="http://schemas.openxmlformats.org/officeDocument/2006/relationships/printerSettings" Target="../printerSettings/printerSettings4.bin" /></Relationships>
</file>

<file path=xl/worksheets/_rels/sheet6.xml.rels><?xml version="1.0" encoding="UTF-8" standalone="yes"?>
<Relationships xmlns="http://schemas.openxmlformats.org/package/2006/relationships"><Relationship Id="rId1" Type="http://schemas.openxmlformats.org/officeDocument/2006/relationships/table" Target="../tables/table9.xml" /></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 /><Relationship Id="rId2" Type="http://schemas.openxmlformats.org/officeDocument/2006/relationships/pivotTable" Target="../pivotTables/pivotTable3.xml" /><Relationship Id="rId1" Type="http://schemas.openxmlformats.org/officeDocument/2006/relationships/pivotTable" Target="../pivotTables/pivotTable2.xml" /><Relationship Id="rId6" Type="http://schemas.microsoft.com/office/2007/relationships/slicer" Target="../slicers/slicer1.xml" /><Relationship Id="rId5" Type="http://schemas.openxmlformats.org/officeDocument/2006/relationships/table" Target="../tables/table10.xml" /><Relationship Id="rId4" Type="http://schemas.openxmlformats.org/officeDocument/2006/relationships/drawing" Target="../drawings/drawing1.xml" /></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 /></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 /><Relationship Id="rId2" Type="http://schemas.openxmlformats.org/officeDocument/2006/relationships/printerSettings" Target="../printerSettings/printerSettings6.bin" /><Relationship Id="rId1" Type="http://schemas.openxmlformats.org/officeDocument/2006/relationships/pivotTable" Target="../pivotTables/pivotTable4.xml" /><Relationship Id="rId5" Type="http://schemas.microsoft.com/office/2007/relationships/slicer" Target="../slicers/slicer2.xml" /><Relationship Id="rId4" Type="http://schemas.openxmlformats.org/officeDocument/2006/relationships/table" Target="../tables/table12.xml" /></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 /><Relationship Id="rId7" Type="http://schemas.microsoft.com/office/2007/relationships/slicer" Target="../slicers/slicer3.xml" /><Relationship Id="rId2" Type="http://schemas.openxmlformats.org/officeDocument/2006/relationships/printerSettings" Target="../printerSettings/printerSettings7.bin" /><Relationship Id="rId1" Type="http://schemas.openxmlformats.org/officeDocument/2006/relationships/pivotTable" Target="../pivotTables/pivotTable5.xml" /><Relationship Id="rId6" Type="http://schemas.openxmlformats.org/officeDocument/2006/relationships/table" Target="../tables/table15.xml" /><Relationship Id="rId5" Type="http://schemas.openxmlformats.org/officeDocument/2006/relationships/table" Target="../tables/table14.xml" /><Relationship Id="rId4" Type="http://schemas.openxmlformats.org/officeDocument/2006/relationships/table" Target="../tables/table13.xml" /></Relationships>
</file>

<file path=xl/worksheets/_rels/sheet11.xml.rels><?xml version="1.0" encoding="UTF-8" standalone="yes"?>
<Relationships xmlns="http://schemas.openxmlformats.org/package/2006/relationships"><Relationship Id="rId3" Type="http://schemas.openxmlformats.org/officeDocument/2006/relationships/table" Target="../tables/table17.xml" /><Relationship Id="rId2" Type="http://schemas.openxmlformats.org/officeDocument/2006/relationships/table" Target="../tables/table16.xml" /><Relationship Id="rId1" Type="http://schemas.openxmlformats.org/officeDocument/2006/relationships/pivotTable" Target="../pivotTables/pivotTable6.xml" /></Relationships>
</file>

<file path=xl/worksheets/_rels/sheet12.xml.rels><?xml version="1.0" encoding="UTF-8" standalone="yes"?>
<Relationships xmlns="http://schemas.openxmlformats.org/package/2006/relationships"><Relationship Id="rId3" Type="http://schemas.openxmlformats.org/officeDocument/2006/relationships/table" Target="../tables/table18.xml" /><Relationship Id="rId2" Type="http://schemas.openxmlformats.org/officeDocument/2006/relationships/drawing" Target="../drawings/drawing4.xml" /><Relationship Id="rId1" Type="http://schemas.openxmlformats.org/officeDocument/2006/relationships/pivotTable" Target="../pivotTables/pivotTable7.xml" /><Relationship Id="rId4" Type="http://schemas.microsoft.com/office/2007/relationships/slicer" Target="../slicers/slicer4.xml" /></Relationships>
</file>

<file path=xl/worksheets/_rels/sheet13.xml.rels><?xml version="1.0" encoding="UTF-8" standalone="yes"?>
<Relationships xmlns="http://schemas.openxmlformats.org/package/2006/relationships"><Relationship Id="rId1" Type="http://schemas.openxmlformats.org/officeDocument/2006/relationships/table" Target="../tables/table19.xml" /></Relationships>
</file>

<file path=xl/worksheets/_rels/sheet14.xml.rels><?xml version="1.0" encoding="UTF-8" standalone="yes"?>
<Relationships xmlns="http://schemas.openxmlformats.org/package/2006/relationships"><Relationship Id="rId1" Type="http://schemas.openxmlformats.org/officeDocument/2006/relationships/table" Target="../tables/table20.xml" /></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 /><Relationship Id="rId2" Type="http://schemas.openxmlformats.org/officeDocument/2006/relationships/table" Target="../tables/table21.xml" /><Relationship Id="rId1" Type="http://schemas.openxmlformats.org/officeDocument/2006/relationships/printerSettings" Target="../printerSettings/printerSettings8.bin" /></Relationships>
</file>

<file path=xl/worksheets/_rels/sheet16.xml.rels><?xml version="1.0" encoding="UTF-8" standalone="yes"?>
<Relationships xmlns="http://schemas.openxmlformats.org/package/2006/relationships"><Relationship Id="rId3" Type="http://schemas.microsoft.com/office/2007/relationships/slicer" Target="../slicers/slicer5.xml" /><Relationship Id="rId2" Type="http://schemas.openxmlformats.org/officeDocument/2006/relationships/drawing" Target="../drawings/drawing5.xml" /><Relationship Id="rId1" Type="http://schemas.openxmlformats.org/officeDocument/2006/relationships/pivotTable" Target="../pivotTables/pivotTable8.xml" /></Relationships>
</file>

<file path=xl/worksheets/_rels/sheet17.xml.rels><?xml version="1.0" encoding="UTF-8" standalone="yes"?>
<Relationships xmlns="http://schemas.openxmlformats.org/package/2006/relationships"><Relationship Id="rId2" Type="http://schemas.openxmlformats.org/officeDocument/2006/relationships/table" Target="../tables/table24.xml" /><Relationship Id="rId1" Type="http://schemas.openxmlformats.org/officeDocument/2006/relationships/table" Target="../tables/table2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O54"/>
  <sheetViews>
    <sheetView topLeftCell="A12" zoomScale="96" workbookViewId="0">
      <selection activeCell="L26" sqref="L26"/>
    </sheetView>
  </sheetViews>
  <sheetFormatPr defaultRowHeight="15" x14ac:dyDescent="0.2"/>
  <cols>
    <col min="2" max="2" width="12.9140625" bestFit="1" customWidth="1"/>
    <col min="3" max="3" width="13.71875" customWidth="1"/>
    <col min="4" max="4" width="13.44921875" customWidth="1"/>
    <col min="5" max="5" width="14.2578125" customWidth="1"/>
    <col min="6" max="6" width="17.21875" customWidth="1"/>
    <col min="7" max="7" width="23.80859375" customWidth="1"/>
    <col min="8" max="8" width="22.1953125" customWidth="1"/>
    <col min="9" max="9" width="15.87109375" bestFit="1" customWidth="1"/>
    <col min="10" max="10" width="13.85546875" customWidth="1"/>
    <col min="11" max="11" width="11.56640625" bestFit="1" customWidth="1"/>
    <col min="12" max="12" width="16.27734375" customWidth="1"/>
    <col min="13" max="13" width="18.29296875" customWidth="1"/>
    <col min="14" max="14" width="11.43359375" customWidth="1"/>
    <col min="15" max="15" width="14.9296875" customWidth="1"/>
    <col min="16" max="16" width="19.1015625" customWidth="1"/>
    <col min="17" max="17" width="11.1640625" customWidth="1"/>
    <col min="18" max="18" width="13.85546875" customWidth="1"/>
    <col min="19" max="19" width="11.1640625" customWidth="1"/>
    <col min="20" max="20" width="13.046875" customWidth="1"/>
    <col min="21" max="21" width="10.625" customWidth="1"/>
    <col min="22" max="22" width="12.64453125" customWidth="1"/>
  </cols>
  <sheetData>
    <row r="1" spans="2:14" ht="29.25" x14ac:dyDescent="0.4">
      <c r="G1" s="9" t="s">
        <v>0</v>
      </c>
    </row>
    <row r="3" spans="2:14" x14ac:dyDescent="0.2">
      <c r="B3" t="s">
        <v>1</v>
      </c>
      <c r="C3" t="s">
        <v>2</v>
      </c>
      <c r="D3" t="s">
        <v>3</v>
      </c>
      <c r="E3" t="s">
        <v>4</v>
      </c>
      <c r="I3" s="3" t="s">
        <v>5</v>
      </c>
      <c r="J3" t="s">
        <v>6</v>
      </c>
      <c r="K3" t="s">
        <v>7</v>
      </c>
    </row>
    <row r="4" spans="2:14" x14ac:dyDescent="0.2">
      <c r="B4" t="str">
        <f>B21</f>
        <v>BSC</v>
      </c>
      <c r="C4" s="18">
        <f>SUMIFS(ledger!G:G, ledger!B:B, B4, ledger!E:E, "&lt;&gt;*RD*") / 1.0936</f>
        <v>414267.55669348943</v>
      </c>
      <c r="D4">
        <v>10</v>
      </c>
      <c r="E4" s="14">
        <f>(SUMIFS(ledger!G:G, ledger!B:B, B4, ledger!E:E, "&lt;&gt;*RD*",ledger!D:D, "Silky") / 1.0936)*12 + (SUMIFS(ledger!G:G, ledger!B:B, B4, ledger!E:E, "&lt;&gt;*RD*",ledger!D:D, "Chamki") / 1.0936)*10</f>
        <v>4142675.5669348943</v>
      </c>
      <c r="I4" s="4" t="s">
        <v>12</v>
      </c>
      <c r="J4" s="5">
        <v>76517.922457937093</v>
      </c>
      <c r="K4" s="18">
        <v>765179.22457937093</v>
      </c>
    </row>
    <row r="5" spans="2:14" x14ac:dyDescent="0.2">
      <c r="B5" t="str">
        <f>B22</f>
        <v>Ejaz Sahab</v>
      </c>
      <c r="C5" s="18">
        <f>SUMIFS(ledger!G:G, ledger!B:B, B5, ledger!E:E, "&lt;&gt;*RD*") / 1.0936</f>
        <v>61235.369422092175</v>
      </c>
      <c r="D5">
        <v>10</v>
      </c>
      <c r="E5" s="14">
        <f>(SUMIFS(ledger!G:G, ledger!B:B, B5, ledger!E:E, "&lt;&gt;*RD*",ledger!D:D, "Silky") / 1.0936)*12 + (SUMIFS(ledger!G:G, ledger!B:B, B5, ledger!E:E, "&lt;&gt;*RD*",ledger!D:D, "Chamki") / 1.0936)*10</f>
        <v>612353.69422092172</v>
      </c>
      <c r="I5" s="4" t="s">
        <v>14</v>
      </c>
      <c r="J5" s="5">
        <v>414267.55669348943</v>
      </c>
      <c r="K5" s="18">
        <v>4142675.5669348943</v>
      </c>
    </row>
    <row r="6" spans="2:14" x14ac:dyDescent="0.2">
      <c r="B6" t="str">
        <f>B23</f>
        <v>Arshad</v>
      </c>
      <c r="C6" s="18">
        <f>SUMIFS(ledger!G:G, ledger!B:B, B6, ledger!E:E, "&lt;&gt;*RD*") / 1.0936</f>
        <v>76517.922457937093</v>
      </c>
      <c r="D6">
        <v>10</v>
      </c>
      <c r="E6" s="14">
        <f>(SUMIFS(ledger!G:G, ledger!B:B, B6, ledger!E:E, "&lt;&gt;*RD*",ledger!D:D, "Silky") / 1.0936)*12 + (SUMIFS(ledger!G:G, ledger!B:B, B6, ledger!E:E, "&lt;&gt;*RD*",ledger!D:D, "Chamki") / 1.0936)*10</f>
        <v>765179.22457937093</v>
      </c>
      <c r="I6" s="4" t="s">
        <v>15</v>
      </c>
      <c r="J6" s="5">
        <v>61235.369422092175</v>
      </c>
      <c r="K6" s="18">
        <v>612353.69422092172</v>
      </c>
    </row>
    <row r="7" spans="2:14" x14ac:dyDescent="0.2">
      <c r="B7" t="str">
        <f>B24</f>
        <v>Shehzad Kamoki</v>
      </c>
      <c r="C7" s="18">
        <f>SUMIFS(ledger!G:G, ledger!B:B, B7, ledger!E:E, "&lt;&gt;*RD*") / 1.0936</f>
        <v>83155.632772494515</v>
      </c>
      <c r="D7">
        <v>10.5</v>
      </c>
      <c r="E7" s="14">
        <f>(SUMIFS(ledger!G:G, ledger!B:B, B7, ledger!E:E, "&lt;&gt;*RD*",ledger!D:D, "Silky") / 1.0936)*12 + (SUMIFS(ledger!G:G, ledger!B:B, B7, ledger!E:E, "&lt;&gt;*RD*",ledger!D:D, "Chamki") / 1.0936)*10.5</f>
        <v>873134.14411119244</v>
      </c>
      <c r="I7" s="4" t="s">
        <v>16</v>
      </c>
      <c r="J7" s="5">
        <v>83155.632772494515</v>
      </c>
      <c r="K7" s="18">
        <v>873134.14411119244</v>
      </c>
    </row>
    <row r="8" spans="2:14" x14ac:dyDescent="0.2">
      <c r="B8" t="str">
        <f>B25</f>
        <v>Sufi Nawaz Sahab</v>
      </c>
      <c r="C8" s="18">
        <f>SUMIFS(ledger!G:G, ledger!B:B, B8, ledger!E:E, "&lt;&gt;*RD*") / 1.0936</f>
        <v>139479.7000731529</v>
      </c>
      <c r="D8">
        <v>10</v>
      </c>
      <c r="E8" s="14">
        <f>((SUMIFS(ledger!G:G, ledger!B:B, B8, ledger!E:E, "&lt;&gt;*RD*",ledger!D:D, "Silky") / 1.0936) *12) + ((SUMIFS(ledger!G:G, ledger!B:B, B8, ledger!E:E, "&lt;&gt;*RD*",ledger!D:D, "Chamki") / 1.0936)* 10)</f>
        <v>1434963.4235552307</v>
      </c>
      <c r="I8" s="4" t="s">
        <v>17</v>
      </c>
      <c r="J8" s="5">
        <v>139479.7000731529</v>
      </c>
      <c r="K8" s="18">
        <v>1434963.4235552307</v>
      </c>
    </row>
    <row r="9" spans="2:14" x14ac:dyDescent="0.2">
      <c r="B9" t="str">
        <f t="shared" ref="B9:B10" si="0">B26</f>
        <v>Sajad Khan</v>
      </c>
      <c r="C9" s="18">
        <f>SUMIFS(ledger!G:G, ledger!B:B, B9, ledger!E:E, "&lt;&gt;*RD*") / 1.0936</f>
        <v>156420.99487929774</v>
      </c>
      <c r="D9">
        <v>10</v>
      </c>
      <c r="E9" s="14" cm="1">
        <f t="array" ref="E9">(SUMIFS(ledger!G:G, ledger!B:B, B9, ledger!E:E, "&lt;&gt;*RD*",ledger!D:D, "Silky") / 1.0936)*12 + (SUMIFS(ledger!G:G, ledger!B:B, B9, ledger!E:E, "&lt;&gt;*RD*",ledger!D:D, "Chamki") / 1.0936)*10 +(SUMIFS(ledger!G:G, ledger!B:B, party, ledger!E:E, "&lt;&gt;*RD*", ledger!D:D, "Crinkle")/ 1.0936)*10</f>
        <v>1564209.9487929773</v>
      </c>
      <c r="I9" s="4" t="s">
        <v>201</v>
      </c>
      <c r="J9" s="5">
        <v>156420.99487929774</v>
      </c>
      <c r="K9" s="18">
        <v>1564209.9487929773</v>
      </c>
    </row>
    <row r="10" spans="2:14" x14ac:dyDescent="0.2">
      <c r="B10" t="str">
        <f t="shared" si="0"/>
        <v>Raaz Fabrics</v>
      </c>
      <c r="C10" s="18">
        <f>SUMIFS(ledger!G:G, ledger!B:B, B10, ledger!E:E, "&lt;&gt;*RD*") / 1.0936</f>
        <v>21851.682516459401</v>
      </c>
      <c r="D10">
        <v>10</v>
      </c>
      <c r="E10" s="14">
        <f>(SUMIFS(ledger!G:G, ledger!B:B, B10, ledger!E:E, "&lt;&gt;*RD*",ledger!D:D, "Silky") / 1.0936)*12 + (SUMIFS(ledger!G:G, ledger!B:B, B10, ledger!E:E, "&lt;&gt;*RD*",ledger!D:D, "chamki") / 1.0936)*10 +(SUMIFS(ledger!G:G, ledger!B:B, B10, ledger!E:E, "&lt;&gt;*RD*",ledger!D:D, "Crinkle") / 1.0936)*10</f>
        <v>218516.82516459402</v>
      </c>
      <c r="I10" s="4" t="s">
        <v>202</v>
      </c>
      <c r="J10" s="5">
        <v>21851.682516459401</v>
      </c>
      <c r="K10" s="18">
        <v>218516.82516459402</v>
      </c>
    </row>
    <row r="11" spans="2:14" x14ac:dyDescent="0.2">
      <c r="B11" t="str">
        <f>B28</f>
        <v>Hafiz Qureshi</v>
      </c>
      <c r="C11" s="18">
        <f>SUMIFS(ledger!G:G, ledger!B:B, B11, ledger!E:E, "&lt;&gt;*RD*") / 1.0936</f>
        <v>19940.563277249454</v>
      </c>
      <c r="D11">
        <v>10</v>
      </c>
      <c r="E11" s="14">
        <f>(SUMIFS(ledger!G:G, ledger!B:B, B11, ledger!E:E, "&lt;&gt;*RD*",ledger!D:D, "Silky") / 1.0936)*12 + (SUMIFS(ledger!G:G, ledger!B:B, B11, ledger!E:E, "&lt;&gt;*RD*",ledger!D:D, "Chamki") / 1.0936)*10</f>
        <v>199405.63277249454</v>
      </c>
      <c r="I11" s="4" t="s">
        <v>219</v>
      </c>
      <c r="J11" s="5">
        <v>19940.563277249454</v>
      </c>
      <c r="K11" s="18">
        <v>199405.63277249454</v>
      </c>
    </row>
    <row r="12" spans="2:14" x14ac:dyDescent="0.2">
      <c r="I12" s="4" t="s">
        <v>18</v>
      </c>
      <c r="J12" s="14">
        <v>972869.42209217278</v>
      </c>
      <c r="K12" s="14">
        <v>9810438.460131675</v>
      </c>
      <c r="M12" s="33"/>
      <c r="N12" s="33"/>
    </row>
    <row r="13" spans="2:14" x14ac:dyDescent="0.2">
      <c r="E13" s="14"/>
    </row>
    <row r="14" spans="2:14" x14ac:dyDescent="0.2">
      <c r="E14" s="14"/>
    </row>
    <row r="16" spans="2:14" x14ac:dyDescent="0.2">
      <c r="B16" s="47" t="s">
        <v>19</v>
      </c>
      <c r="C16" s="48">
        <f>SUM(_xlfn.ANCHORARRAY(G21))+SUM(_xlfn.ANCHORARRAY(H21))</f>
        <v>4383674.1038771039</v>
      </c>
      <c r="D16" t="s">
        <v>20</v>
      </c>
    </row>
    <row r="17" spans="1:15" x14ac:dyDescent="0.2">
      <c r="C17" s="18"/>
    </row>
    <row r="18" spans="1:15" x14ac:dyDescent="0.2">
      <c r="B18" s="25" t="s">
        <v>191</v>
      </c>
      <c r="C18" s="42">
        <f ca="1">SUM(OFFSET(I21,0,0,COUNTA(I:I)-ROW(I21)+1))</f>
        <v>9613223.2991953176</v>
      </c>
      <c r="D18" t="s">
        <v>193</v>
      </c>
    </row>
    <row r="20" spans="1:15" x14ac:dyDescent="0.2">
      <c r="B20" s="22"/>
      <c r="C20" s="24" t="s">
        <v>8</v>
      </c>
      <c r="D20" s="24" t="s">
        <v>179</v>
      </c>
      <c r="E20" s="24" t="s">
        <v>180</v>
      </c>
      <c r="F20" s="24" t="s">
        <v>181</v>
      </c>
      <c r="G20" s="24" t="s">
        <v>203</v>
      </c>
      <c r="H20" s="24" t="s">
        <v>132</v>
      </c>
      <c r="I20" s="24" t="s">
        <v>9</v>
      </c>
      <c r="J20" s="24" t="s">
        <v>10</v>
      </c>
      <c r="K20" s="24" t="s">
        <v>11</v>
      </c>
      <c r="L20" s="24" t="s">
        <v>133</v>
      </c>
      <c r="M20" s="24" t="s">
        <v>182</v>
      </c>
    </row>
    <row r="21" spans="1:15" x14ac:dyDescent="0.2">
      <c r="A21" t="s">
        <v>13</v>
      </c>
      <c r="B21" s="25" t="str" cm="1">
        <f t="array" ref="B21:B29">_xlfn.UNIQUE(Table1[Party Name])</f>
        <v>BSC</v>
      </c>
      <c r="C21" s="23" cm="1">
        <f t="array" ref="C21:C29">_xlfn.BYROW(_xlfn.ANCHORARRAY(B21),_xlfn.LAMBDA(_xlpm.party,SUMIFS(ledger!G:G,ledger!B:B,_xlpm.party,ledger!E:E,"&lt;&gt;*RD*")))</f>
        <v>453043</v>
      </c>
      <c r="D21" s="23" cm="1">
        <f t="array" ref="D21:D29">_xlfn.BYROW(_xlfn.ANCHORARRAY(B21), _xlfn.LAMBDA(_xlpm.party, SUMIFS(ledger!G:G, ledger!B:B, _xlpm.party, ledger!E:E, "&lt;&gt;*RD*") / 1.0936 ))</f>
        <v>414267.55669348943</v>
      </c>
      <c r="E21" s="74" cm="1">
        <f t="array" ref="E21:E29">_xlfn.BYROW(_xlfn.ANCHORARRAY(B21),_xlfn.LAMBDA(_xlpm.party,SUMIFS(ledger!G:G,ledger!B:B,_xlpm.party,ledger!E:E,"&lt;&gt;*RD*",ledger!D:D,"Chamki")+SUMIFS(ledger!G:G, ledger!B:B, _xlpm.party, ledger!E:E, "&lt;&gt;*RD*", ledger!D:D, "Crinkle")))/1.0936</f>
        <v>414267.55669348943</v>
      </c>
      <c r="F21" s="81" cm="1">
        <f t="array" ref="F21:F29">_xlfn.BYROW(_xlfn.ANCHORARRAY(B21),_xlfn.LAMBDA(_xlpm.party,SUMIFS(ledger!G:G,ledger!B:B,_xlpm.party,ledger!E:E,"&lt;&gt;*RD*",ledger!D:D,"Silky")))/1.0936</f>
        <v>0</v>
      </c>
      <c r="G21" s="23" cm="1">
        <f t="array" ref="G21">_xlfn.BYROW(B21,_xlfn.LAMBDA(_xlpm.party,(SUMIFS(ledger!G:G,ledger!B:B,_xlpm.party,ledger!E:E,"&lt;&gt;*RD*",ledger!D:D, "Chamki")+SUMIFS(ledger!G:G, ledger!B:B, _xlpm.party, ledger!E:E, "&lt;&gt;*RD*", ledger!D:D, "Crinkle"))/1.0936))*L21</f>
        <v>4142675.5669348943</v>
      </c>
      <c r="H21" s="23" cm="1">
        <f t="array" ref="H21:H29">_xlfn.BYROW(_xlfn.ANCHORARRAY(B21),_xlfn.LAMBDA(_xlpm.party,SUMIFS(ledger!G:G,ledger!B:B,_xlpm.party,ledger!E:E,"&lt;&gt;*RD*",ledger!D:D, "Silky")/1.0936))* 12</f>
        <v>0</v>
      </c>
      <c r="I21" s="46">
        <f t="shared" ref="I21" si="1">G21+H21</f>
        <v>4142675.5669348943</v>
      </c>
      <c r="J21" s="23">
        <f>SUMIF(Table14[Party], B21, Table14[Credit])</f>
        <v>3828838</v>
      </c>
      <c r="K21" s="42">
        <f>I21-J21</f>
        <v>313837.5669348943</v>
      </c>
      <c r="L21" s="22">
        <v>10</v>
      </c>
      <c r="M21" s="22">
        <v>12</v>
      </c>
      <c r="O21" s="14"/>
    </row>
    <row r="22" spans="1:15" x14ac:dyDescent="0.2">
      <c r="B22" s="25" t="str">
        <v>Ejaz Sahab</v>
      </c>
      <c r="C22" s="23">
        <v>66967</v>
      </c>
      <c r="D22" s="23">
        <v>61235.369422092175</v>
      </c>
      <c r="E22" s="74">
        <v>61235.369422092175</v>
      </c>
      <c r="F22" s="81">
        <v>0</v>
      </c>
      <c r="G22" s="23" cm="1">
        <f t="array" ref="G22">_xlfn.BYROW(B22,_xlfn.LAMBDA(_xlpm.party,(SUMIFS(ledger!G:G,ledger!B:B,_xlpm.party,ledger!E:E,"&lt;&gt;*RD*",ledger!D:D, "Chamki")+SUMIFS(ledger!G:G, ledger!B:B, _xlpm.party, ledger!E:E, "&lt;&gt;*RD*", ledger!D:D, "Crinkle"))/1.0936))*L22</f>
        <v>612353.69422092172</v>
      </c>
      <c r="H22" s="23">
        <v>0</v>
      </c>
      <c r="I22" s="46">
        <f>G22+H22</f>
        <v>612353.69422092172</v>
      </c>
      <c r="J22" s="23">
        <f>SUMIF(Table14[Party], B22, Table14[Credit])</f>
        <v>200000</v>
      </c>
      <c r="K22" s="42">
        <f>I22-J22</f>
        <v>412353.69422092172</v>
      </c>
      <c r="L22" s="22">
        <v>10</v>
      </c>
      <c r="M22" s="22">
        <v>12</v>
      </c>
    </row>
    <row r="23" spans="1:15" x14ac:dyDescent="0.2">
      <c r="B23" s="25" t="str">
        <v>Arshad</v>
      </c>
      <c r="C23" s="23">
        <v>83680</v>
      </c>
      <c r="D23" s="23">
        <v>76517.922457937093</v>
      </c>
      <c r="E23" s="74">
        <v>76517.922457937093</v>
      </c>
      <c r="F23" s="81">
        <v>0</v>
      </c>
      <c r="G23" s="23" cm="1">
        <f t="array" ref="G23">_xlfn.BYROW(B23,_xlfn.LAMBDA(_xlpm.party,(SUMIFS(ledger!G:G,ledger!B:B,_xlpm.party,ledger!E:E,"&lt;&gt;*RD*",ledger!D:D, "Chamki")+SUMIFS(ledger!G:G, ledger!B:B, _xlpm.party, ledger!E:E, "&lt;&gt;*RD*", ledger!D:D, "Crinkle"))/1.0936))*L23</f>
        <v>765179.22457937093</v>
      </c>
      <c r="H23" s="23">
        <v>0</v>
      </c>
      <c r="I23" s="46">
        <f>G23+H23</f>
        <v>765179.22457937093</v>
      </c>
      <c r="J23" s="23">
        <f>SUMIF(Table14[Party], B23, Table14[Credit])</f>
        <v>100000</v>
      </c>
      <c r="K23" s="42">
        <f>I23-J23</f>
        <v>665179.22457937093</v>
      </c>
      <c r="L23" s="22">
        <v>10</v>
      </c>
      <c r="M23" s="22">
        <v>12</v>
      </c>
    </row>
    <row r="24" spans="1:15" x14ac:dyDescent="0.2">
      <c r="B24" s="25" t="str">
        <v>Shehzad Kamoki</v>
      </c>
      <c r="C24" s="23">
        <v>90939</v>
      </c>
      <c r="D24" s="23">
        <v>83155.632772494515</v>
      </c>
      <c r="E24" s="74">
        <v>83155.632772494515</v>
      </c>
      <c r="F24" s="81">
        <v>0</v>
      </c>
      <c r="G24" s="23" cm="1">
        <f t="array" ref="G24">_xlfn.BYROW(B24,_xlfn.LAMBDA(_xlpm.party,(SUMIFS(ledger!G:G,ledger!B:B,_xlpm.party,ledger!E:E,"&lt;&gt;*RD*",ledger!D:D, "Chamki")+SUMIFS(ledger!G:G, ledger!B:B, _xlpm.party, ledger!E:E, "&lt;&gt;*RD*", ledger!D:D, "Crinkle"))/1.0936))*L24</f>
        <v>873134.14411119244</v>
      </c>
      <c r="H24" s="23">
        <v>0</v>
      </c>
      <c r="I24" s="46">
        <f>(G24+(D24*0.5))+H24</f>
        <v>914711.96049743972</v>
      </c>
      <c r="J24" s="23">
        <f>SUMIF(Table14[Party], B24, Table14[Credit])</f>
        <v>350000</v>
      </c>
      <c r="K24" s="42">
        <f t="shared" ref="K24:K27" si="2">I24-J24</f>
        <v>564711.96049743972</v>
      </c>
      <c r="L24" s="22">
        <v>10.5</v>
      </c>
      <c r="M24" s="22">
        <v>13</v>
      </c>
    </row>
    <row r="25" spans="1:15" x14ac:dyDescent="0.2">
      <c r="B25" s="25" t="str">
        <v>Sufi Nawaz Sahab</v>
      </c>
      <c r="C25" s="23">
        <v>152535</v>
      </c>
      <c r="D25" s="23">
        <v>139479.7000731529</v>
      </c>
      <c r="E25" s="74">
        <v>119396.48866130214</v>
      </c>
      <c r="F25" s="81">
        <v>20083.211411850771</v>
      </c>
      <c r="G25" s="23" cm="1">
        <f t="array" ref="G25">_xlfn.BYROW(B25,_xlfn.LAMBDA(_xlpm.party,(SUMIFS(ledger!G:G,ledger!B:B,_xlpm.party,ledger!E:E,"&lt;&gt;*RD*",ledger!D:D, "Chamki")+SUMIFS(ledger!G:G, ledger!B:B, _xlpm.party, ledger!E:E, "&lt;&gt;*RD*", ledger!D:D, "Crinkle"))/1.0936))*L25</f>
        <v>1074568.3979517194</v>
      </c>
      <c r="H25" s="23">
        <v>240998.53694220923</v>
      </c>
      <c r="I25" s="46">
        <f>(G25-E25)+H25</f>
        <v>1196170.4462326264</v>
      </c>
      <c r="J25" s="23">
        <f>SUMIF(Table14[Party], B25, Table14[Credit])</f>
        <v>300000</v>
      </c>
      <c r="K25" s="42">
        <f t="shared" si="2"/>
        <v>896170.44623262645</v>
      </c>
      <c r="L25" s="22">
        <v>9</v>
      </c>
      <c r="M25" s="22">
        <v>12</v>
      </c>
    </row>
    <row r="26" spans="1:15" x14ac:dyDescent="0.2">
      <c r="B26" s="25" t="str">
        <v>Sajad Khan</v>
      </c>
      <c r="C26" s="23">
        <v>171062</v>
      </c>
      <c r="D26" s="23">
        <v>156420.99487929774</v>
      </c>
      <c r="E26" s="22">
        <v>156420.99487929774</v>
      </c>
      <c r="F26" s="22">
        <v>0</v>
      </c>
      <c r="G26" s="23" cm="1">
        <f t="array" ref="G26">_xlfn.BYROW(B26,_xlfn.LAMBDA(_xlpm.party,(SUMIFS(ledger!G:G,ledger!B:B,_xlpm.party,ledger!E:E,"&lt;&gt;*RD*",ledger!D:D, "Chamki")+SUMIFS(ledger!G:G, ledger!B:B, _xlpm.party, ledger!E:E, "&lt;&gt;*RD*", ledger!D:D, "Crinkle"))/1.0936))*L26</f>
        <v>1564209.9487929773</v>
      </c>
      <c r="H26" s="23">
        <v>0</v>
      </c>
      <c r="I26" s="46">
        <f t="shared" ref="I26:I33" si="3">G26+H26</f>
        <v>1564209.9487929773</v>
      </c>
      <c r="J26" s="23">
        <f>SUMIF(Table14[Party], B26, Table14[Credit])</f>
        <v>300000</v>
      </c>
      <c r="K26" s="42">
        <f t="shared" si="2"/>
        <v>1264209.9487929773</v>
      </c>
      <c r="L26" s="22">
        <v>10</v>
      </c>
      <c r="M26" s="22">
        <v>12</v>
      </c>
    </row>
    <row r="27" spans="1:15" x14ac:dyDescent="0.2">
      <c r="B27" s="25" t="str">
        <v>Raaz Fabrics</v>
      </c>
      <c r="C27" s="23">
        <v>23897</v>
      </c>
      <c r="D27" s="23">
        <v>21851.682516459401</v>
      </c>
      <c r="E27" s="22">
        <v>21851.682516459401</v>
      </c>
      <c r="F27" s="22">
        <v>0</v>
      </c>
      <c r="G27" s="23" cm="1">
        <f t="array" ref="G27">_xlfn.BYROW(B27,_xlfn.LAMBDA(_xlpm.party,(SUMIFS(ledger!G:G,ledger!B:B,_xlpm.party,ledger!E:E,"&lt;&gt;*RD*",ledger!D:D, "Chamki")+SUMIFS(ledger!G:G, ledger!B:B, _xlpm.party, ledger!E:E, "&lt;&gt;*RD*", ledger!D:D, "Crinkle"))/1.0936))*L27</f>
        <v>218516.82516459402</v>
      </c>
      <c r="H27" s="23">
        <v>0</v>
      </c>
      <c r="I27" s="46">
        <f t="shared" si="3"/>
        <v>218516.82516459402</v>
      </c>
      <c r="J27" s="23">
        <f>SUMIF(Table14[Party], B27, Table14[Credit])</f>
        <v>0</v>
      </c>
      <c r="K27" s="42">
        <f t="shared" si="2"/>
        <v>218516.82516459402</v>
      </c>
      <c r="L27" s="22">
        <v>10</v>
      </c>
      <c r="M27" s="22">
        <v>12</v>
      </c>
    </row>
    <row r="28" spans="1:15" x14ac:dyDescent="0.2">
      <c r="B28" s="25" t="str">
        <v>Hafiz Qureshi</v>
      </c>
      <c r="C28" s="23">
        <v>21807</v>
      </c>
      <c r="D28" s="23">
        <v>19940.563277249454</v>
      </c>
      <c r="E28" s="22">
        <v>19940.563277249454</v>
      </c>
      <c r="F28" s="22">
        <v>0</v>
      </c>
      <c r="G28" s="23" cm="1">
        <f t="array" ref="G28">_xlfn.BYROW(B28,_xlfn.LAMBDA(_xlpm.party,(SUMIFS(ledger!G:G,ledger!B:B,_xlpm.party,ledger!E:E,"&lt;&gt;*RD*",ledger!D:D, "Chamki")+SUMIFS(ledger!G:G, ledger!B:B, _xlpm.party, ledger!E:E, "&lt;&gt;*RD*", ledger!D:D, "Crinkle"))/1.0936))*L28</f>
        <v>199405.63277249454</v>
      </c>
      <c r="H28" s="23">
        <v>0</v>
      </c>
      <c r="I28" s="46">
        <f t="shared" si="3"/>
        <v>199405.63277249454</v>
      </c>
      <c r="J28" s="23">
        <f>SUMIF(Table14[Party], B28, Table14[Credit])</f>
        <v>100000</v>
      </c>
      <c r="K28" s="42">
        <f t="shared" ref="K28:K33" si="4">I28-J28</f>
        <v>99405.632772494544</v>
      </c>
      <c r="L28" s="22">
        <v>10</v>
      </c>
      <c r="M28" s="22">
        <v>12</v>
      </c>
    </row>
    <row r="29" spans="1:15" x14ac:dyDescent="0.2">
      <c r="B29" s="25">
        <v>0</v>
      </c>
      <c r="C29" s="23">
        <v>0</v>
      </c>
      <c r="D29" s="23">
        <v>0</v>
      </c>
      <c r="E29" s="22">
        <v>0</v>
      </c>
      <c r="F29" s="22">
        <v>0</v>
      </c>
      <c r="G29" s="23" cm="1">
        <f t="array" ref="G29">_xlfn.BYROW(B29,_xlfn.LAMBDA(_xlpm.party,(SUMIFS(ledger!G:G,ledger!B:B,_xlpm.party,ledger!E:E,"&lt;&gt;*RD*",ledger!D:D, "Chamki")+SUMIFS(ledger!G:G, ledger!B:B, _xlpm.party, ledger!E:E, "&lt;&gt;*RD*", ledger!D:D, "Crinkle"))/1.0936))*L29</f>
        <v>0</v>
      </c>
      <c r="H29" s="23">
        <v>0</v>
      </c>
      <c r="I29" s="46">
        <f t="shared" si="3"/>
        <v>0</v>
      </c>
      <c r="J29" s="23">
        <f>SUMIF(Table14[Party], B29, Table14[Credit])</f>
        <v>0</v>
      </c>
      <c r="K29" s="42">
        <f t="shared" si="4"/>
        <v>0</v>
      </c>
      <c r="L29" s="22">
        <v>10</v>
      </c>
      <c r="M29" s="22">
        <v>12</v>
      </c>
    </row>
    <row r="30" spans="1:15" x14ac:dyDescent="0.2">
      <c r="B30" s="25"/>
      <c r="C30" s="23"/>
      <c r="D30" s="23"/>
      <c r="E30" s="22"/>
      <c r="F30" s="22"/>
      <c r="G30" s="23"/>
      <c r="H30" s="23"/>
      <c r="I30" s="46">
        <f t="shared" si="3"/>
        <v>0</v>
      </c>
      <c r="J30" s="23">
        <f>SUMIF(Table14[Party], B30, Table14[Credit])</f>
        <v>0</v>
      </c>
      <c r="K30" s="42">
        <f t="shared" si="4"/>
        <v>0</v>
      </c>
      <c r="L30" s="22">
        <v>10</v>
      </c>
      <c r="M30" s="22">
        <v>12</v>
      </c>
    </row>
    <row r="31" spans="1:15" x14ac:dyDescent="0.2">
      <c r="B31" s="25"/>
      <c r="C31" s="23"/>
      <c r="D31" s="23"/>
      <c r="E31" s="22"/>
      <c r="F31" s="22"/>
      <c r="G31" s="23"/>
      <c r="H31" s="23"/>
      <c r="I31" s="46">
        <f t="shared" si="3"/>
        <v>0</v>
      </c>
      <c r="J31" s="23">
        <f>SUMIF(Table14[Party], B31, Table14[Credit])</f>
        <v>0</v>
      </c>
      <c r="K31" s="42">
        <f t="shared" si="4"/>
        <v>0</v>
      </c>
      <c r="L31" s="22">
        <v>10</v>
      </c>
      <c r="M31" s="22">
        <v>12</v>
      </c>
    </row>
    <row r="32" spans="1:15" x14ac:dyDescent="0.2">
      <c r="B32" s="25"/>
      <c r="C32" s="23"/>
      <c r="D32" s="23"/>
      <c r="E32" s="22"/>
      <c r="F32" s="22"/>
      <c r="G32" s="23"/>
      <c r="H32" s="23"/>
      <c r="I32" s="46">
        <f t="shared" si="3"/>
        <v>0</v>
      </c>
      <c r="J32" s="23">
        <f>SUMIF(Table14[Party], B32, Table14[Credit])</f>
        <v>0</v>
      </c>
      <c r="K32" s="42">
        <f t="shared" si="4"/>
        <v>0</v>
      </c>
      <c r="L32" s="22">
        <v>10</v>
      </c>
      <c r="M32" s="22">
        <v>12</v>
      </c>
    </row>
    <row r="33" spans="2:13" x14ac:dyDescent="0.2">
      <c r="B33" s="25"/>
      <c r="C33" s="23"/>
      <c r="D33" s="23"/>
      <c r="E33" s="22"/>
      <c r="F33" s="22"/>
      <c r="G33" s="23"/>
      <c r="H33" s="23"/>
      <c r="I33" s="46">
        <f t="shared" si="3"/>
        <v>0</v>
      </c>
      <c r="J33" s="23">
        <f>SUMIF(Table14[Party], B33, Table14[Credit])</f>
        <v>0</v>
      </c>
      <c r="K33" s="42">
        <f t="shared" si="4"/>
        <v>0</v>
      </c>
      <c r="L33" s="22">
        <v>10</v>
      </c>
      <c r="M33" s="22">
        <v>12</v>
      </c>
    </row>
    <row r="43" spans="2:13" x14ac:dyDescent="0.2">
      <c r="B43" s="99" t="s">
        <v>62</v>
      </c>
      <c r="C43" s="100" t="s">
        <v>8</v>
      </c>
      <c r="D43" s="100" t="s">
        <v>179</v>
      </c>
      <c r="E43" s="100" t="s">
        <v>180</v>
      </c>
      <c r="F43" s="100" t="s">
        <v>181</v>
      </c>
      <c r="G43" s="100" t="s">
        <v>203</v>
      </c>
      <c r="H43" s="100" t="s">
        <v>132</v>
      </c>
      <c r="I43" s="100" t="s">
        <v>9</v>
      </c>
      <c r="J43" s="100" t="s">
        <v>10</v>
      </c>
      <c r="K43" s="100" t="s">
        <v>11</v>
      </c>
      <c r="L43" s="100" t="s">
        <v>133</v>
      </c>
      <c r="M43" s="100" t="s">
        <v>182</v>
      </c>
    </row>
    <row r="44" spans="2:13" x14ac:dyDescent="0.2">
      <c r="B44" s="25" t="s">
        <v>14</v>
      </c>
      <c r="C44" s="23" cm="1">
        <f t="array" ref="C44">_xlfn.BYROW(B44,_xlfn.LAMBDA(_xlpm.party,SUMIFS(ledger!G:G,ledger!B:B,_xlpm.party,ledger!E:E,"&lt;&gt;*RD*")))</f>
        <v>453043</v>
      </c>
      <c r="D44" s="23" cm="1">
        <f t="array" ref="D44">_xlfn.BYROW(B44, _xlfn.LAMBDA(_xlpm.party, SUMIFS(ledger!G:G, ledger!B:B, _xlpm.party, ledger!E:E, "&lt;&gt;*RD*") / 1.0936 ))</f>
        <v>414267.55669348943</v>
      </c>
      <c r="E44" s="74" cm="1">
        <f t="array" ref="E44">_xlfn.BYROW(B44,_xlfn.LAMBDA(_xlpm.party,SUMIFS(ledger!G:G,ledger!B:B,_xlpm.party,ledger!E:E,"&lt;&gt;*RD*",ledger!D:D,"Chamki")+SUMIFS(ledger!G:G, ledger!B:B, _xlpm.party, ledger!E:E, "&lt;&gt;*RD*", ledger!D:D, "Crinkle")))/1.0936</f>
        <v>414267.55669348943</v>
      </c>
      <c r="F44" s="81" cm="1">
        <f t="array" ref="F44">_xlfn.BYROW(B44,_xlfn.LAMBDA(_xlpm.party,SUMIFS(ledger!G:G,ledger!B:B,_xlpm.party,ledger!E:E,"&lt;&gt;*RD*",ledger!D:D,"Silky")))/1.0936</f>
        <v>0</v>
      </c>
      <c r="G44" s="23" cm="1">
        <f t="array" ref="G44">_xlfn.BYROW(B44,_xlfn.LAMBDA(_xlpm.party,(SUMIFS(ledger!G:G,ledger!B:B,_xlpm.party,ledger!E:E,"&lt;&gt;*RD*",ledger!D:D, "Chamki")+SUMIFS(ledger!G:G, ledger!B:B, _xlpm.party, ledger!E:E, "&lt;&gt;*RD*", ledger!D:D, "Crinkle"))/1.0936))*L44</f>
        <v>4142675.5669348943</v>
      </c>
      <c r="H44" s="23" cm="1">
        <f t="array" ref="H44">_xlfn.BYROW(B44,_xlfn.LAMBDA(_xlpm.party,SUMIFS(ledger!G:G,ledger!B:B,_xlpm.party,ledger!E:E,"&lt;&gt;*RD*",ledger!D:D, "Silky")/1.0936))* 12</f>
        <v>0</v>
      </c>
      <c r="I44" s="46">
        <f t="shared" ref="I44" si="5">G44+H44</f>
        <v>4142675.5669348943</v>
      </c>
      <c r="J44" s="23">
        <f>SUMIF(Table14[Party], B44, Table14[Credit])</f>
        <v>3828838</v>
      </c>
      <c r="K44" s="42">
        <f>I44-J44</f>
        <v>313837.5669348943</v>
      </c>
      <c r="L44" s="22">
        <v>10</v>
      </c>
      <c r="M44" s="22">
        <v>12</v>
      </c>
    </row>
    <row r="45" spans="2:13" x14ac:dyDescent="0.2">
      <c r="B45" s="25" t="s">
        <v>15</v>
      </c>
      <c r="C45" s="23" cm="1">
        <f t="array" ref="C45">_xlfn.BYROW(B45,_xlfn.LAMBDA(_xlpm.party,SUMIFS(ledger!G:G,ledger!B:B,_xlpm.party,ledger!E:E,"&lt;&gt;*RD*")))</f>
        <v>66967</v>
      </c>
      <c r="D45" s="23" cm="1">
        <f t="array" ref="D45">_xlfn.BYROW(B45, _xlfn.LAMBDA(_xlpm.party, SUMIFS(ledger!G:G, ledger!B:B, _xlpm.party, ledger!E:E, "&lt;&gt;*RD*") / 1.0936 ))</f>
        <v>61235.369422092175</v>
      </c>
      <c r="E45" s="74" cm="1">
        <f t="array" ref="E45">_xlfn.BYROW(B45,_xlfn.LAMBDA(_xlpm.party,SUMIFS(ledger!G:G,ledger!B:B,_xlpm.party,ledger!E:E,"&lt;&gt;*RD*",ledger!D:D,"Chamki")+SUMIFS(ledger!G:G, ledger!B:B, _xlpm.party, ledger!E:E, "&lt;&gt;*RD*", ledger!D:D, "Crinkle")))/1.0936</f>
        <v>61235.369422092175</v>
      </c>
      <c r="F45" s="81" cm="1">
        <f t="array" ref="F45">_xlfn.BYROW(B45,_xlfn.LAMBDA(_xlpm.party,SUMIFS(ledger!G:G,ledger!B:B,_xlpm.party,ledger!E:E,"&lt;&gt;*RD*",ledger!D:D,"Silky")))/1.0936</f>
        <v>0</v>
      </c>
      <c r="G45" s="23" cm="1">
        <f t="array" ref="G45">_xlfn.BYROW(B45,_xlfn.LAMBDA(_xlpm.party,(SUMIFS(ledger!G:G,ledger!B:B,_xlpm.party,ledger!E:E,"&lt;&gt;*RD*",ledger!D:D, "Chamki")+SUMIFS(ledger!G:G, ledger!B:B, _xlpm.party, ledger!E:E, "&lt;&gt;*RD*", ledger!D:D, "Crinkle"))/1.0936))*L45</f>
        <v>612353.69422092172</v>
      </c>
      <c r="H45" s="23" cm="1">
        <f t="array" ref="H45">_xlfn.BYROW(B45,_xlfn.LAMBDA(_xlpm.party,SUMIFS(ledger!G:G,ledger!B:B,_xlpm.party,ledger!E:E,"&lt;&gt;*RD*",ledger!D:D, "Silky")/1.0936))* 12</f>
        <v>0</v>
      </c>
      <c r="I45" s="46">
        <f>G45+H45</f>
        <v>612353.69422092172</v>
      </c>
      <c r="J45" s="23">
        <f>SUMIF(Table14[Party], B45, Table14[Credit])</f>
        <v>200000</v>
      </c>
      <c r="K45" s="42">
        <f>I45-J45</f>
        <v>412353.69422092172</v>
      </c>
      <c r="L45" s="22">
        <v>10</v>
      </c>
      <c r="M45" s="22">
        <v>12</v>
      </c>
    </row>
    <row r="46" spans="2:13" x14ac:dyDescent="0.2">
      <c r="B46" s="25" t="s">
        <v>12</v>
      </c>
      <c r="C46" s="23" cm="1">
        <f t="array" ref="C46">_xlfn.BYROW(B46,_xlfn.LAMBDA(_xlpm.party,SUMIFS(ledger!G:G,ledger!B:B,_xlpm.party,ledger!E:E,"&lt;&gt;*RD*")))</f>
        <v>83680</v>
      </c>
      <c r="D46" s="23" cm="1">
        <f t="array" ref="D46">_xlfn.BYROW(B46, _xlfn.LAMBDA(_xlpm.party, SUMIFS(ledger!G:G, ledger!B:B, _xlpm.party, ledger!E:E, "&lt;&gt;*RD*") / 1.0936 ))</f>
        <v>76517.922457937093</v>
      </c>
      <c r="E46" s="74" cm="1">
        <f t="array" ref="E46">_xlfn.BYROW(B46,_xlfn.LAMBDA(_xlpm.party,SUMIFS(ledger!G:G,ledger!B:B,_xlpm.party,ledger!E:E,"&lt;&gt;*RD*",ledger!D:D,"Chamki")+SUMIFS(ledger!G:G, ledger!B:B, _xlpm.party, ledger!E:E, "&lt;&gt;*RD*", ledger!D:D, "Crinkle")))/1.0936</f>
        <v>76517.922457937093</v>
      </c>
      <c r="F46" s="81" cm="1">
        <f t="array" ref="F46">_xlfn.BYROW(B46,_xlfn.LAMBDA(_xlpm.party,SUMIFS(ledger!G:G,ledger!B:B,_xlpm.party,ledger!E:E,"&lt;&gt;*RD*",ledger!D:D,"Silky")))/1.0936</f>
        <v>0</v>
      </c>
      <c r="G46" s="23" cm="1">
        <f t="array" ref="G46">_xlfn.BYROW(B46,_xlfn.LAMBDA(_xlpm.party,(SUMIFS(ledger!G:G,ledger!B:B,_xlpm.party,ledger!E:E,"&lt;&gt;*RD*",ledger!D:D, "Chamki")+SUMIFS(ledger!G:G, ledger!B:B, _xlpm.party, ledger!E:E, "&lt;&gt;*RD*", ledger!D:D, "Crinkle"))/1.0936))*L46</f>
        <v>765179.22457937093</v>
      </c>
      <c r="H46" s="23" cm="1">
        <f t="array" ref="H46">_xlfn.BYROW(B46,_xlfn.LAMBDA(_xlpm.party,SUMIFS(ledger!G:G,ledger!B:B,_xlpm.party,ledger!E:E,"&lt;&gt;*RD*",ledger!D:D, "Silky")/1.0936))* 12</f>
        <v>0</v>
      </c>
      <c r="I46" s="46">
        <f>G46+H46</f>
        <v>765179.22457937093</v>
      </c>
      <c r="J46" s="23">
        <f>SUMIF(Table14[Party], B46, Table14[Credit])</f>
        <v>100000</v>
      </c>
      <c r="K46" s="42">
        <f>I46-J46</f>
        <v>665179.22457937093</v>
      </c>
      <c r="L46" s="22">
        <v>10</v>
      </c>
      <c r="M46" s="22">
        <v>12</v>
      </c>
    </row>
    <row r="47" spans="2:13" x14ac:dyDescent="0.2">
      <c r="B47" s="25" t="s">
        <v>16</v>
      </c>
      <c r="C47" s="23" cm="1">
        <f t="array" ref="C47">_xlfn.BYROW(B47,_xlfn.LAMBDA(_xlpm.party,SUMIFS(ledger!G:G,ledger!B:B,_xlpm.party,ledger!E:E,"&lt;&gt;*RD*")))</f>
        <v>90939</v>
      </c>
      <c r="D47" s="23" cm="1">
        <f t="array" ref="D47">_xlfn.BYROW(B47, _xlfn.LAMBDA(_xlpm.party, SUMIFS(ledger!G:G, ledger!B:B, _xlpm.party, ledger!E:E, "&lt;&gt;*RD*") / 1.0936 ))</f>
        <v>83155.632772494515</v>
      </c>
      <c r="E47" s="74" cm="1">
        <f t="array" ref="E47">_xlfn.BYROW(B47,_xlfn.LAMBDA(_xlpm.party,SUMIFS(ledger!G:G,ledger!B:B,_xlpm.party,ledger!E:E,"&lt;&gt;*RD*",ledger!D:D,"Chamki")+SUMIFS(ledger!G:G, ledger!B:B, _xlpm.party, ledger!E:E, "&lt;&gt;*RD*", ledger!D:D, "Crinkle")))/1.0936</f>
        <v>83155.632772494515</v>
      </c>
      <c r="F47" s="81" cm="1">
        <f t="array" ref="F47">_xlfn.BYROW(B47,_xlfn.LAMBDA(_xlpm.party,SUMIFS(ledger!G:G,ledger!B:B,_xlpm.party,ledger!E:E,"&lt;&gt;*RD*",ledger!D:D,"Silky")))/1.0936</f>
        <v>0</v>
      </c>
      <c r="G47" s="23" cm="1">
        <f t="array" ref="G47">_xlfn.BYROW(B47,_xlfn.LAMBDA(_xlpm.party,(SUMIFS(ledger!G:G,ledger!B:B,_xlpm.party,ledger!E:E,"&lt;&gt;*RD*",ledger!D:D, "Chamki")+SUMIFS(ledger!G:G, ledger!B:B, _xlpm.party, ledger!E:E, "&lt;&gt;*RD*", ledger!D:D, "Crinkle"))/1.0936))*L47</f>
        <v>873134.14411119244</v>
      </c>
      <c r="H47" s="23" cm="1">
        <f t="array" ref="H47">_xlfn.BYROW(B47,_xlfn.LAMBDA(_xlpm.party,SUMIFS(ledger!G:G,ledger!B:B,_xlpm.party,ledger!E:E,"&lt;&gt;*RD*",ledger!D:D, "Silky")/1.0936))* 12</f>
        <v>0</v>
      </c>
      <c r="I47" s="46">
        <f>(G47+(D47*0.5))+H47</f>
        <v>914711.96049743972</v>
      </c>
      <c r="J47" s="23">
        <f>SUMIF(Table14[Party], B47, Table14[Credit])</f>
        <v>350000</v>
      </c>
      <c r="K47" s="42">
        <f t="shared" ref="K47:K52" si="6">I47-J47</f>
        <v>564711.96049743972</v>
      </c>
      <c r="L47" s="22">
        <v>10.5</v>
      </c>
      <c r="M47" s="22">
        <v>13</v>
      </c>
    </row>
    <row r="48" spans="2:13" x14ac:dyDescent="0.2">
      <c r="B48" s="25" t="s">
        <v>17</v>
      </c>
      <c r="C48" s="23" cm="1">
        <f t="array" ref="C48">_xlfn.BYROW(B48,_xlfn.LAMBDA(_xlpm.party,SUMIFS(ledger!G:G,ledger!B:B,_xlpm.party,ledger!E:E,"&lt;&gt;*RD*")))</f>
        <v>152535</v>
      </c>
      <c r="D48" s="23" cm="1">
        <f t="array" ref="D48">_xlfn.BYROW(B48, _xlfn.LAMBDA(_xlpm.party, SUMIFS(ledger!G:G, ledger!B:B, _xlpm.party, ledger!E:E, "&lt;&gt;*RD*") / 1.0936 ))</f>
        <v>139479.7000731529</v>
      </c>
      <c r="E48" s="74" cm="1">
        <f t="array" ref="E48">_xlfn.BYROW(B48,_xlfn.LAMBDA(_xlpm.party,SUMIFS(ledger!G:G,ledger!B:B,_xlpm.party,ledger!E:E,"&lt;&gt;*RD*",ledger!D:D,"Chamki")+SUMIFS(ledger!G:G, ledger!B:B, _xlpm.party, ledger!E:E, "&lt;&gt;*RD*", ledger!D:D, "Crinkle")))/1.0936</f>
        <v>119396.48866130214</v>
      </c>
      <c r="F48" s="81" cm="1">
        <f t="array" ref="F48">_xlfn.BYROW(B48,_xlfn.LAMBDA(_xlpm.party,SUMIFS(ledger!G:G,ledger!B:B,_xlpm.party,ledger!E:E,"&lt;&gt;*RD*",ledger!D:D,"Silky")))/1.0936</f>
        <v>20083.211411850771</v>
      </c>
      <c r="G48" s="23" cm="1">
        <f t="array" ref="G48">_xlfn.BYROW(B48,_xlfn.LAMBDA(_xlpm.party,(SUMIFS(ledger!G:G,ledger!B:B,_xlpm.party,ledger!E:E,"&lt;&gt;*RD*",ledger!D:D, "Chamki")+SUMIFS(ledger!G:G, ledger!B:B, _xlpm.party, ledger!E:E, "&lt;&gt;*RD*", ledger!D:D, "Crinkle"))/1.0936))*L48</f>
        <v>1193964.8866130214</v>
      </c>
      <c r="H48" s="23" cm="1">
        <f t="array" ref="H48">_xlfn.BYROW(B48,_xlfn.LAMBDA(_xlpm.party,SUMIFS(ledger!G:G,ledger!B:B,_xlpm.party,ledger!E:E,"&lt;&gt;*RD*",ledger!D:D, "Silky")/1.0936))* 12</f>
        <v>240998.53694220923</v>
      </c>
      <c r="I48" s="46">
        <f>(G48-E48)+H48</f>
        <v>1315566.9348939285</v>
      </c>
      <c r="J48" s="23">
        <f>SUMIF(Table14[Party], B48, Table14[Credit])</f>
        <v>300000</v>
      </c>
      <c r="K48" s="42">
        <f t="shared" si="6"/>
        <v>1015566.9348939285</v>
      </c>
      <c r="L48" s="22">
        <v>10</v>
      </c>
      <c r="M48" s="22">
        <v>12</v>
      </c>
    </row>
    <row r="49" spans="2:13" x14ac:dyDescent="0.2">
      <c r="B49" s="25" t="s">
        <v>201</v>
      </c>
      <c r="C49" s="23" cm="1">
        <f t="array" ref="C49">_xlfn.BYROW(B49,_xlfn.LAMBDA(_xlpm.party,SUMIFS(ledger!G:G,ledger!B:B,_xlpm.party,ledger!E:E,"&lt;&gt;*RD*")))</f>
        <v>171062</v>
      </c>
      <c r="D49" s="23" cm="1">
        <f t="array" ref="D49">_xlfn.BYROW(B49, _xlfn.LAMBDA(_xlpm.party, SUMIFS(ledger!G:G, ledger!B:B, _xlpm.party, ledger!E:E, "&lt;&gt;*RD*") / 1.0936 ))</f>
        <v>156420.99487929774</v>
      </c>
      <c r="E49" s="101" cm="1">
        <f t="array" ref="E49">_xlfn.BYROW(B49,_xlfn.LAMBDA(_xlpm.party,SUMIFS(ledger!G:G,ledger!B:B,_xlpm.party,ledger!E:E,"&lt;&gt;*RD*",ledger!D:D,"Chamki")+SUMIFS(ledger!G:G, ledger!B:B, _xlpm.party, ledger!E:E, "&lt;&gt;*RD*", ledger!D:D, "Crinkle")))/1.0936</f>
        <v>156420.99487929774</v>
      </c>
      <c r="F49" s="102" cm="1">
        <f t="array" ref="F49">_xlfn.BYROW(B49,_xlfn.LAMBDA(_xlpm.party,SUMIFS(ledger!G:G,ledger!B:B,_xlpm.party,ledger!E:E,"&lt;&gt;*RD*",ledger!D:D,"Silky")))/1.0936</f>
        <v>0</v>
      </c>
      <c r="G49" s="23" cm="1">
        <f t="array" ref="G49">_xlfn.BYROW(B49,_xlfn.LAMBDA(_xlpm.party,(SUMIFS(ledger!G:G,ledger!B:B,_xlpm.party,ledger!E:E,"&lt;&gt;*RD*",ledger!D:D, "Chamki")+SUMIFS(ledger!G:G, ledger!B:B, _xlpm.party, ledger!E:E, "&lt;&gt;*RD*", ledger!D:D, "Crinkle"))/1.0936))*L49</f>
        <v>1564209.9487929773</v>
      </c>
      <c r="H49" s="23" cm="1">
        <f t="array" ref="H49">_xlfn.BYROW(B49,_xlfn.LAMBDA(_xlpm.party,SUMIFS(ledger!G:G,ledger!B:B,_xlpm.party,ledger!E:E,"&lt;&gt;*RD*",ledger!D:D, "Silky")/1.0936))* 12</f>
        <v>0</v>
      </c>
      <c r="I49" s="46">
        <f t="shared" ref="I49:I52" si="7">G49+H49</f>
        <v>1564209.9487929773</v>
      </c>
      <c r="J49" s="23">
        <f>SUMIF(Table14[Party], B49, Table14[Credit])</f>
        <v>300000</v>
      </c>
      <c r="K49" s="42">
        <f t="shared" si="6"/>
        <v>1264209.9487929773</v>
      </c>
      <c r="L49" s="22">
        <v>10</v>
      </c>
      <c r="M49" s="22">
        <v>12</v>
      </c>
    </row>
    <row r="50" spans="2:13" x14ac:dyDescent="0.2">
      <c r="B50" s="25" t="s">
        <v>202</v>
      </c>
      <c r="C50" s="23" cm="1">
        <f t="array" ref="C50">_xlfn.BYROW(B50,_xlfn.LAMBDA(_xlpm.party,SUMIFS(ledger!G:G,ledger!B:B,_xlpm.party,ledger!E:E,"&lt;&gt;*RD*")))</f>
        <v>23897</v>
      </c>
      <c r="D50" s="23" cm="1">
        <f t="array" ref="D50">_xlfn.BYROW(B50, _xlfn.LAMBDA(_xlpm.party, SUMIFS(ledger!G:G, ledger!B:B, _xlpm.party, ledger!E:E, "&lt;&gt;*RD*") / 1.0936 ))</f>
        <v>21851.682516459401</v>
      </c>
      <c r="E50" s="101" cm="1">
        <f t="array" ref="E50">_xlfn.BYROW(B50,_xlfn.LAMBDA(_xlpm.party,SUMIFS(ledger!G:G,ledger!B:B,_xlpm.party,ledger!E:E,"&lt;&gt;*RD*",ledger!D:D,"Chamki")+SUMIFS(ledger!G:G, ledger!B:B, _xlpm.party, ledger!E:E, "&lt;&gt;*RD*", ledger!D:D, "Crinkle")))/1.0936</f>
        <v>21851.682516459401</v>
      </c>
      <c r="F50" s="102" cm="1">
        <f t="array" ref="F50">_xlfn.BYROW(B50,_xlfn.LAMBDA(_xlpm.party,SUMIFS(ledger!G:G,ledger!B:B,_xlpm.party,ledger!E:E,"&lt;&gt;*RD*",ledger!D:D,"Silky")))/1.0936</f>
        <v>0</v>
      </c>
      <c r="G50" s="23" cm="1">
        <f t="array" ref="G50">_xlfn.BYROW(B50,_xlfn.LAMBDA(_xlpm.party,(SUMIFS(ledger!G:G,ledger!B:B,_xlpm.party,ledger!E:E,"&lt;&gt;*RD*",ledger!D:D, "Chamki")+SUMIFS(ledger!G:G, ledger!B:B, _xlpm.party, ledger!E:E, "&lt;&gt;*RD*", ledger!D:D, "Crinkle"))/1.0936))*L50</f>
        <v>218516.82516459402</v>
      </c>
      <c r="H50" s="23" cm="1">
        <f t="array" ref="H50">_xlfn.BYROW(B50,_xlfn.LAMBDA(_xlpm.party,SUMIFS(ledger!G:G,ledger!B:B,_xlpm.party,ledger!E:E,"&lt;&gt;*RD*",ledger!D:D, "Silky")/1.0936))* 12</f>
        <v>0</v>
      </c>
      <c r="I50" s="46">
        <f t="shared" si="7"/>
        <v>218516.82516459402</v>
      </c>
      <c r="J50" s="23">
        <f>SUMIF(Table14[Party], B50, Table14[Credit])</f>
        <v>0</v>
      </c>
      <c r="K50" s="42">
        <f t="shared" si="6"/>
        <v>218516.82516459402</v>
      </c>
      <c r="L50" s="22">
        <v>10</v>
      </c>
      <c r="M50" s="22">
        <v>12</v>
      </c>
    </row>
    <row r="51" spans="2:13" x14ac:dyDescent="0.2">
      <c r="B51" s="25" t="s">
        <v>219</v>
      </c>
      <c r="C51" s="23" cm="1">
        <f t="array" ref="C51">_xlfn.BYROW(B51,_xlfn.LAMBDA(_xlpm.party,SUMIFS(ledger!G:G,ledger!B:B,_xlpm.party,ledger!E:E,"&lt;&gt;*RD*")))</f>
        <v>21807</v>
      </c>
      <c r="D51" s="23" cm="1">
        <f t="array" ref="D51">_xlfn.BYROW(B51, _xlfn.LAMBDA(_xlpm.party, SUMIFS(ledger!G:G, ledger!B:B, _xlpm.party, ledger!E:E, "&lt;&gt;*RD*") / 1.0936 ))</f>
        <v>19940.563277249454</v>
      </c>
      <c r="E51" s="101" cm="1">
        <f t="array" ref="E51">_xlfn.BYROW(B51,_xlfn.LAMBDA(_xlpm.party,SUMIFS(ledger!G:G,ledger!B:B,_xlpm.party,ledger!E:E,"&lt;&gt;*RD*",ledger!D:D,"Chamki")+SUMIFS(ledger!G:G, ledger!B:B, _xlpm.party, ledger!E:E, "&lt;&gt;*RD*", ledger!D:D, "Crinkle")))/1.0936</f>
        <v>19940.563277249454</v>
      </c>
      <c r="F51" s="102" cm="1">
        <f t="array" ref="F51">_xlfn.BYROW(B51,_xlfn.LAMBDA(_xlpm.party,SUMIFS(ledger!G:G,ledger!B:B,_xlpm.party,ledger!E:E,"&lt;&gt;*RD*",ledger!D:D,"Silky")))/1.0936</f>
        <v>0</v>
      </c>
      <c r="G51" s="23" cm="1">
        <f t="array" ref="G51">_xlfn.BYROW(B51,_xlfn.LAMBDA(_xlpm.party,(SUMIFS(ledger!G:G,ledger!B:B,_xlpm.party,ledger!E:E,"&lt;&gt;*RD*",ledger!D:D, "Chamki")+SUMIFS(ledger!G:G, ledger!B:B, _xlpm.party, ledger!E:E, "&lt;&gt;*RD*", ledger!D:D, "Crinkle"))/1.0936))*L51</f>
        <v>199405.63277249454</v>
      </c>
      <c r="H51" s="23" cm="1">
        <f t="array" ref="H51">_xlfn.BYROW(B51,_xlfn.LAMBDA(_xlpm.party,SUMIFS(ledger!G:G,ledger!B:B,_xlpm.party,ledger!E:E,"&lt;&gt;*RD*",ledger!D:D, "Silky")/1.0936))* 12</f>
        <v>0</v>
      </c>
      <c r="I51" s="46">
        <f t="shared" si="7"/>
        <v>199405.63277249454</v>
      </c>
      <c r="J51" s="23">
        <f>SUMIF(Table14[Party], B51, Table14[Credit])</f>
        <v>100000</v>
      </c>
      <c r="K51" s="42">
        <f t="shared" si="6"/>
        <v>99405.632772494544</v>
      </c>
      <c r="L51" s="22">
        <v>10</v>
      </c>
      <c r="M51" s="22">
        <v>12</v>
      </c>
    </row>
    <row r="52" spans="2:13" x14ac:dyDescent="0.2">
      <c r="B52" s="25"/>
      <c r="C52" s="23" cm="1">
        <f t="array" ref="C52">_xlfn.BYROW(B52,_xlfn.LAMBDA(_xlpm.party,SUMIFS(ledger!G:G,ledger!B:B,_xlpm.party,ledger!E:E,"&lt;&gt;*RD*")))</f>
        <v>0</v>
      </c>
      <c r="D52" s="23" cm="1">
        <f t="array" ref="D52">_xlfn.BYROW(B52, _xlfn.LAMBDA(_xlpm.party, SUMIFS(ledger!G:G, ledger!B:B, _xlpm.party, ledger!E:E, "&lt;&gt;*RD*") / 1.0936 ))</f>
        <v>0</v>
      </c>
      <c r="E52" s="101" cm="1">
        <f t="array" ref="E52">_xlfn.BYROW(B52,_xlfn.LAMBDA(_xlpm.party,SUMIFS(ledger!G:G,ledger!B:B,_xlpm.party,ledger!E:E,"&lt;&gt;*RD*",ledger!D:D,"Chamki")+SUMIFS(ledger!G:G, ledger!B:B, _xlpm.party, ledger!E:E, "&lt;&gt;*RD*", ledger!D:D, "Crinkle")))/1.0936</f>
        <v>0</v>
      </c>
      <c r="F52" s="102" cm="1">
        <f t="array" ref="F52">_xlfn.BYROW(B52,_xlfn.LAMBDA(_xlpm.party,SUMIFS(ledger!G:G,ledger!B:B,_xlpm.party,ledger!E:E,"&lt;&gt;*RD*",ledger!D:D,"Silky")))/1.0936</f>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12</f>
        <v>0</v>
      </c>
      <c r="I52" s="46">
        <f t="shared" si="7"/>
        <v>0</v>
      </c>
      <c r="J52" s="23">
        <f>SUMIF(Table14[Party], B52, Table14[Credit])</f>
        <v>0</v>
      </c>
      <c r="K52" s="42">
        <f t="shared" si="6"/>
        <v>0</v>
      </c>
      <c r="L52" s="22">
        <v>10</v>
      </c>
      <c r="M52" s="22">
        <v>12</v>
      </c>
    </row>
    <row r="53" spans="2:13" x14ac:dyDescent="0.2">
      <c r="C53" s="14" cm="1">
        <f t="array" ref="C53">_xlfn.BYROW(B53,_xlfn.LAMBDA(_xlpm.party,SUMIFS(ledger!G:G,ledger!B:B,_xlpm.party,ledger!E:E,"&lt;&gt;*RD*")))</f>
        <v>0</v>
      </c>
      <c r="D53" s="14" cm="1">
        <f t="array" ref="D53">_xlfn.BYROW(B53, _xlfn.LAMBDA(_xlpm.party, SUMIFS(ledger!G:G, ledger!B:B, _xlpm.party, ledger!E:E, "&lt;&gt;*RD*") / 1.0936 ))</f>
        <v>0</v>
      </c>
      <c r="E53" s="52" cm="1">
        <f t="array" ref="E53">_xlfn.BYROW(B53,_xlfn.LAMBDA(_xlpm.party,SUMIFS(ledger!G:G,ledger!B:B,_xlpm.party,ledger!E:E,"&lt;&gt;*RD*",ledger!D:D,"Chamki")+SUMIFS(ledger!G:G, ledger!B:B, _xlpm.party, ledger!E:E, "&lt;&gt;*RD*", ledger!D:D, "Crinkle")))/1.0936</f>
        <v>0</v>
      </c>
      <c r="F53" s="33" cm="1">
        <f t="array" ref="F53">_xlfn.BYROW(B53,_xlfn.LAMBDA(_xlpm.party,SUMIFS(ledger!G:G,ledger!B:B,_xlpm.party,ledger!E:E,"&lt;&gt;*RD*",ledger!D:D,"Silky")))/1.0936</f>
        <v>0</v>
      </c>
      <c r="G53" s="14" cm="1">
        <f t="array" ref="G53">_xlfn.BYROW(B53,_xlfn.LAMBDA(_xlpm.party,(SUMIFS(ledger!G:G,ledger!B:B,_xlpm.party,ledger!E:E,"&lt;&gt;*RD*",ledger!D:D, "Chamki")+SUMIFS(ledger!G:G, ledger!B:B, _xlpm.party, ledger!E:E, "&lt;&gt;*RD*", ledger!D:D, "Crinkle"))/1.0936))*L53</f>
        <v>0</v>
      </c>
      <c r="H53" s="14" cm="1">
        <f t="array" ref="H53">_xlfn.BYROW(B53,_xlfn.LAMBDA(_xlpm.party,SUMIFS(ledger!G:G,ledger!B:B,_xlpm.party,ledger!E:E,"&lt;&gt;*RD*",ledger!D:D, "Silky")/1.0936))* 12</f>
        <v>0</v>
      </c>
    </row>
    <row r="54" spans="2:13" x14ac:dyDescent="0.2">
      <c r="C54" s="14" cm="1">
        <f t="array" ref="C54">_xlfn.BYROW(B54,_xlfn.LAMBDA(_xlpm.party,SUMIFS(ledger!G:G,ledger!B:B,_xlpm.party,ledger!E:E,"&lt;&gt;*RD*")))</f>
        <v>0</v>
      </c>
      <c r="D54" s="14" cm="1">
        <f t="array" ref="D54">_xlfn.BYROW(B54, _xlfn.LAMBDA(_xlpm.party, SUMIFS(ledger!G:G, ledger!B:B, _xlpm.party, ledger!E:E, "&lt;&gt;*RD*") / 1.0936 ))</f>
        <v>0</v>
      </c>
      <c r="E54" s="52" cm="1">
        <f t="array" ref="E54">_xlfn.BYROW(B54,_xlfn.LAMBDA(_xlpm.party,SUMIFS(ledger!G:G,ledger!B:B,_xlpm.party,ledger!E:E,"&lt;&gt;*RD*",ledger!D:D,"Chamki")+SUMIFS(ledger!G:G, ledger!B:B, _xlpm.party, ledger!E:E, "&lt;&gt;*RD*", ledger!D:D, "Crinkle")))/1.0936</f>
        <v>0</v>
      </c>
      <c r="F54" s="33" cm="1">
        <f t="array" ref="F54">_xlfn.BYROW(B54,_xlfn.LAMBDA(_xlpm.party,SUMIFS(ledger!G:G,ledger!B:B,_xlpm.party,ledger!E:E,"&lt;&gt;*RD*",ledger!D:D,"Silky")))/1.0936</f>
        <v>0</v>
      </c>
      <c r="G54" s="14" cm="1">
        <f t="array" ref="G54">_xlfn.BYROW(B54,_xlfn.LAMBDA(_xlpm.party,(SUMIFS(ledger!G:G,ledger!B:B,_xlpm.party,ledger!E:E,"&lt;&gt;*RD*",ledger!D:D, "Chamki")+SUMIFS(ledger!G:G, ledger!B:B, _xlpm.party, ledger!E:E, "&lt;&gt;*RD*", ledger!D:D, "Crinkle"))/1.0936))*L54</f>
        <v>0</v>
      </c>
      <c r="H54" s="14" cm="1">
        <f t="array" ref="H54">_xlfn.BYROW(B54,_xlfn.LAMBDA(_xlpm.party,SUMIFS(ledger!G:G,ledger!B:B,_xlpm.party,ledger!E:E,"&lt;&gt;*RD*",ledger!D:D, "Silky")/1.0936))* 12</f>
        <v>0</v>
      </c>
    </row>
  </sheetData>
  <phoneticPr fontId="4" type="noConversion"/>
  <pageMargins left="0.7" right="0.7" top="0.75" bottom="0.75" header="0.3" footer="0.3"/>
  <pageSetup paperSize="121" orientation="landscape"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D25C-143F-4D38-ADE3-C97B444D5BE1}">
  <dimension ref="A1:B11"/>
  <sheetViews>
    <sheetView workbookViewId="0">
      <selection activeCell="B2" sqref="B2"/>
    </sheetView>
  </sheetViews>
  <sheetFormatPr defaultRowHeight="15" x14ac:dyDescent="0.2"/>
  <cols>
    <col min="1" max="1" width="12.5078125" customWidth="1"/>
    <col min="2" max="2" width="13.44921875" customWidth="1"/>
  </cols>
  <sheetData>
    <row r="1" spans="1:2" x14ac:dyDescent="0.2">
      <c r="A1" t="s">
        <v>1</v>
      </c>
      <c r="B1" t="s">
        <v>10</v>
      </c>
    </row>
    <row r="2" spans="1:2" x14ac:dyDescent="0.2">
      <c r="A2" t="str">
        <f>Billing!B21</f>
        <v>BSC</v>
      </c>
      <c r="B2">
        <f>Billing!J21</f>
        <v>3828838</v>
      </c>
    </row>
    <row r="3" spans="1:2" x14ac:dyDescent="0.2">
      <c r="A3" t="str">
        <f>Billing!B22</f>
        <v>Ejaz Sahab</v>
      </c>
      <c r="B3">
        <f>Billing!J22</f>
        <v>200000</v>
      </c>
    </row>
    <row r="4" spans="1:2" x14ac:dyDescent="0.2">
      <c r="A4" t="str">
        <f>Billing!B23</f>
        <v>Arshad</v>
      </c>
      <c r="B4">
        <f>Billing!J23</f>
        <v>100000</v>
      </c>
    </row>
    <row r="5" spans="1:2" x14ac:dyDescent="0.2">
      <c r="A5" t="str">
        <f>Billing!B24</f>
        <v>Shehzad Kamoki</v>
      </c>
      <c r="B5">
        <f>Billing!J24</f>
        <v>350000</v>
      </c>
    </row>
    <row r="6" spans="1:2" x14ac:dyDescent="0.2">
      <c r="A6" t="str">
        <f>Billing!B25</f>
        <v>Sufi Nawaz Sahab</v>
      </c>
      <c r="B6">
        <f>Billing!J25</f>
        <v>300000</v>
      </c>
    </row>
    <row r="7" spans="1:2" x14ac:dyDescent="0.2">
      <c r="A7" t="str">
        <f>Billing!B26</f>
        <v>Sajad Khan</v>
      </c>
      <c r="B7">
        <f>Billing!J26</f>
        <v>300000</v>
      </c>
    </row>
    <row r="8" spans="1:2" x14ac:dyDescent="0.2">
      <c r="A8" t="str">
        <f>Billing!B27</f>
        <v>Raaz Fabrics</v>
      </c>
      <c r="B8">
        <f>Billing!J27</f>
        <v>0</v>
      </c>
    </row>
    <row r="9" spans="1:2" x14ac:dyDescent="0.2">
      <c r="A9" t="str">
        <f>Billing!B28</f>
        <v>Hafiz Qureshi</v>
      </c>
      <c r="B9">
        <f>Billing!J28</f>
        <v>100000</v>
      </c>
    </row>
    <row r="10" spans="1:2" x14ac:dyDescent="0.2">
      <c r="A10">
        <f>Billing!B29</f>
        <v>0</v>
      </c>
      <c r="B10">
        <f>Billing!J29</f>
        <v>0</v>
      </c>
    </row>
    <row r="11" spans="1:2" x14ac:dyDescent="0.2">
      <c r="A11">
        <f>Billing!B30</f>
        <v>0</v>
      </c>
      <c r="B11">
        <f>Billing!J30</f>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B1" workbookViewId="0">
      <selection activeCell="D33" sqref="D33"/>
    </sheetView>
  </sheetViews>
  <sheetFormatPr defaultRowHeight="15" x14ac:dyDescent="0.2"/>
  <cols>
    <col min="2" max="2" width="23.13671875" customWidth="1"/>
    <col min="3" max="3" width="14.66015625" customWidth="1"/>
    <col min="4" max="4" width="16.6796875" bestFit="1" customWidth="1"/>
    <col min="9" max="9" width="11.703125" customWidth="1"/>
    <col min="10" max="10" width="12.9140625" customWidth="1"/>
  </cols>
  <sheetData>
    <row r="4" spans="2:10" ht="16.5" x14ac:dyDescent="0.25">
      <c r="C4" s="73"/>
      <c r="D4" s="73"/>
      <c r="I4" t="s">
        <v>185</v>
      </c>
      <c r="J4" t="str" cm="1">
        <f t="array" ref="J4:J12">_xlfn.UNIQUE(Table1[Party Name])</f>
        <v>BSC</v>
      </c>
    </row>
    <row r="5" spans="2:10" x14ac:dyDescent="0.2">
      <c r="J5" t="str">
        <v>Ejaz Sahab</v>
      </c>
    </row>
    <row r="6" spans="2:10" ht="21" x14ac:dyDescent="0.3">
      <c r="B6" s="75" t="s">
        <v>17</v>
      </c>
      <c r="J6" t="str">
        <v>Arshad</v>
      </c>
    </row>
    <row r="7" spans="2:10" ht="16.5" x14ac:dyDescent="0.25">
      <c r="B7" s="73" t="s">
        <v>25</v>
      </c>
      <c r="C7" s="73" t="s">
        <v>3</v>
      </c>
      <c r="D7" s="73" t="s">
        <v>184</v>
      </c>
      <c r="J7" t="str">
        <v>Shehzad Kamoki</v>
      </c>
    </row>
    <row r="8" spans="2:10" ht="18.75" x14ac:dyDescent="0.25">
      <c r="B8" s="65" t="s">
        <v>177</v>
      </c>
      <c r="C8" s="77"/>
      <c r="D8" s="79" cm="1">
        <f t="array" ref="D8">_xlfn.XLOOKUP($B$6,_xlfn.ANCHORARRAY( Billing!$B$21),_xlfn.ANCHORARRAY( Billing!$C$21), "Not Found")</f>
        <v>152535</v>
      </c>
      <c r="J8" t="str">
        <v>Sufi Nawaz Sahab</v>
      </c>
    </row>
    <row r="9" spans="2:10" ht="18.75" x14ac:dyDescent="0.25">
      <c r="B9" s="65"/>
      <c r="C9" s="77"/>
      <c r="D9" s="77"/>
      <c r="J9" t="str">
        <v>Sajad Khan</v>
      </c>
    </row>
    <row r="10" spans="2:10" ht="18.75" x14ac:dyDescent="0.25">
      <c r="B10" s="65" t="s">
        <v>175</v>
      </c>
      <c r="C10" s="77"/>
      <c r="D10" s="77" cm="1">
        <f t="array" ref="D10">_xlfn.XLOOKUP($B$6,_xlfn.ANCHORARRAY( Billing!$B$21),_xlfn.ANCHORARRAY( Billing!$D$21), "Not Found")</f>
        <v>139479.7000731529</v>
      </c>
      <c r="J10" t="str">
        <v>Raaz Fabrics</v>
      </c>
    </row>
    <row r="11" spans="2:10" ht="18.75" x14ac:dyDescent="0.25">
      <c r="B11" s="65"/>
      <c r="C11" s="77"/>
      <c r="D11" s="77"/>
      <c r="J11" t="str">
        <v>Hafiz Qureshi</v>
      </c>
    </row>
    <row r="12" spans="2:10" ht="18.75" x14ac:dyDescent="0.25">
      <c r="B12" s="65" t="s">
        <v>205</v>
      </c>
      <c r="C12" s="77" cm="1">
        <f t="array" aca="1" ref="C12" ca="1">_xlfn.XLOOKUP($B$6,_xlfn.ANCHORARRAY( Billing!$B$21), OFFSET(Billing!L21, 0, 0, ROWS(_xlfn.ANCHORARRAY(Billing!$B$21))), "Not Found")</f>
        <v>9</v>
      </c>
      <c r="D12" s="77" cm="1">
        <f t="array" ref="D12">_xlfn.XLOOKUP($B$6,_xlfn.ANCHORARRAY( Billing!$B$21),_xlfn.ANCHORARRAY( Billing!$E$21), "Not Found")</f>
        <v>119396.48866130214</v>
      </c>
      <c r="J12">
        <v>0</v>
      </c>
    </row>
    <row r="13" spans="2:10" ht="18.75" x14ac:dyDescent="0.25">
      <c r="B13" s="76"/>
      <c r="C13" s="78"/>
      <c r="D13" s="78"/>
    </row>
    <row r="14" spans="2:10" ht="18.75" x14ac:dyDescent="0.25">
      <c r="B14" s="65" t="s">
        <v>183</v>
      </c>
      <c r="C14" s="77" cm="1">
        <f t="array" aca="1" ref="C14" ca="1">_xlfn.XLOOKUP($B$6,_xlfn.ANCHORARRAY( Billing!$B$21), OFFSET(Billing!M21, 0, 0, ROWS(_xlfn.ANCHORARRAY(Billing!$B$21))), "Not Found")</f>
        <v>12</v>
      </c>
      <c r="D14" s="77" cm="1">
        <f t="array" ref="D14">_xlfn.XLOOKUP($B$6,_xlfn.ANCHORARRAY( Billing!$B$21),_xlfn.ANCHORARRAY( Billing!$F$21), "Not Found")</f>
        <v>20083.211411850771</v>
      </c>
    </row>
    <row r="15" spans="2:10" ht="18.75" x14ac:dyDescent="0.25">
      <c r="B15" s="76"/>
      <c r="C15" s="78"/>
      <c r="D15" s="78"/>
    </row>
    <row r="16" spans="2:10" ht="18.75" x14ac:dyDescent="0.25">
      <c r="B16" s="65" t="s">
        <v>176</v>
      </c>
      <c r="C16" s="77"/>
      <c r="D16" s="79" cm="1">
        <f t="array" aca="1" ref="D16" ca="1">_xlfn.XLOOKUP($B$6,_xlfn.ANCHORARRAY( Billing!$B$21), OFFSET(Billing!I21, 0, 0, ROWS(_xlfn.ANCHORARRAY(Billing!$B$21))), "Not Found")</f>
        <v>1196170.4462326264</v>
      </c>
    </row>
    <row r="17" spans="2:4" ht="18.75" x14ac:dyDescent="0.25">
      <c r="B17" s="76"/>
      <c r="C17" s="78"/>
      <c r="D17" s="80"/>
    </row>
    <row r="18" spans="2:4" ht="18.75" x14ac:dyDescent="0.25">
      <c r="B18" s="65" t="s">
        <v>178</v>
      </c>
      <c r="C18" s="77"/>
      <c r="D18" s="79" cm="1">
        <f t="array" aca="1" ref="D18" ca="1">_xlfn.XLOOKUP($B$6,_xlfn.ANCHORARRAY( Billing!$B$21), OFFSET(Billing!J21, 0, 0, ROWS(_xlfn.ANCHORARRAY(Billing!$B$21))), "Not Found")</f>
        <v>300000</v>
      </c>
    </row>
    <row r="19" spans="2:4" ht="18.75" x14ac:dyDescent="0.25">
      <c r="B19" s="65"/>
      <c r="C19" s="77"/>
      <c r="D19" s="79"/>
    </row>
    <row r="20" spans="2:4" ht="18.75" x14ac:dyDescent="0.25">
      <c r="B20" s="65" t="s">
        <v>147</v>
      </c>
      <c r="C20" s="77"/>
      <c r="D20" s="79" cm="1">
        <f t="array" aca="1" ref="D20" ca="1">_xlfn.XLOOKUP($B$6,_xlfn.ANCHORARRAY( Billing!$B$21), OFFSET(Billing!K21, 0, 0, ROWS(_xlfn.ANCHORARRAY(Billing!$B$21))), "Not Found")</f>
        <v>896170.44623262645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G12" sqref="G12"/>
    </sheetView>
  </sheetViews>
  <sheetFormatPr defaultRowHeight="15" x14ac:dyDescent="0.2"/>
  <cols>
    <col min="2" max="2" width="12.5078125" customWidth="1"/>
    <col min="3" max="3" width="14.52734375" customWidth="1"/>
    <col min="4" max="4" width="28.65234375" customWidth="1"/>
    <col min="5" max="5" width="23.26953125" customWidth="1"/>
    <col min="7" max="7" width="14.66015625" bestFit="1" customWidth="1"/>
    <col min="8" max="8" width="12.375" bestFit="1" customWidth="1"/>
    <col min="9" max="9" width="13.5859375" bestFit="1" customWidth="1"/>
    <col min="10" max="11" width="7.93359375" bestFit="1" customWidth="1"/>
    <col min="12" max="12" width="1.61328125" bestFit="1" customWidth="1"/>
    <col min="13" max="13" width="10.4921875" bestFit="1" customWidth="1"/>
    <col min="14" max="14" width="5.6484375" bestFit="1" customWidth="1"/>
    <col min="15" max="15" width="10.4921875" bestFit="1" customWidth="1"/>
    <col min="16" max="16" width="4.9765625" bestFit="1" customWidth="1"/>
    <col min="17" max="19" width="6.05078125" bestFit="1" customWidth="1"/>
    <col min="20" max="21" width="6.9921875" bestFit="1" customWidth="1"/>
    <col min="22" max="22" width="1.61328125" bestFit="1" customWidth="1"/>
    <col min="23" max="23" width="10.4921875" bestFit="1" customWidth="1"/>
  </cols>
  <sheetData>
    <row r="1" spans="1:4" ht="27" x14ac:dyDescent="0.4">
      <c r="A1" s="6"/>
      <c r="B1" s="7" t="s">
        <v>54</v>
      </c>
    </row>
    <row r="3" spans="1:4" x14ac:dyDescent="0.2">
      <c r="B3" t="s">
        <v>55</v>
      </c>
      <c r="C3" t="s">
        <v>56</v>
      </c>
      <c r="D3" t="s">
        <v>25</v>
      </c>
    </row>
    <row r="4" spans="1:4" x14ac:dyDescent="0.2">
      <c r="B4" t="s">
        <v>57</v>
      </c>
      <c r="C4" s="11">
        <f>Wood!K1-Wood!K29</f>
        <v>0</v>
      </c>
      <c r="D4" t="s">
        <v>255</v>
      </c>
    </row>
    <row r="5" spans="1:4" x14ac:dyDescent="0.2">
      <c r="B5" t="s">
        <v>58</v>
      </c>
      <c r="C5" s="11">
        <f>GETPIVOTDATA("Price",Dyes!$K$9)-114250</f>
        <v>853550</v>
      </c>
      <c r="D5" t="s">
        <v>253</v>
      </c>
    </row>
    <row r="6" spans="1:4" x14ac:dyDescent="0.2">
      <c r="B6" t="s">
        <v>59</v>
      </c>
      <c r="C6" s="11">
        <f>GETPIVOTDATA("Price",Finish!$J$4)-69950</f>
        <v>609200</v>
      </c>
      <c r="D6" t="s">
        <v>243</v>
      </c>
    </row>
    <row r="7" spans="1:4" x14ac:dyDescent="0.2">
      <c r="B7" t="s">
        <v>49</v>
      </c>
      <c r="C7" s="11">
        <f>SUMIFS(Table14[Debit], Table14[Party],Table12[[#This Row],[Type]])</f>
        <v>12000</v>
      </c>
    </row>
    <row r="8" spans="1:4" x14ac:dyDescent="0.2">
      <c r="B8" t="s">
        <v>60</v>
      </c>
      <c r="C8" s="11">
        <f>Electricity!E3</f>
        <v>827438</v>
      </c>
    </row>
    <row r="9" spans="1:4" x14ac:dyDescent="0.2">
      <c r="B9" t="s">
        <v>33</v>
      </c>
      <c r="C9" s="11">
        <f>Table11[[#Totals],[Amount]]+'Salary Acc'!I13</f>
        <v>2009984</v>
      </c>
      <c r="D9" t="s">
        <v>257</v>
      </c>
    </row>
    <row r="10" spans="1:4" x14ac:dyDescent="0.2">
      <c r="B10" t="s">
        <v>61</v>
      </c>
      <c r="C10" s="11">
        <f>Table5[[#Totals],[Amount]]</f>
        <v>52435</v>
      </c>
    </row>
    <row r="11" spans="1:4" x14ac:dyDescent="0.2">
      <c r="B11" t="s">
        <v>35</v>
      </c>
      <c r="C11" s="11">
        <f>Table13[[#Totals],[Debit]]</f>
        <v>79145</v>
      </c>
    </row>
    <row r="12" spans="1:4" x14ac:dyDescent="0.2">
      <c r="B12" t="s">
        <v>40</v>
      </c>
      <c r="C12" s="11">
        <f>Table15[[#Totals],[Amount]]-80000</f>
        <v>240480</v>
      </c>
      <c r="D12" t="s">
        <v>246</v>
      </c>
    </row>
    <row r="13" spans="1:4" x14ac:dyDescent="0.2">
      <c r="C13" s="11"/>
    </row>
    <row r="14" spans="1:4" x14ac:dyDescent="0.2">
      <c r="C14" s="14">
        <f>SUM(Table12[Amount])</f>
        <v>4684232</v>
      </c>
    </row>
    <row r="17" spans="2:4" x14ac:dyDescent="0.2">
      <c r="B17" t="s">
        <v>252</v>
      </c>
    </row>
    <row r="18" spans="2:4" x14ac:dyDescent="0.2">
      <c r="B18" t="s">
        <v>244</v>
      </c>
      <c r="C18" t="s">
        <v>251</v>
      </c>
      <c r="D18" t="s">
        <v>250</v>
      </c>
    </row>
    <row r="19" spans="2:4" x14ac:dyDescent="0.2">
      <c r="B19" t="s">
        <v>57</v>
      </c>
      <c r="C19">
        <f>388+236+100+288</f>
        <v>1012</v>
      </c>
      <c r="D19" t="s">
        <v>248</v>
      </c>
    </row>
    <row r="20" spans="2:4" x14ac:dyDescent="0.2">
      <c r="B20" t="s">
        <v>112</v>
      </c>
      <c r="C20">
        <v>100</v>
      </c>
      <c r="D20" t="s">
        <v>249</v>
      </c>
    </row>
    <row r="21" spans="2:4" x14ac:dyDescent="0.2">
      <c r="B21" t="s">
        <v>245</v>
      </c>
      <c r="C21">
        <v>75</v>
      </c>
      <c r="D21" t="s">
        <v>249</v>
      </c>
    </row>
    <row r="22" spans="2:4" x14ac:dyDescent="0.2">
      <c r="B22" t="s">
        <v>230</v>
      </c>
      <c r="C22" t="s">
        <v>247</v>
      </c>
    </row>
  </sheetData>
  <phoneticPr fontId="4" type="noConversion"/>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5" workbookViewId="0">
      <selection activeCell="G22" sqref="G22"/>
    </sheetView>
  </sheetViews>
  <sheetFormatPr defaultRowHeight="15" x14ac:dyDescent="0.2"/>
  <cols>
    <col min="2" max="2" width="11.703125" customWidth="1"/>
    <col min="3" max="3" width="13.046875" bestFit="1" customWidth="1"/>
    <col min="6" max="6" width="11.1640625" customWidth="1"/>
    <col min="8" max="8" width="10.4921875" bestFit="1" customWidth="1"/>
  </cols>
  <sheetData>
    <row r="2" spans="1:4" x14ac:dyDescent="0.2">
      <c r="B2" s="11" t="s">
        <v>62</v>
      </c>
      <c r="C2" s="11" t="s">
        <v>63</v>
      </c>
    </row>
    <row r="3" spans="1:4" x14ac:dyDescent="0.2">
      <c r="B3" s="11" t="s">
        <v>0</v>
      </c>
      <c r="C3" s="11">
        <f ca="1">Billing!C18 + SUMIFS(Table14[Credit], Table14[Party], "Transport")</f>
        <v>9634223.2991953176</v>
      </c>
      <c r="D3" t="s">
        <v>192</v>
      </c>
    </row>
    <row r="4" spans="1:4" x14ac:dyDescent="0.2">
      <c r="B4" s="11" t="s">
        <v>54</v>
      </c>
      <c r="C4" s="11">
        <f>Table12[[#Totals],[Amount]]</f>
        <v>4684232</v>
      </c>
    </row>
    <row r="5" spans="1:4" x14ac:dyDescent="0.2">
      <c r="A5" s="6"/>
      <c r="B5" s="15" t="s">
        <v>64</v>
      </c>
      <c r="C5" s="15">
        <f ca="1">C3-C4</f>
        <v>4949991.2991953176</v>
      </c>
    </row>
    <row r="10" spans="1:4" ht="15.75" thickBot="1" x14ac:dyDescent="0.25">
      <c r="B10" t="s">
        <v>62</v>
      </c>
      <c r="C10" s="14" t="s">
        <v>63</v>
      </c>
    </row>
    <row r="11" spans="1:4" x14ac:dyDescent="0.2">
      <c r="B11" s="67" t="s">
        <v>0</v>
      </c>
      <c r="C11" s="68">
        <f ca="1">C3</f>
        <v>9634223.2991953176</v>
      </c>
    </row>
    <row r="12" spans="1:4" x14ac:dyDescent="0.2">
      <c r="B12" s="69" t="s">
        <v>24</v>
      </c>
      <c r="C12" s="70">
        <f>SUM(Table14[Credit])</f>
        <v>5273298</v>
      </c>
    </row>
    <row r="13" spans="1:4" ht="15.75" thickBot="1" x14ac:dyDescent="0.25">
      <c r="B13" s="85" t="s">
        <v>165</v>
      </c>
      <c r="C13" s="84">
        <f ca="1">(C11-C12)</f>
        <v>4360925.2991953176</v>
      </c>
    </row>
    <row r="14" spans="1:4" ht="15.75" thickBot="1" x14ac:dyDescent="0.25">
      <c r="B14" s="69"/>
      <c r="C14" s="70"/>
    </row>
    <row r="15" spans="1:4" x14ac:dyDescent="0.2">
      <c r="B15" s="67" t="s">
        <v>54</v>
      </c>
      <c r="C15" s="68">
        <f>C4</f>
        <v>4684232</v>
      </c>
    </row>
    <row r="16" spans="1:4" x14ac:dyDescent="0.2">
      <c r="B16" s="69" t="s">
        <v>23</v>
      </c>
      <c r="C16" s="70">
        <f>SUM(Table14[Debit])</f>
        <v>6135017</v>
      </c>
    </row>
    <row r="17" spans="2:6" ht="15.75" thickBot="1" x14ac:dyDescent="0.25">
      <c r="B17" s="85" t="s">
        <v>166</v>
      </c>
      <c r="C17" s="84">
        <f>C15-C16</f>
        <v>-1450785</v>
      </c>
    </row>
    <row r="18" spans="2:6" ht="15.75" thickBot="1" x14ac:dyDescent="0.25">
      <c r="B18" s="69"/>
      <c r="C18" s="70"/>
    </row>
    <row r="19" spans="2:6" ht="15.75" thickBot="1" x14ac:dyDescent="0.25">
      <c r="B19" s="86" t="s">
        <v>190</v>
      </c>
      <c r="C19" s="87">
        <f>Table18[[#Totals],[amount]]</f>
        <v>-861719</v>
      </c>
    </row>
    <row r="20" spans="2:6" ht="15.75" thickBot="1" x14ac:dyDescent="0.25">
      <c r="B20" s="82"/>
      <c r="C20" s="83"/>
    </row>
    <row r="21" spans="2:6" ht="15.75" thickBot="1" x14ac:dyDescent="0.25">
      <c r="B21" s="71" t="s">
        <v>167</v>
      </c>
      <c r="C21" s="72">
        <f ca="1">(C13-C17)+C19</f>
        <v>4949991.2991953176</v>
      </c>
      <c r="E21" s="96" t="s">
        <v>240</v>
      </c>
      <c r="F21" s="97">
        <f ca="1">C5*0.05</f>
        <v>247499.56495976588</v>
      </c>
    </row>
  </sheetData>
  <phoneticPr fontId="4" type="noConversion"/>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21"/>
  <sheetViews>
    <sheetView workbookViewId="0">
      <selection activeCell="C17" sqref="C17"/>
    </sheetView>
  </sheetViews>
  <sheetFormatPr defaultRowHeight="15" x14ac:dyDescent="0.2"/>
  <cols>
    <col min="2" max="2" width="10.4921875" bestFit="1" customWidth="1"/>
    <col min="4" max="4" width="9.28125" customWidth="1"/>
  </cols>
  <sheetData>
    <row r="2" spans="2:6" x14ac:dyDescent="0.2">
      <c r="B2" t="s">
        <v>21</v>
      </c>
      <c r="C2" t="s">
        <v>55</v>
      </c>
      <c r="D2" t="s">
        <v>23</v>
      </c>
      <c r="E2" t="s">
        <v>24</v>
      </c>
      <c r="F2" t="s">
        <v>161</v>
      </c>
    </row>
    <row r="3" spans="2:6" x14ac:dyDescent="0.2">
      <c r="B3" s="1">
        <v>45869</v>
      </c>
      <c r="C3" t="s">
        <v>42</v>
      </c>
      <c r="D3">
        <f>SUMIFS(Table14[Debit], Table14[Date], Table13[[#This Row],[Date]], Table14[Party], "Transport")</f>
        <v>4820</v>
      </c>
      <c r="E3">
        <f>SUMIFS(Table14[Credit], Table14[Date], Table13[[#This Row],[Date]], Table14[Party], "Transport")</f>
        <v>0</v>
      </c>
    </row>
    <row r="4" spans="2:6" x14ac:dyDescent="0.2">
      <c r="B4" s="1">
        <v>45862</v>
      </c>
      <c r="C4" t="s">
        <v>65</v>
      </c>
      <c r="D4">
        <f>SUMIFS(Table14[Debit], Table14[Date], Table13[[#This Row],[Date]], Table14[Party], "Transport")</f>
        <v>2500</v>
      </c>
      <c r="E4">
        <f>SUMIFS(Table14[Credit], Table14[Date], Table13[[#This Row],[Date]], Table14[Party], "Transport")</f>
        <v>0</v>
      </c>
    </row>
    <row r="5" spans="2:6" x14ac:dyDescent="0.2">
      <c r="B5" s="1">
        <v>45873</v>
      </c>
      <c r="C5" t="s">
        <v>42</v>
      </c>
      <c r="D5">
        <f>SUMIFS(Table14[Debit], Table14[Date], Table13[[#This Row],[Date]], Table14[Party], "Transport")</f>
        <v>3840</v>
      </c>
      <c r="E5">
        <f>SUMIFS(Table14[Credit], Table14[Date], Table13[[#This Row],[Date]], Table14[Party], "Transport")</f>
        <v>0</v>
      </c>
    </row>
    <row r="6" spans="2:6" x14ac:dyDescent="0.2">
      <c r="B6" s="1">
        <v>45874</v>
      </c>
      <c r="D6">
        <f>SUMIFS(Table14[Debit], Table14[Date], Table13[[#This Row],[Date]], Table14[Party], "Transport")</f>
        <v>0</v>
      </c>
      <c r="E6">
        <f>SUMIFS(Table14[Credit], Table14[Date], Table13[[#This Row],[Date]], Table14[Party], "Transport")</f>
        <v>0</v>
      </c>
    </row>
    <row r="7" spans="2:6" x14ac:dyDescent="0.2">
      <c r="B7" s="1">
        <v>45875</v>
      </c>
      <c r="D7">
        <f>SUMIFS(Table14[Debit], Table14[Date], Table13[[#This Row],[Date]], Table14[Party], "Transport")</f>
        <v>17431</v>
      </c>
      <c r="E7">
        <f>SUMIFS(Table14[Credit], Table14[Date], Table13[[#This Row],[Date]], Table14[Party], "Transport")</f>
        <v>0</v>
      </c>
    </row>
    <row r="8" spans="2:6" x14ac:dyDescent="0.2">
      <c r="B8" s="1">
        <v>45876</v>
      </c>
      <c r="C8" t="s">
        <v>42</v>
      </c>
      <c r="D8">
        <f>SUMIFS(Table14[Debit], Table14[Date], Table13[[#This Row],[Date]], Table14[Party], "Transport")</f>
        <v>3820</v>
      </c>
      <c r="E8">
        <f>SUMIFS(Table14[Credit], Table14[Date], Table13[[#This Row],[Date]], Table14[Party], "Transport")</f>
        <v>21000</v>
      </c>
    </row>
    <row r="9" spans="2:6" x14ac:dyDescent="0.2">
      <c r="B9" s="1">
        <v>45877</v>
      </c>
      <c r="C9" t="s">
        <v>142</v>
      </c>
      <c r="D9">
        <f>SUMIFS(Table14[Debit], Table14[Date], Table13[[#This Row],[Date]], Table14[Party], "Transport")</f>
        <v>5316</v>
      </c>
      <c r="E9">
        <f>SUMIFS(Table14[Credit], Table14[Date], Table13[[#This Row],[Date]], Table14[Party], "Transport")</f>
        <v>0</v>
      </c>
    </row>
    <row r="10" spans="2:6" x14ac:dyDescent="0.2">
      <c r="B10" s="1">
        <v>45878</v>
      </c>
      <c r="C10" t="s">
        <v>174</v>
      </c>
      <c r="D10">
        <f>SUMIFS(Table14[Debit], Table14[Date], Table13[[#This Row],[Date]], Table14[Party], "Transport")</f>
        <v>6112</v>
      </c>
      <c r="E10">
        <f>SUMIFS(Table14[Credit], Table14[Date], Table13[[#This Row],[Date]], Table14[Party], "Transport")</f>
        <v>0</v>
      </c>
    </row>
    <row r="11" spans="2:6" x14ac:dyDescent="0.2">
      <c r="B11" s="1">
        <v>45879</v>
      </c>
      <c r="C11" t="s">
        <v>189</v>
      </c>
      <c r="D11">
        <f>SUMIFS(Table14[Debit], Table14[Date], Table13[[#This Row],[Date]], Table14[Party], "Transport")</f>
        <v>4600</v>
      </c>
      <c r="E11">
        <f>SUMIFS(Table14[Credit], Table14[Date], Table13[[#This Row],[Date]], Table14[Party], "Transport")</f>
        <v>0</v>
      </c>
    </row>
    <row r="12" spans="2:6" x14ac:dyDescent="0.2">
      <c r="B12" s="1">
        <v>45880</v>
      </c>
      <c r="D12">
        <f>SUMIFS(Table14[Debit], Table14[Date], Table13[[#This Row],[Date]], Table14[Party], "Transport")</f>
        <v>6316</v>
      </c>
      <c r="E12">
        <f>SUMIFS(Table14[Credit], Table14[Date], Table13[[#This Row],[Date]], Table14[Party], "Transport")</f>
        <v>0</v>
      </c>
    </row>
    <row r="13" spans="2:6" x14ac:dyDescent="0.2">
      <c r="B13" s="1">
        <v>45881</v>
      </c>
      <c r="D13">
        <f>SUMIFS(Table14[Debit], Table14[Date], Table13[[#This Row],[Date]], Table14[Party], "Transport")</f>
        <v>4600</v>
      </c>
      <c r="E13">
        <f>SUMIFS(Table14[Credit], Table14[Date], Table13[[#This Row],[Date]], Table14[Party], "Transport")</f>
        <v>0</v>
      </c>
    </row>
    <row r="14" spans="2:6" x14ac:dyDescent="0.2">
      <c r="B14" s="1">
        <v>45882</v>
      </c>
      <c r="D14">
        <f>SUMIFS(Table14[Debit], Table14[Date], Table13[[#This Row],[Date]], Table14[Party], "Transport")</f>
        <v>5500</v>
      </c>
      <c r="E14">
        <f>SUMIFS(Table14[Credit], Table14[Date], Table13[[#This Row],[Date]], Table14[Party], "Transport")</f>
        <v>0</v>
      </c>
    </row>
    <row r="15" spans="2:6" x14ac:dyDescent="0.2">
      <c r="B15" s="1">
        <v>45883</v>
      </c>
      <c r="D15">
        <f>SUMIFS(Table14[Debit], Table14[Date], Table13[[#This Row],[Date]], Table14[Party], "Transport")</f>
        <v>0</v>
      </c>
      <c r="E15">
        <f>SUMIFS(Table14[Credit], Table14[Date], Table13[[#This Row],[Date]], Table14[Party], "Transport")</f>
        <v>0</v>
      </c>
    </row>
    <row r="16" spans="2:6" x14ac:dyDescent="0.2">
      <c r="B16" s="1">
        <v>45884</v>
      </c>
      <c r="C16" t="s">
        <v>239</v>
      </c>
      <c r="D16">
        <f>SUMIFS(Table14[Debit], Table14[Date], Table13[[#This Row],[Date]], Table14[Party], "Transport")</f>
        <v>8980</v>
      </c>
      <c r="E16">
        <f>SUMIFS(Table14[Credit], Table14[Date], Table13[[#This Row],[Date]], Table14[Party], "Transport")</f>
        <v>0</v>
      </c>
    </row>
    <row r="17" spans="2:6" x14ac:dyDescent="0.2">
      <c r="B17" s="1">
        <v>45885</v>
      </c>
      <c r="D17">
        <f>SUMIFS(Table14[Debit], Table14[Date], Table13[[#This Row],[Date]], Table14[Party], "Transport")</f>
        <v>5310</v>
      </c>
      <c r="E17">
        <f>SUMIFS(Table14[Credit], Table14[Date], Table13[[#This Row],[Date]], Table14[Party], "Transport")</f>
        <v>0</v>
      </c>
    </row>
    <row r="18" spans="2:6" x14ac:dyDescent="0.2">
      <c r="B18" s="1">
        <v>45886</v>
      </c>
      <c r="D18">
        <f>SUMIFS(Table14[Debit], Table14[Date], Table13[[#This Row],[Date]], Table14[Party], "Transport")</f>
        <v>0</v>
      </c>
      <c r="E18">
        <f>SUMIFS(Table14[Credit], Table14[Date], Table13[[#This Row],[Date]], Table14[Party], "Transport")</f>
        <v>0</v>
      </c>
    </row>
    <row r="19" spans="2:6" x14ac:dyDescent="0.2">
      <c r="B19" s="1">
        <v>45887</v>
      </c>
      <c r="D19">
        <f>SUMIFS(Table14[Debit], Table14[Date], Table13[[#This Row],[Date]], Table14[Party], "Transport")</f>
        <v>0</v>
      </c>
      <c r="E19">
        <f>SUMIFS(Table14[Credit], Table14[Date], Table13[[#This Row],[Date]], Table14[Party], "Transport")</f>
        <v>0</v>
      </c>
    </row>
    <row r="20" spans="2:6" x14ac:dyDescent="0.2">
      <c r="B20" s="1">
        <v>45888</v>
      </c>
      <c r="D20">
        <f>SUMIFS(Table14[Debit], Table14[Date], Table13[[#This Row],[Date]], Table14[Party], "Transport")</f>
        <v>0</v>
      </c>
      <c r="E20">
        <f>SUMIFS(Table14[Credit], Table14[Date], Table13[[#This Row],[Date]], Table14[Party], "Transport")</f>
        <v>0</v>
      </c>
    </row>
    <row r="21" spans="2:6" x14ac:dyDescent="0.2">
      <c r="B21" s="1"/>
      <c r="D21">
        <f>SUBTOTAL(109,Table13[Debit])</f>
        <v>79145</v>
      </c>
      <c r="E21">
        <f>SUBTOTAL(109,Table13[Credit])</f>
        <v>21000</v>
      </c>
      <c r="F21">
        <f>Table13[[#Totals],[Debit]]-Table13[[#Totals],[Credit]]</f>
        <v>58145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dimension ref="A1:AB116"/>
  <sheetViews>
    <sheetView zoomScale="96" workbookViewId="0">
      <selection activeCell="E90" sqref="E90"/>
    </sheetView>
  </sheetViews>
  <sheetFormatPr defaultColWidth="8.875" defaultRowHeight="15" x14ac:dyDescent="0.2"/>
  <cols>
    <col min="1" max="1" width="12.10546875" style="10" customWidth="1"/>
    <col min="2" max="2" width="16.27734375" style="10" customWidth="1"/>
    <col min="3" max="3" width="11.97265625" style="10" customWidth="1"/>
    <col min="4" max="4" width="10.89453125" style="10" customWidth="1"/>
    <col min="5" max="5" width="18.0234375" style="10" customWidth="1"/>
    <col min="6" max="6" width="17.890625" style="10" customWidth="1"/>
    <col min="7" max="7" width="15.33203125" style="10" customWidth="1"/>
    <col min="8" max="8" width="14.52734375" style="10" customWidth="1"/>
    <col min="9" max="10" width="15.6015625" style="10" bestFit="1" customWidth="1"/>
    <col min="11" max="11" width="12.375" style="10" customWidth="1"/>
    <col min="12" max="12" width="15.6015625" style="10" bestFit="1" customWidth="1"/>
    <col min="13" max="13" width="15.87109375" style="10" bestFit="1" customWidth="1"/>
    <col min="14" max="15" width="16.0078125" style="10" bestFit="1" customWidth="1"/>
    <col min="16" max="16" width="17.890625" style="10" bestFit="1" customWidth="1"/>
    <col min="17" max="17" width="12.5078125" style="10" bestFit="1" customWidth="1"/>
    <col min="18" max="18" width="17.62109375" style="10" bestFit="1" customWidth="1"/>
    <col min="19" max="19" width="10.625" style="10" bestFit="1" customWidth="1"/>
    <col min="20" max="20" width="17.890625" style="10" bestFit="1" customWidth="1"/>
    <col min="21" max="21" width="12.5078125" style="10" bestFit="1" customWidth="1"/>
    <col min="22" max="22" width="20.84765625" style="10" bestFit="1" customWidth="1"/>
    <col min="23" max="23" width="20.3125" style="10" bestFit="1" customWidth="1"/>
    <col min="24" max="25" width="17.3515625" style="10" bestFit="1" customWidth="1"/>
    <col min="26" max="26" width="20.84765625" style="10" bestFit="1" customWidth="1"/>
    <col min="27" max="27" width="20.3125" style="10" bestFit="1" customWidth="1"/>
    <col min="28" max="28" width="21.65625" style="10" bestFit="1" customWidth="1"/>
    <col min="29" max="16384" width="8.875" style="10"/>
  </cols>
  <sheetData>
    <row r="1" spans="1:28" x14ac:dyDescent="0.2">
      <c r="A1" s="30" t="s">
        <v>21</v>
      </c>
      <c r="B1" s="30" t="s">
        <v>1</v>
      </c>
      <c r="C1" s="30" t="s">
        <v>66</v>
      </c>
      <c r="D1" s="30" t="s">
        <v>67</v>
      </c>
      <c r="E1" s="30" t="s">
        <v>68</v>
      </c>
      <c r="F1" s="30" t="s">
        <v>69</v>
      </c>
      <c r="G1" s="30" t="s">
        <v>70</v>
      </c>
      <c r="H1" s="31" t="s">
        <v>71</v>
      </c>
      <c r="I1" s="31" t="s">
        <v>72</v>
      </c>
      <c r="J1" s="31" t="s">
        <v>47</v>
      </c>
      <c r="K1" s="31" t="s">
        <v>176</v>
      </c>
    </row>
    <row r="2" spans="1:28" hidden="1" x14ac:dyDescent="0.2">
      <c r="A2" s="28">
        <v>45863</v>
      </c>
      <c r="B2" s="29" t="s">
        <v>14</v>
      </c>
      <c r="C2" s="29">
        <v>653</v>
      </c>
      <c r="D2" s="29" t="s">
        <v>74</v>
      </c>
      <c r="E2" s="21">
        <v>1595</v>
      </c>
      <c r="F2" s="11">
        <v>30352</v>
      </c>
      <c r="G2" s="11">
        <v>21904</v>
      </c>
      <c r="H2" s="32">
        <f>_xlfn.XLOOKUP(Table1[[#This Row],[Shipment Number]], 'pivot '!A:A,'pivot '!G:G, "NF")</f>
        <v>34.010077899922052</v>
      </c>
      <c r="I2" s="32">
        <f>(Table1[[#This Row],[Tiyaar/gaz]]/1.0936)</f>
        <v>20029.261155815657</v>
      </c>
      <c r="J2" s="32">
        <f>Table1[[#This Row],[tiyar/meters]] *10</f>
        <v>200292.61155815655</v>
      </c>
      <c r="K2" s="29"/>
    </row>
    <row r="3" spans="1:28" hidden="1" x14ac:dyDescent="0.2">
      <c r="A3" s="28">
        <v>45863</v>
      </c>
      <c r="B3" s="29" t="s">
        <v>14</v>
      </c>
      <c r="C3" s="29">
        <v>654</v>
      </c>
      <c r="D3" s="29" t="s">
        <v>74</v>
      </c>
      <c r="E3" s="21" t="s">
        <v>75</v>
      </c>
      <c r="F3" s="11">
        <v>34595</v>
      </c>
      <c r="G3" s="11">
        <v>4318</v>
      </c>
      <c r="H3" s="32">
        <f>_xlfn.XLOOKUP(Table1[[#This Row],[Shipment Number]], 'pivot '!A:A,'pivot '!G:G, "NF")</f>
        <v>0.64782439669481562</v>
      </c>
      <c r="I3" s="32">
        <f>(Table1[[#This Row],[Tiyaar/gaz]]/1.0936)</f>
        <v>3948.4272128749089</v>
      </c>
      <c r="J3" s="32">
        <f>Table1[[#This Row],[tiyar/meters]] *10</f>
        <v>39484.272128749086</v>
      </c>
      <c r="K3" s="29"/>
    </row>
    <row r="4" spans="1:28" hidden="1" x14ac:dyDescent="0.2">
      <c r="A4" s="28">
        <v>45863</v>
      </c>
      <c r="B4" s="29" t="s">
        <v>14</v>
      </c>
      <c r="C4" s="29">
        <v>655</v>
      </c>
      <c r="D4" s="29" t="s">
        <v>74</v>
      </c>
      <c r="E4" s="11">
        <v>1593</v>
      </c>
      <c r="F4" s="11">
        <v>33269</v>
      </c>
      <c r="G4" s="11">
        <v>1826</v>
      </c>
      <c r="H4" s="32">
        <f>_xlfn.XLOOKUP(Table1[[#This Row],[Shipment Number]], 'pivot '!A:A,'pivot '!G:G, "NF")</f>
        <v>94.981169546031452</v>
      </c>
      <c r="I4" s="32">
        <f>(Table1[[#This Row],[Tiyaar/gaz]]/1.0936)</f>
        <v>1669.7147037307975</v>
      </c>
      <c r="J4" s="32">
        <f>Table1[[#This Row],[tiyar/meters]] *10</f>
        <v>16697.147037307976</v>
      </c>
      <c r="K4" s="29"/>
    </row>
    <row r="5" spans="1:28" hidden="1" x14ac:dyDescent="0.2">
      <c r="A5" s="28">
        <v>45863</v>
      </c>
      <c r="B5" s="29" t="s">
        <v>14</v>
      </c>
      <c r="C5" s="29">
        <v>656</v>
      </c>
      <c r="D5" s="29" t="s">
        <v>74</v>
      </c>
      <c r="E5" s="11">
        <v>1599</v>
      </c>
      <c r="F5" s="11">
        <v>24261</v>
      </c>
      <c r="G5" s="11">
        <v>17764</v>
      </c>
      <c r="H5" s="32">
        <f>_xlfn.XLOOKUP(Table1[[#This Row],[Shipment Number]], 'pivot '!A:A,'pivot '!G:G, "NF")</f>
        <v>2.6791578670473513</v>
      </c>
      <c r="I5" s="32">
        <f>(Table1[[#This Row],[Tiyaar/gaz]]/1.0936)</f>
        <v>16243.599122165328</v>
      </c>
      <c r="J5" s="32">
        <f>Table1[[#This Row],[tiyar/meters]] *10</f>
        <v>162435.99122165327</v>
      </c>
      <c r="K5" s="29"/>
    </row>
    <row r="6" spans="1:28" hidden="1" x14ac:dyDescent="0.2">
      <c r="A6" s="28">
        <v>45864</v>
      </c>
      <c r="B6" s="29" t="s">
        <v>14</v>
      </c>
      <c r="C6" s="29">
        <v>657</v>
      </c>
      <c r="D6" s="29" t="s">
        <v>74</v>
      </c>
      <c r="E6" s="11">
        <v>1599</v>
      </c>
      <c r="F6" s="11">
        <v>24261</v>
      </c>
      <c r="G6" s="11">
        <v>8057</v>
      </c>
      <c r="H6" s="32">
        <f>_xlfn.XLOOKUP(Table1[[#This Row],[Shipment Number]], 'pivot '!A:A,'pivot '!G:G, "NF")</f>
        <v>2.6791578670473513</v>
      </c>
      <c r="I6" s="32">
        <f>(Table1[[#This Row],[Tiyaar/gaz]]/1.0936)</f>
        <v>7367.4103877103153</v>
      </c>
      <c r="J6" s="32">
        <f>Table1[[#This Row],[tiyar/meters]] *10</f>
        <v>73674.10387710316</v>
      </c>
      <c r="K6" s="29"/>
      <c r="V6"/>
      <c r="W6"/>
      <c r="X6"/>
      <c r="Y6"/>
      <c r="Z6"/>
      <c r="AA6"/>
      <c r="AB6"/>
    </row>
    <row r="7" spans="1:28" hidden="1" x14ac:dyDescent="0.2">
      <c r="A7" s="28">
        <v>45864</v>
      </c>
      <c r="B7" s="29" t="s">
        <v>14</v>
      </c>
      <c r="C7" s="29">
        <v>658</v>
      </c>
      <c r="D7" s="29" t="s">
        <v>74</v>
      </c>
      <c r="E7" s="11">
        <v>1597</v>
      </c>
      <c r="F7" s="11">
        <v>22149</v>
      </c>
      <c r="G7" s="11">
        <v>23975</v>
      </c>
      <c r="H7" s="32">
        <f>_xlfn.XLOOKUP(Table1[[#This Row],[Shipment Number]], 'pivot '!A:A,'pivot '!G:G, "NF")</f>
        <v>1.0203323682330563</v>
      </c>
      <c r="I7" s="32">
        <f>(Table1[[#This Row],[Tiyaar/gaz]]/1.0936)</f>
        <v>21923.00658376006</v>
      </c>
      <c r="J7" s="32">
        <f>Table1[[#This Row],[tiyar/meters]] *10</f>
        <v>219230.06583760059</v>
      </c>
      <c r="K7" s="29"/>
      <c r="R7"/>
      <c r="V7"/>
      <c r="W7"/>
      <c r="X7"/>
      <c r="Y7"/>
      <c r="Z7"/>
      <c r="AA7"/>
      <c r="AB7"/>
    </row>
    <row r="8" spans="1:28" hidden="1" x14ac:dyDescent="0.2">
      <c r="A8" s="28">
        <v>45864</v>
      </c>
      <c r="B8" s="29" t="s">
        <v>14</v>
      </c>
      <c r="C8" s="29">
        <v>659</v>
      </c>
      <c r="D8" s="29" t="s">
        <v>74</v>
      </c>
      <c r="E8" s="11">
        <v>1600</v>
      </c>
      <c r="F8" s="11">
        <v>17757</v>
      </c>
      <c r="G8" s="11">
        <v>14312</v>
      </c>
      <c r="H8" s="32">
        <f>_xlfn.XLOOKUP(Table1[[#This Row],[Shipment Number]], 'pivot '!A:A,'pivot '!G:G, "NF")</f>
        <v>0.69547770789590402</v>
      </c>
      <c r="I8" s="32">
        <f>(Table1[[#This Row],[Tiyaar/gaz]]/1.0936)</f>
        <v>13087.051938551574</v>
      </c>
      <c r="J8" s="32">
        <f>Table1[[#This Row],[tiyar/meters]] *10</f>
        <v>130870.51938551574</v>
      </c>
      <c r="K8" s="29"/>
      <c r="R8"/>
      <c r="V8"/>
      <c r="W8"/>
      <c r="X8"/>
      <c r="Y8"/>
      <c r="Z8"/>
      <c r="AA8"/>
      <c r="AB8"/>
    </row>
    <row r="9" spans="1:28" hidden="1" x14ac:dyDescent="0.2">
      <c r="A9" s="28">
        <v>45864</v>
      </c>
      <c r="B9" s="29" t="s">
        <v>14</v>
      </c>
      <c r="C9" s="29">
        <v>660</v>
      </c>
      <c r="D9" s="29" t="s">
        <v>74</v>
      </c>
      <c r="E9" s="11">
        <v>1600</v>
      </c>
      <c r="F9" s="11">
        <v>17757</v>
      </c>
      <c r="G9" s="11">
        <v>4972</v>
      </c>
      <c r="H9" s="32">
        <f>_xlfn.XLOOKUP(Table1[[#This Row],[Shipment Number]], 'pivot '!A:A,'pivot '!G:G, "NF")</f>
        <v>0.69547770789590402</v>
      </c>
      <c r="I9" s="32">
        <f>(Table1[[#This Row],[Tiyaar/gaz]]/1.0936)</f>
        <v>4546.452084857352</v>
      </c>
      <c r="J9" s="32">
        <f>Table1[[#This Row],[tiyar/meters]] *10</f>
        <v>45464.52084857352</v>
      </c>
      <c r="K9" s="29"/>
      <c r="R9"/>
      <c r="V9"/>
      <c r="W9"/>
      <c r="X9"/>
      <c r="Y9"/>
      <c r="Z9"/>
      <c r="AA9"/>
      <c r="AB9"/>
    </row>
    <row r="10" spans="1:28" hidden="1" x14ac:dyDescent="0.2">
      <c r="A10" s="28">
        <v>45866</v>
      </c>
      <c r="B10" s="29" t="s">
        <v>14</v>
      </c>
      <c r="C10" s="29">
        <v>661</v>
      </c>
      <c r="D10" s="29" t="s">
        <v>74</v>
      </c>
      <c r="E10" s="11">
        <v>1602</v>
      </c>
      <c r="F10" s="11">
        <v>100721</v>
      </c>
      <c r="G10" s="11">
        <v>13290</v>
      </c>
      <c r="H10" s="32">
        <f>_xlfn.XLOOKUP(Table1[[#This Row],[Shipment Number]], 'pivot '!A:A,'pivot '!G:G, "NF")</f>
        <v>-1.0935369591681621</v>
      </c>
      <c r="I10" s="32">
        <f>(Table1[[#This Row],[Tiyaar/gaz]]/1.0936)</f>
        <v>12152.523774689102</v>
      </c>
      <c r="J10" s="32">
        <f>Table1[[#This Row],[tiyar/meters]] *10</f>
        <v>121525.23774689101</v>
      </c>
      <c r="K10" s="29"/>
      <c r="R10"/>
      <c r="V10"/>
      <c r="W10"/>
    </row>
    <row r="11" spans="1:28" hidden="1" x14ac:dyDescent="0.2">
      <c r="A11" s="28">
        <v>45866</v>
      </c>
      <c r="B11" s="29" t="s">
        <v>14</v>
      </c>
      <c r="C11" s="29">
        <v>662</v>
      </c>
      <c r="D11" s="29" t="s">
        <v>74</v>
      </c>
      <c r="E11" s="11">
        <v>1602</v>
      </c>
      <c r="F11" s="11">
        <v>100721</v>
      </c>
      <c r="G11" s="11">
        <v>39944</v>
      </c>
      <c r="H11" s="32">
        <f>_xlfn.XLOOKUP(Table1[[#This Row],[Shipment Number]], 'pivot '!A:A,'pivot '!G:G, "NF")</f>
        <v>-1.0935369591681621</v>
      </c>
      <c r="I11" s="32">
        <f>(Table1[[#This Row],[Tiyaar/gaz]]/1.0936)</f>
        <v>36525.237746891005</v>
      </c>
      <c r="J11" s="32">
        <f>Table1[[#This Row],[tiyar/meters]] *10</f>
        <v>365252.37746891007</v>
      </c>
      <c r="K11" s="29"/>
      <c r="R11"/>
      <c r="V11"/>
      <c r="W11"/>
    </row>
    <row r="12" spans="1:28" hidden="1" x14ac:dyDescent="0.2">
      <c r="A12" s="28">
        <v>45866</v>
      </c>
      <c r="B12" s="29" t="s">
        <v>14</v>
      </c>
      <c r="C12" s="29">
        <v>663</v>
      </c>
      <c r="D12" s="29" t="s">
        <v>74</v>
      </c>
      <c r="E12" s="21" t="s">
        <v>75</v>
      </c>
      <c r="F12" s="11">
        <v>34595</v>
      </c>
      <c r="G12" s="11">
        <v>33270</v>
      </c>
      <c r="H12" s="32">
        <f>_xlfn.XLOOKUP(Table1[[#This Row],[Shipment Number]], 'pivot '!A:A,'pivot '!G:G, "NF")</f>
        <v>0.64782439669481562</v>
      </c>
      <c r="I12" s="32">
        <f>(Table1[[#This Row],[Tiyaar/gaz]]/1.0936)</f>
        <v>30422.457937088519</v>
      </c>
      <c r="J12" s="32">
        <f>Table1[[#This Row],[tiyar/meters]] *10</f>
        <v>304224.57937088516</v>
      </c>
      <c r="K12" s="29"/>
      <c r="R12"/>
      <c r="V12"/>
      <c r="W12"/>
    </row>
    <row r="13" spans="1:28" hidden="1" x14ac:dyDescent="0.2">
      <c r="A13" s="28">
        <v>45866</v>
      </c>
      <c r="B13" s="29" t="s">
        <v>14</v>
      </c>
      <c r="C13" s="29">
        <v>664</v>
      </c>
      <c r="D13" s="29" t="s">
        <v>74</v>
      </c>
      <c r="E13" s="11">
        <v>1602</v>
      </c>
      <c r="F13" s="11">
        <v>100721</v>
      </c>
      <c r="G13" s="11">
        <v>6746</v>
      </c>
      <c r="H13" s="32">
        <f>_xlfn.XLOOKUP(Table1[[#This Row],[Shipment Number]], 'pivot '!A:A,'pivot '!G:G, "NF")</f>
        <v>-1.0935369591681621</v>
      </c>
      <c r="I13" s="32">
        <f>(Table1[[#This Row],[Tiyaar/gaz]]/1.0936)</f>
        <v>6168.6174103877111</v>
      </c>
      <c r="J13" s="32">
        <f>Table1[[#This Row],[tiyar/meters]] *10</f>
        <v>61686.174103877114</v>
      </c>
      <c r="K13" s="29"/>
      <c r="R13"/>
      <c r="V13"/>
      <c r="W13"/>
    </row>
    <row r="14" spans="1:28" hidden="1" x14ac:dyDescent="0.2">
      <c r="A14" s="28">
        <v>45867</v>
      </c>
      <c r="B14" s="29" t="s">
        <v>14</v>
      </c>
      <c r="C14" s="29">
        <v>665</v>
      </c>
      <c r="D14" s="29" t="s">
        <v>74</v>
      </c>
      <c r="E14" s="11">
        <v>1602</v>
      </c>
      <c r="F14" s="11">
        <v>100721</v>
      </c>
      <c r="G14" s="11">
        <v>51373</v>
      </c>
      <c r="H14" s="32">
        <f>_xlfn.XLOOKUP(Table1[[#This Row],[Shipment Number]], 'pivot '!A:A,'pivot '!G:G, "NF")</f>
        <v>-1.0935369591681621</v>
      </c>
      <c r="I14" s="32">
        <f>(Table1[[#This Row],[Tiyaar/gaz]]/1.0936)</f>
        <v>46976.042428675937</v>
      </c>
      <c r="J14" s="32">
        <f>Table1[[#This Row],[tiyar/meters]] *10</f>
        <v>469760.42428675934</v>
      </c>
      <c r="K14" s="29"/>
      <c r="R14"/>
      <c r="V14"/>
      <c r="W14"/>
    </row>
    <row r="15" spans="1:28" hidden="1" x14ac:dyDescent="0.2">
      <c r="A15" s="28">
        <v>45867</v>
      </c>
      <c r="B15" s="29" t="s">
        <v>14</v>
      </c>
      <c r="C15" s="29">
        <v>666</v>
      </c>
      <c r="D15" s="29" t="s">
        <v>74</v>
      </c>
      <c r="E15" s="11" t="s">
        <v>79</v>
      </c>
      <c r="F15" s="11" t="s">
        <v>80</v>
      </c>
      <c r="G15" s="11">
        <v>6925</v>
      </c>
      <c r="H15" s="32" t="e">
        <f>_xlfn.XLOOKUP(Table1[[#This Row],[Shipment Number]], 'pivot '!A:A,'pivot '!G:G, "NF")</f>
        <v>#DIV/0!</v>
      </c>
      <c r="I15" s="32"/>
      <c r="J15" s="32">
        <f>Table1[[#This Row],[tiyar/meters]] *10</f>
        <v>0</v>
      </c>
      <c r="K15" s="29"/>
      <c r="R15"/>
      <c r="V15"/>
      <c r="W15"/>
    </row>
    <row r="16" spans="1:28" hidden="1" x14ac:dyDescent="0.2">
      <c r="A16" s="28">
        <v>45869</v>
      </c>
      <c r="B16" s="29" t="s">
        <v>15</v>
      </c>
      <c r="C16" s="29">
        <v>667</v>
      </c>
      <c r="D16" s="29" t="s">
        <v>74</v>
      </c>
      <c r="E16" s="11">
        <v>1558</v>
      </c>
      <c r="F16" s="11">
        <v>27931</v>
      </c>
      <c r="G16" s="11">
        <v>29944</v>
      </c>
      <c r="H16" s="32">
        <f>_xlfn.XLOOKUP(Table1[[#This Row],[Shipment Number]], 'pivot '!A:A,'pivot '!G:G, "NF")</f>
        <v>1.9686851365905085</v>
      </c>
      <c r="I16" s="32">
        <f>(Table1[[#This Row],[Tiyaar/gaz]]/1.0936)</f>
        <v>27381.126554498904</v>
      </c>
      <c r="J16" s="32">
        <f>Table1[[#This Row],[tiyar/meters]] *10</f>
        <v>273811.26554498903</v>
      </c>
      <c r="K16" s="29"/>
      <c r="R16"/>
      <c r="V16"/>
      <c r="W16"/>
    </row>
    <row r="17" spans="1:23" hidden="1" x14ac:dyDescent="0.2">
      <c r="A17" s="28">
        <v>45869</v>
      </c>
      <c r="B17" s="29" t="s">
        <v>12</v>
      </c>
      <c r="C17" s="29">
        <v>668</v>
      </c>
      <c r="D17" s="29" t="s">
        <v>74</v>
      </c>
      <c r="E17" s="11">
        <v>1603</v>
      </c>
      <c r="F17" s="11">
        <v>34026</v>
      </c>
      <c r="G17" s="11">
        <v>15774</v>
      </c>
      <c r="H17" s="32">
        <f>_xlfn.XLOOKUP(Table1[[#This Row],[Shipment Number]], 'pivot '!A:A,'pivot '!G:G, "NF")</f>
        <v>2.1145282808176518</v>
      </c>
      <c r="I17" s="32">
        <f>(Table1[[#This Row],[Tiyaar/gaz]]/1.0936)</f>
        <v>14423.9209948793</v>
      </c>
      <c r="J17" s="32">
        <f>Table1[[#This Row],[tiyar/meters]] *10</f>
        <v>144239.209948793</v>
      </c>
      <c r="K17" s="29"/>
      <c r="R17"/>
      <c r="V17"/>
      <c r="W17"/>
    </row>
    <row r="18" spans="1:23" hidden="1" x14ac:dyDescent="0.2">
      <c r="A18" s="28">
        <v>45869</v>
      </c>
      <c r="B18" s="29" t="s">
        <v>12</v>
      </c>
      <c r="C18" s="29">
        <v>669</v>
      </c>
      <c r="D18" s="29" t="s">
        <v>74</v>
      </c>
      <c r="E18" s="11">
        <v>1603</v>
      </c>
      <c r="F18" s="11">
        <v>34026</v>
      </c>
      <c r="G18" s="11">
        <v>12076</v>
      </c>
      <c r="H18" s="32">
        <f>_xlfn.XLOOKUP(Table1[[#This Row],[Shipment Number]], 'pivot '!A:A,'pivot '!G:G, "NF")</f>
        <v>2.1145282808176518</v>
      </c>
      <c r="I18" s="32">
        <f>(Table1[[#This Row],[Tiyaar/gaz]]/1.0936)</f>
        <v>11042.428675932701</v>
      </c>
      <c r="J18" s="32">
        <f>Table1[[#This Row],[tiyar/meters]] *10</f>
        <v>110424.28675932701</v>
      </c>
      <c r="K18" s="29"/>
      <c r="R18"/>
      <c r="V18"/>
      <c r="W18"/>
    </row>
    <row r="19" spans="1:23" hidden="1" x14ac:dyDescent="0.2">
      <c r="A19" s="28">
        <v>45871</v>
      </c>
      <c r="B19" s="29" t="s">
        <v>16</v>
      </c>
      <c r="C19" s="29">
        <v>670</v>
      </c>
      <c r="D19" s="29" t="s">
        <v>74</v>
      </c>
      <c r="E19" s="11">
        <v>1619</v>
      </c>
      <c r="F19" s="11">
        <v>1859</v>
      </c>
      <c r="G19" s="11">
        <v>2036</v>
      </c>
      <c r="H19" s="32">
        <f>_xlfn.XLOOKUP(Table1[[#This Row],[Shipment Number]], 'pivot '!A:A,'pivot '!G:G, "NF")</f>
        <v>-0.14744694841482442</v>
      </c>
      <c r="I19" s="32">
        <f>(Table1[[#This Row],[Tiyaar/gaz]]/1.0936)</f>
        <v>1861.7410387710315</v>
      </c>
      <c r="J19" s="32">
        <f>Table1[[#This Row],[tiyar/meters]] *10.5</f>
        <v>19548.280907095832</v>
      </c>
      <c r="K19" s="29"/>
      <c r="R19"/>
      <c r="V19"/>
      <c r="W19"/>
    </row>
    <row r="20" spans="1:23" hidden="1" x14ac:dyDescent="0.2">
      <c r="A20" s="28">
        <v>45873</v>
      </c>
      <c r="B20" s="29" t="s">
        <v>14</v>
      </c>
      <c r="C20" s="29">
        <v>671</v>
      </c>
      <c r="D20" s="29" t="s">
        <v>74</v>
      </c>
      <c r="E20" s="11">
        <v>1621</v>
      </c>
      <c r="F20" s="11">
        <v>29483</v>
      </c>
      <c r="G20" s="11">
        <v>32201</v>
      </c>
      <c r="H20" s="32">
        <f>_xlfn.XLOOKUP(Table1[[#This Row],[Shipment Number]], 'pivot '!A:A,'pivot '!G:G, "NF")</f>
        <v>0.12904911093917804</v>
      </c>
      <c r="I20" s="32">
        <f>(Table1[[#This Row],[Tiyaar/gaz]]/1.0936)</f>
        <v>29444.9524506218</v>
      </c>
      <c r="J20" s="32">
        <f>Table1[[#This Row],[tiyar/meters]] *10</f>
        <v>294449.52450621803</v>
      </c>
      <c r="K20" s="29"/>
      <c r="R20"/>
      <c r="V20"/>
      <c r="W20"/>
    </row>
    <row r="21" spans="1:23" hidden="1" x14ac:dyDescent="0.2">
      <c r="A21" s="28">
        <v>45873</v>
      </c>
      <c r="B21" s="29" t="s">
        <v>15</v>
      </c>
      <c r="C21" s="29">
        <v>672</v>
      </c>
      <c r="D21" s="29" t="s">
        <v>74</v>
      </c>
      <c r="E21" s="21">
        <v>1601</v>
      </c>
      <c r="F21" s="11">
        <v>34595</v>
      </c>
      <c r="G21" s="11">
        <v>37023</v>
      </c>
      <c r="H21" s="32">
        <f>_xlfn.XLOOKUP(Table1[[#This Row],[Shipment Number]], 'pivot '!A:A,'pivot '!G:G, "NF")</f>
        <v>2.1412259933710942</v>
      </c>
      <c r="I21" s="32">
        <f>(Table1[[#This Row],[Tiyaar/gaz]]/1.0936)</f>
        <v>33854.242867593275</v>
      </c>
      <c r="J21" s="32">
        <f>Table1[[#This Row],[tiyar/meters]] *10</f>
        <v>338542.42867593275</v>
      </c>
      <c r="K21" s="29"/>
      <c r="R21"/>
      <c r="V21"/>
      <c r="W21"/>
    </row>
    <row r="22" spans="1:23" hidden="1" x14ac:dyDescent="0.2">
      <c r="A22" s="28">
        <v>45873</v>
      </c>
      <c r="B22" s="29" t="s">
        <v>12</v>
      </c>
      <c r="C22" s="29">
        <v>673</v>
      </c>
      <c r="D22" s="29" t="s">
        <v>74</v>
      </c>
      <c r="E22" s="11">
        <v>1603</v>
      </c>
      <c r="F22" s="11">
        <v>34026</v>
      </c>
      <c r="G22" s="11">
        <v>8574</v>
      </c>
      <c r="H22" s="32">
        <f>_xlfn.XLOOKUP(Table1[[#This Row],[Shipment Number]], 'pivot '!A:A,'pivot '!G:G, "NF")</f>
        <v>2.1145282808176518</v>
      </c>
      <c r="I22" s="32">
        <f>(Table1[[#This Row],[Tiyaar/gaz]]/1.0936)</f>
        <v>7840.1609363569869</v>
      </c>
      <c r="J22" s="32">
        <f>Table1[[#This Row],[tiyar/meters]] *10</f>
        <v>78401.609363569863</v>
      </c>
      <c r="K22" s="29"/>
      <c r="R22"/>
      <c r="V22"/>
      <c r="W22"/>
    </row>
    <row r="23" spans="1:23" hidden="1" x14ac:dyDescent="0.2">
      <c r="A23" s="28">
        <v>45873</v>
      </c>
      <c r="B23" s="29" t="s">
        <v>12</v>
      </c>
      <c r="C23" s="29">
        <v>674</v>
      </c>
      <c r="D23" s="29" t="s">
        <v>74</v>
      </c>
      <c r="E23" s="11">
        <v>1606</v>
      </c>
      <c r="F23" s="11">
        <v>15311</v>
      </c>
      <c r="G23" s="11">
        <v>16753</v>
      </c>
      <c r="H23" s="32">
        <f>_xlfn.XLOOKUP(Table1[[#This Row],[Shipment Number]], 'pivot '!A:A,'pivot '!G:G, "NF")</f>
        <v>-5.3095686855769486E-2</v>
      </c>
      <c r="I23" s="32">
        <f>(Table1[[#This Row],[Tiyaar/gaz]]/1.0936)</f>
        <v>15319.129480614485</v>
      </c>
      <c r="J23" s="32">
        <f>Table1[[#This Row],[tiyar/meters]] *10</f>
        <v>153191.29480614484</v>
      </c>
      <c r="K23" s="29"/>
      <c r="R23"/>
      <c r="V23"/>
      <c r="W23"/>
    </row>
    <row r="24" spans="1:23" hidden="1" x14ac:dyDescent="0.2">
      <c r="A24" s="28">
        <v>45873</v>
      </c>
      <c r="B24" s="29" t="s">
        <v>14</v>
      </c>
      <c r="C24" s="29">
        <v>675</v>
      </c>
      <c r="D24" s="29" t="s">
        <v>74</v>
      </c>
      <c r="E24" s="11" t="s">
        <v>242</v>
      </c>
      <c r="F24" s="11">
        <v>16459</v>
      </c>
      <c r="G24" s="11">
        <v>17672</v>
      </c>
      <c r="H24" s="32">
        <f>_xlfn.XLOOKUP(Table1[[#This Row],[Shipment Number]], 'pivot '!A:A,'pivot '!G:G, "NF")</f>
        <v>1.8198353533305749</v>
      </c>
      <c r="I24" s="32">
        <f>(Table1[[#This Row],[Tiyaar/gaz]]/1.0936)</f>
        <v>16159.473299195319</v>
      </c>
      <c r="J24" s="32">
        <f>Table1[[#This Row],[tiyar/meters]] *10</f>
        <v>161594.73299195318</v>
      </c>
      <c r="K24" s="29"/>
      <c r="R24"/>
      <c r="V24"/>
      <c r="W24"/>
    </row>
    <row r="25" spans="1:23" hidden="1" x14ac:dyDescent="0.2">
      <c r="A25" s="28">
        <v>45873</v>
      </c>
      <c r="B25" s="29" t="s">
        <v>17</v>
      </c>
      <c r="C25" s="29">
        <v>676</v>
      </c>
      <c r="D25" s="29" t="s">
        <v>74</v>
      </c>
      <c r="E25" s="11">
        <v>1609</v>
      </c>
      <c r="F25" s="11">
        <v>23028</v>
      </c>
      <c r="G25" s="11">
        <v>24699</v>
      </c>
      <c r="H25" s="32">
        <f>_xlfn.XLOOKUP(Table1[[#This Row],[Shipment Number]], 'pivot '!A:A,'pivot '!G:G, "NF")</f>
        <v>1.9235702879570482</v>
      </c>
      <c r="I25" s="32">
        <f>(Table1[[#This Row],[Tiyaar/gaz]]/1.0936)</f>
        <v>22585.040234089247</v>
      </c>
      <c r="J25" s="32">
        <f>Table1[[#This Row],[tiyar/meters]] *10</f>
        <v>225850.40234089247</v>
      </c>
      <c r="K25" s="29"/>
      <c r="R25"/>
      <c r="V25"/>
      <c r="W25"/>
    </row>
    <row r="26" spans="1:23" hidden="1" x14ac:dyDescent="0.2">
      <c r="A26" s="28">
        <v>45874</v>
      </c>
      <c r="B26" s="29" t="s">
        <v>14</v>
      </c>
      <c r="C26" s="29">
        <v>677</v>
      </c>
      <c r="D26" s="29" t="s">
        <v>74</v>
      </c>
      <c r="E26" s="11">
        <v>1614</v>
      </c>
      <c r="F26" s="11">
        <v>30158</v>
      </c>
      <c r="G26" s="11">
        <v>19789</v>
      </c>
      <c r="H26" s="32">
        <f>_xlfn.XLOOKUP(Table1[[#This Row],[Shipment Number]], 'pivot '!A:A,'pivot '!G:G, "NF")</f>
        <v>1.0787758963484748</v>
      </c>
      <c r="I26" s="32">
        <f>(Table1[[#This Row],[Tiyaar/gaz]]/1.0936)</f>
        <v>18095.281638624729</v>
      </c>
      <c r="J26" s="32">
        <f>Table1[[#This Row],[tiyar/meters]] *10</f>
        <v>180952.81638624729</v>
      </c>
      <c r="K26" s="29"/>
      <c r="R26"/>
      <c r="S26"/>
      <c r="T26"/>
      <c r="U26"/>
      <c r="V26"/>
      <c r="W26"/>
    </row>
    <row r="27" spans="1:23" hidden="1" x14ac:dyDescent="0.2">
      <c r="A27" s="28">
        <v>45874</v>
      </c>
      <c r="B27" s="29" t="s">
        <v>14</v>
      </c>
      <c r="C27" s="29">
        <v>678</v>
      </c>
      <c r="D27" s="29" t="s">
        <v>74</v>
      </c>
      <c r="E27" s="11">
        <v>1623</v>
      </c>
      <c r="F27" s="11">
        <v>20247</v>
      </c>
      <c r="G27" s="11">
        <v>21841</v>
      </c>
      <c r="H27" s="32">
        <f>_xlfn.XLOOKUP(Table1[[#This Row],[Shipment Number]], 'pivot '!A:A,'pivot '!G:G, "NF")</f>
        <v>1.3599384832143784</v>
      </c>
      <c r="I27" s="32">
        <f>(Table1[[#This Row],[Tiyaar/gaz]]/1.0936)</f>
        <v>19971.653255303587</v>
      </c>
      <c r="J27" s="32">
        <f>Table1[[#This Row],[tiyar/meters]] *10</f>
        <v>199716.53255303588</v>
      </c>
      <c r="K27" s="29"/>
      <c r="R27"/>
      <c r="S27"/>
      <c r="T27"/>
      <c r="U27"/>
      <c r="V27"/>
      <c r="W27"/>
    </row>
    <row r="28" spans="1:23" hidden="1" x14ac:dyDescent="0.2">
      <c r="A28" s="28">
        <v>45874</v>
      </c>
      <c r="B28" s="29" t="s">
        <v>14</v>
      </c>
      <c r="C28" s="29">
        <v>679</v>
      </c>
      <c r="D28" s="29" t="s">
        <v>74</v>
      </c>
      <c r="E28" s="11">
        <v>1614</v>
      </c>
      <c r="F28" s="11">
        <v>30158</v>
      </c>
      <c r="G28" s="11">
        <v>12836</v>
      </c>
      <c r="H28" s="32">
        <f>_xlfn.XLOOKUP(Table1[[#This Row],[Shipment Number]], 'pivot '!A:A,'pivot '!G:G, "NF")</f>
        <v>1.0787758963484748</v>
      </c>
      <c r="I28" s="32">
        <f>(Table1[[#This Row],[Tiyaar/gaz]]/1.0936)</f>
        <v>11737.381126554499</v>
      </c>
      <c r="J28" s="32">
        <f>Table1[[#This Row],[tiyar/meters]] *10</f>
        <v>117373.81126554499</v>
      </c>
      <c r="K28" s="29"/>
      <c r="R28"/>
      <c r="S28"/>
      <c r="T28"/>
      <c r="U28"/>
      <c r="V28"/>
      <c r="W28"/>
    </row>
    <row r="29" spans="1:23" hidden="1" x14ac:dyDescent="0.2">
      <c r="A29" s="28">
        <v>45874</v>
      </c>
      <c r="B29" s="29" t="s">
        <v>17</v>
      </c>
      <c r="C29" s="29">
        <v>680</v>
      </c>
      <c r="D29" s="29" t="s">
        <v>74</v>
      </c>
      <c r="E29" s="11">
        <v>1610</v>
      </c>
      <c r="F29" s="11">
        <v>6777</v>
      </c>
      <c r="G29" s="11">
        <v>7252</v>
      </c>
      <c r="H29" s="32">
        <f>_xlfn.XLOOKUP(Table1[[#This Row],[Shipment Number]], 'pivot '!A:A,'pivot '!G:G, "NF")</f>
        <v>2.1497795968311806</v>
      </c>
      <c r="I29" s="32">
        <f>(Table1[[#This Row],[Tiyaar/gaz]]/1.0936)</f>
        <v>6631.3094367227513</v>
      </c>
      <c r="J29" s="32">
        <f>Table1[[#This Row],[tiyar/meters]] *10</f>
        <v>66313.094367227517</v>
      </c>
      <c r="K29" s="29"/>
      <c r="R29"/>
      <c r="S29"/>
      <c r="T29"/>
      <c r="U29"/>
      <c r="V29"/>
      <c r="W29"/>
    </row>
    <row r="30" spans="1:23" hidden="1" x14ac:dyDescent="0.2">
      <c r="A30" s="28">
        <v>45874</v>
      </c>
      <c r="B30" s="29" t="s">
        <v>17</v>
      </c>
      <c r="C30" s="29">
        <v>681</v>
      </c>
      <c r="D30" s="29" t="s">
        <v>74</v>
      </c>
      <c r="E30" s="11">
        <v>1620</v>
      </c>
      <c r="F30" s="29">
        <f>10463/1.0936</f>
        <v>9567.4835405998547</v>
      </c>
      <c r="G30" s="11">
        <v>10359</v>
      </c>
      <c r="H30" s="32">
        <f>_xlfn.XLOOKUP(Table1[[#This Row],[Shipment Number]], 'pivot '!A:A,'pivot '!G:G, "NF")</f>
        <v>0.99397878237599002</v>
      </c>
      <c r="I30" s="32">
        <f>(Table1[[#This Row],[Tiyaar/gaz]]/1.0936)</f>
        <v>9472.3847841989773</v>
      </c>
      <c r="J30" s="32">
        <f>Table1[[#This Row],[tiyar/meters]] *10</f>
        <v>94723.847841989773</v>
      </c>
      <c r="K30" s="29"/>
      <c r="R30"/>
      <c r="S30"/>
      <c r="T30"/>
      <c r="U30"/>
      <c r="V30"/>
      <c r="W30"/>
    </row>
    <row r="31" spans="1:23" hidden="1" x14ac:dyDescent="0.2">
      <c r="A31" s="28">
        <v>45874</v>
      </c>
      <c r="B31" s="29" t="s">
        <v>17</v>
      </c>
      <c r="C31" s="29">
        <v>682</v>
      </c>
      <c r="D31" s="29" t="s">
        <v>74</v>
      </c>
      <c r="E31" s="11">
        <v>1608</v>
      </c>
      <c r="F31" s="11">
        <f>17113/1.0936</f>
        <v>15648.317483540601</v>
      </c>
      <c r="G31" s="11">
        <v>16890</v>
      </c>
      <c r="H31" s="32">
        <f>_xlfn.XLOOKUP(Table1[[#This Row],[Shipment Number]], 'pivot '!A:A,'pivot '!G:G, "NF")</f>
        <v>1.3031029042248576</v>
      </c>
      <c r="I31" s="32">
        <f>(Table1[[#This Row],[Tiyaar/gaz]]/1.0936)</f>
        <v>15444.403803950257</v>
      </c>
      <c r="J31" s="32">
        <f>Table1[[#This Row],[tiyar/meters]] *10</f>
        <v>154444.03803950257</v>
      </c>
      <c r="K31" s="29"/>
      <c r="R31"/>
      <c r="S31"/>
      <c r="T31"/>
      <c r="U31"/>
      <c r="V31"/>
      <c r="W31"/>
    </row>
    <row r="32" spans="1:23" hidden="1" x14ac:dyDescent="0.2">
      <c r="A32" s="28">
        <v>45874</v>
      </c>
      <c r="B32" s="29" t="s">
        <v>14</v>
      </c>
      <c r="C32" s="29">
        <v>683</v>
      </c>
      <c r="D32" s="29" t="s">
        <v>74</v>
      </c>
      <c r="E32" s="11">
        <v>1624</v>
      </c>
      <c r="F32" s="11">
        <v>30782</v>
      </c>
      <c r="G32" s="11">
        <v>4560</v>
      </c>
      <c r="H32" s="32">
        <f>_xlfn.XLOOKUP(Table1[[#This Row],[Shipment Number]], 'pivot '!A:A,'pivot '!G:G, "NF")</f>
        <v>2.0948552144568708</v>
      </c>
      <c r="I32" s="32">
        <f>(Table1[[#This Row],[Tiyaar/gaz]]/1.0936)</f>
        <v>4169.7147037307977</v>
      </c>
      <c r="J32" s="32">
        <f>Table1[[#This Row],[tiyar/meters]] *10</f>
        <v>41697.147037307979</v>
      </c>
      <c r="K32" s="29"/>
      <c r="R32"/>
      <c r="S32"/>
      <c r="T32"/>
      <c r="U32"/>
      <c r="V32"/>
      <c r="W32"/>
    </row>
    <row r="33" spans="1:23" hidden="1" x14ac:dyDescent="0.2">
      <c r="A33" s="28">
        <v>45875</v>
      </c>
      <c r="B33" s="29" t="s">
        <v>16</v>
      </c>
      <c r="C33" s="29">
        <v>684</v>
      </c>
      <c r="D33" s="29" t="s">
        <v>74</v>
      </c>
      <c r="E33" s="11">
        <v>1625</v>
      </c>
      <c r="F33" s="11">
        <v>82148</v>
      </c>
      <c r="G33" s="11">
        <v>2156</v>
      </c>
      <c r="H33" s="32">
        <f>_xlfn.XLOOKUP(Table1[[#This Row],[Shipment Number]], 'pivot '!A:A,'pivot '!G:G, "NF")</f>
        <v>1.0397188808936448</v>
      </c>
      <c r="I33" s="32">
        <f>(Table1[[#This Row],[Tiyaar/gaz]]/1.0936)</f>
        <v>1971.4703730797369</v>
      </c>
      <c r="J33" s="32">
        <f>Table1[[#This Row],[tiyar/meters]] *10.5</f>
        <v>20700.438917337236</v>
      </c>
      <c r="K33" s="29"/>
      <c r="R33"/>
      <c r="S33"/>
      <c r="T33"/>
      <c r="U33"/>
      <c r="V33"/>
      <c r="W33"/>
    </row>
    <row r="34" spans="1:23" hidden="1" x14ac:dyDescent="0.2">
      <c r="A34" s="28">
        <v>45875</v>
      </c>
      <c r="B34" s="29" t="s">
        <v>17</v>
      </c>
      <c r="C34" s="29">
        <v>685</v>
      </c>
      <c r="D34" s="29" t="s">
        <v>160</v>
      </c>
      <c r="E34" s="11">
        <v>1618</v>
      </c>
      <c r="F34" s="11">
        <v>8417</v>
      </c>
      <c r="G34" s="11">
        <v>7260</v>
      </c>
      <c r="H34" s="32">
        <f>_xlfn.XLOOKUP(Table1[[#This Row],[Shipment Number]], 'pivot '!A:A,'pivot '!G:G, "NF")</f>
        <v>1.2475101118638463</v>
      </c>
      <c r="I34" s="32">
        <f>(Table1[[#This Row],[Tiyaar/gaz]]/1.0936)</f>
        <v>6638.6247256766646</v>
      </c>
      <c r="J34" s="32">
        <f>Table1[[#This Row],[tiyar/meters]] *12</f>
        <v>79663.496708119972</v>
      </c>
      <c r="K34" s="29"/>
      <c r="R34"/>
      <c r="S34"/>
      <c r="T34"/>
      <c r="U34"/>
      <c r="V34"/>
      <c r="W34"/>
    </row>
    <row r="35" spans="1:23" hidden="1" x14ac:dyDescent="0.2">
      <c r="A35" s="28">
        <v>45875</v>
      </c>
      <c r="B35" s="29" t="s">
        <v>17</v>
      </c>
      <c r="C35" s="29">
        <v>686</v>
      </c>
      <c r="D35" s="29" t="s">
        <v>160</v>
      </c>
      <c r="E35" s="11">
        <v>1611</v>
      </c>
      <c r="F35" s="11">
        <v>11690</v>
      </c>
      <c r="G35" s="11">
        <v>6915</v>
      </c>
      <c r="H35" s="32">
        <f>_xlfn.XLOOKUP(Table1[[#This Row],[Shipment Number]], 'pivot '!A:A,'pivot '!G:G, "NF")</f>
        <v>-0.69473342999444299</v>
      </c>
      <c r="I35" s="32">
        <f>(Table1[[#This Row],[Tiyaar/gaz]]/1.0936)</f>
        <v>6323.1528895391375</v>
      </c>
      <c r="J35" s="32">
        <f>Table1[[#This Row],[tiyar/meters]] *12</f>
        <v>75877.834674469646</v>
      </c>
      <c r="K35" s="29"/>
      <c r="R35"/>
      <c r="S35"/>
      <c r="T35"/>
      <c r="U35"/>
      <c r="V35"/>
      <c r="W35"/>
    </row>
    <row r="36" spans="1:23" hidden="1" x14ac:dyDescent="0.2">
      <c r="A36" s="28">
        <v>45875</v>
      </c>
      <c r="B36" s="29" t="s">
        <v>17</v>
      </c>
      <c r="C36" s="29">
        <v>687</v>
      </c>
      <c r="D36" s="29" t="s">
        <v>160</v>
      </c>
      <c r="E36" s="11">
        <v>1618</v>
      </c>
      <c r="F36" s="11">
        <v>8417</v>
      </c>
      <c r="G36" s="11">
        <v>1830</v>
      </c>
      <c r="H36" s="32">
        <f>_xlfn.XLOOKUP(Table1[[#This Row],[Shipment Number]], 'pivot '!A:A,'pivot '!G:G, "NF")</f>
        <v>1.2475101118638463</v>
      </c>
      <c r="I36" s="32">
        <f>(Table1[[#This Row],[Tiyaar/gaz]]/1.0936)</f>
        <v>1673.3723482077544</v>
      </c>
      <c r="J36" s="32">
        <f>Table1[[#This Row],[tiyar/meters]] *12</f>
        <v>20080.468178493051</v>
      </c>
      <c r="K36" s="29"/>
      <c r="R36"/>
      <c r="S36"/>
      <c r="T36"/>
      <c r="U36"/>
      <c r="V36"/>
      <c r="W36"/>
    </row>
    <row r="37" spans="1:23" hidden="1" x14ac:dyDescent="0.2">
      <c r="A37" s="28">
        <v>45875</v>
      </c>
      <c r="B37" s="29" t="s">
        <v>17</v>
      </c>
      <c r="C37" s="29">
        <v>688</v>
      </c>
      <c r="D37" s="29" t="s">
        <v>160</v>
      </c>
      <c r="E37" s="11">
        <v>1611</v>
      </c>
      <c r="F37" s="11">
        <v>11690</v>
      </c>
      <c r="G37" s="11">
        <v>5958</v>
      </c>
      <c r="H37" s="32">
        <f>_xlfn.XLOOKUP(Table1[[#This Row],[Shipment Number]], 'pivot '!A:A,'pivot '!G:G, "NF")</f>
        <v>-0.69473342999444299</v>
      </c>
      <c r="I37" s="32">
        <f>(Table1[[#This Row],[Tiyaar/gaz]]/1.0936)</f>
        <v>5448.0614484272137</v>
      </c>
      <c r="J37" s="32">
        <f>Table1[[#This Row],[tiyar/meters]] *12</f>
        <v>65376.737381126564</v>
      </c>
      <c r="K37" s="29"/>
      <c r="R37"/>
      <c r="S37"/>
      <c r="T37"/>
      <c r="U37"/>
      <c r="V37"/>
      <c r="W37"/>
    </row>
    <row r="38" spans="1:23" hidden="1" x14ac:dyDescent="0.2">
      <c r="A38" s="28">
        <v>45877</v>
      </c>
      <c r="B38" s="29" t="s">
        <v>16</v>
      </c>
      <c r="C38" s="29">
        <v>689</v>
      </c>
      <c r="D38" s="29" t="s">
        <v>74</v>
      </c>
      <c r="E38" s="11">
        <v>1625</v>
      </c>
      <c r="F38" s="11">
        <v>82148</v>
      </c>
      <c r="G38" s="11">
        <v>44803</v>
      </c>
      <c r="H38" s="32">
        <f>_xlfn.XLOOKUP(Table1[[#This Row],[Shipment Number]], 'pivot '!A:A,'pivot '!G:G, "NF")</f>
        <v>1.0397188808936448</v>
      </c>
      <c r="I38" s="32">
        <f>(Table1[[#This Row],[Tiyaar/gaz]]/1.0936)</f>
        <v>40968.361375274326</v>
      </c>
      <c r="J38" s="32">
        <f>Table1[[#This Row],[tiyar/meters]] *10.5</f>
        <v>430167.79444038041</v>
      </c>
      <c r="K38" s="29"/>
      <c r="R38"/>
      <c r="S38"/>
      <c r="T38"/>
      <c r="U38"/>
      <c r="V38"/>
      <c r="W38"/>
    </row>
    <row r="39" spans="1:23" hidden="1" x14ac:dyDescent="0.2">
      <c r="A39" s="28">
        <v>45877</v>
      </c>
      <c r="B39" s="29" t="s">
        <v>16</v>
      </c>
      <c r="C39" s="29">
        <v>690</v>
      </c>
      <c r="D39" s="29" t="s">
        <v>74</v>
      </c>
      <c r="E39" s="11">
        <v>1625</v>
      </c>
      <c r="F39" s="11">
        <v>82148</v>
      </c>
      <c r="G39" s="11">
        <v>37802</v>
      </c>
      <c r="H39" s="32">
        <f>_xlfn.XLOOKUP(Table1[[#This Row],[Shipment Number]], 'pivot '!A:A,'pivot '!G:G, "NF")</f>
        <v>1.0397188808936448</v>
      </c>
      <c r="I39" s="32">
        <f>(Table1[[#This Row],[Tiyaar/gaz]]/1.0936)</f>
        <v>34566.569129480617</v>
      </c>
      <c r="J39" s="32">
        <f>Table1[[#This Row],[tiyar/meters]] *10.5</f>
        <v>362948.97585954645</v>
      </c>
      <c r="K39" s="29"/>
      <c r="R39"/>
      <c r="S39"/>
      <c r="T39"/>
      <c r="U39"/>
      <c r="V39"/>
      <c r="W39"/>
    </row>
    <row r="40" spans="1:23" hidden="1" x14ac:dyDescent="0.2">
      <c r="A40" s="28">
        <v>45877</v>
      </c>
      <c r="B40" s="29" t="s">
        <v>14</v>
      </c>
      <c r="C40" s="29">
        <v>691</v>
      </c>
      <c r="D40" s="29" t="s">
        <v>74</v>
      </c>
      <c r="E40" s="11">
        <v>1629</v>
      </c>
      <c r="F40" s="11">
        <v>29868</v>
      </c>
      <c r="G40" s="11">
        <v>10936</v>
      </c>
      <c r="H40" s="32">
        <f>_xlfn.XLOOKUP(Table1[[#This Row],[Shipment Number]], 'pivot '!A:A,'pivot '!G:G, "NF")</f>
        <v>-0.54603581777867305</v>
      </c>
      <c r="I40" s="32">
        <f>(Table1[[#This Row],[Tiyaar/gaz]]/1.0936)</f>
        <v>10000</v>
      </c>
      <c r="J40" s="32">
        <f>Table1[[#This Row],[tiyar/meters]] *10</f>
        <v>100000</v>
      </c>
      <c r="K40" s="29"/>
      <c r="R40"/>
      <c r="S40"/>
      <c r="T40"/>
      <c r="U40"/>
      <c r="V40"/>
      <c r="W40"/>
    </row>
    <row r="41" spans="1:23" hidden="1" x14ac:dyDescent="0.2">
      <c r="A41" s="28">
        <v>45877</v>
      </c>
      <c r="B41" s="29" t="s">
        <v>16</v>
      </c>
      <c r="C41" s="29">
        <v>692</v>
      </c>
      <c r="D41" s="29" t="s">
        <v>74</v>
      </c>
      <c r="E41" s="11">
        <v>1625</v>
      </c>
      <c r="F41" s="11">
        <v>82148</v>
      </c>
      <c r="G41" s="11">
        <v>4142</v>
      </c>
      <c r="H41" s="32">
        <f>_xlfn.XLOOKUP(Table1[[#This Row],[Shipment Number]], 'pivot '!A:A,'pivot '!G:G, "NF")</f>
        <v>1.0397188808936448</v>
      </c>
      <c r="I41" s="32">
        <f>(Table1[[#This Row],[Tiyaar/gaz]]/1.0936)</f>
        <v>3787.4908558888078</v>
      </c>
      <c r="J41" s="32">
        <f>Table1[[#This Row],[tiyar/meters]] *10.5</f>
        <v>39768.653986832483</v>
      </c>
      <c r="K41" s="29"/>
      <c r="R41"/>
      <c r="S41"/>
      <c r="T41"/>
      <c r="U41"/>
      <c r="V41"/>
      <c r="W41"/>
    </row>
    <row r="42" spans="1:23" x14ac:dyDescent="0.2">
      <c r="A42" s="28">
        <v>45878</v>
      </c>
      <c r="B42" s="29" t="s">
        <v>201</v>
      </c>
      <c r="C42" s="29">
        <v>693</v>
      </c>
      <c r="D42" s="29" t="s">
        <v>74</v>
      </c>
      <c r="E42" s="11">
        <v>1624</v>
      </c>
      <c r="F42" s="11">
        <v>30782</v>
      </c>
      <c r="G42" s="11">
        <v>25948</v>
      </c>
      <c r="H42" s="32">
        <f>_xlfn.XLOOKUP(Table1[[#This Row],[Shipment Number]], 'pivot '!A:A,'pivot '!G:G, "NF")</f>
        <v>2.0948552144568708</v>
      </c>
      <c r="I42" s="32">
        <f>(Table1[[#This Row],[Tiyaar/gaz]]/1.0936)</f>
        <v>23727.139722019023</v>
      </c>
      <c r="J42" s="32">
        <f>Table1[[#This Row],[tiyar/meters]] *10</f>
        <v>237271.39722019024</v>
      </c>
      <c r="K42" s="29"/>
      <c r="R42"/>
      <c r="S42"/>
      <c r="T42"/>
      <c r="U42"/>
      <c r="V42"/>
      <c r="W42"/>
    </row>
    <row r="43" spans="1:23" x14ac:dyDescent="0.2">
      <c r="A43" s="28">
        <v>45878</v>
      </c>
      <c r="B43" s="29" t="s">
        <v>201</v>
      </c>
      <c r="C43" s="29">
        <v>694</v>
      </c>
      <c r="D43" s="29" t="s">
        <v>74</v>
      </c>
      <c r="E43" s="11">
        <v>1629</v>
      </c>
      <c r="F43" s="11">
        <v>29868</v>
      </c>
      <c r="G43" s="11">
        <v>17437</v>
      </c>
      <c r="H43" s="32">
        <f>_xlfn.XLOOKUP(Table1[[#This Row],[Shipment Number]], 'pivot '!A:A,'pivot '!G:G, "NF")</f>
        <v>-0.54603581777867305</v>
      </c>
      <c r="I43" s="32">
        <f>(Table1[[#This Row],[Tiyaar/gaz]]/1.0936)</f>
        <v>15944.586686174105</v>
      </c>
      <c r="J43" s="32">
        <f>Table1[[#This Row],[tiyar/meters]] *10</f>
        <v>159445.86686174106</v>
      </c>
      <c r="K43" s="29"/>
      <c r="N43" s="3" t="s">
        <v>1</v>
      </c>
      <c r="O43" t="s">
        <v>73</v>
      </c>
      <c r="R43"/>
      <c r="S43"/>
      <c r="T43"/>
      <c r="U43"/>
      <c r="V43"/>
      <c r="W43"/>
    </row>
    <row r="44" spans="1:23" x14ac:dyDescent="0.2">
      <c r="A44" s="28">
        <v>45879</v>
      </c>
      <c r="B44" s="29" t="s">
        <v>201</v>
      </c>
      <c r="C44" s="29">
        <v>695</v>
      </c>
      <c r="D44" s="29" t="s">
        <v>74</v>
      </c>
      <c r="E44" s="11">
        <v>1631</v>
      </c>
      <c r="F44" s="11">
        <v>62156</v>
      </c>
      <c r="G44" s="11">
        <v>46107</v>
      </c>
      <c r="H44" s="32">
        <f>_xlfn.XLOOKUP(Table1[[#This Row],[Shipment Number]], 'pivot '!A:A,'pivot '!G:G, "NF")</f>
        <v>1.8298249777455311</v>
      </c>
      <c r="I44" s="32">
        <f>(Table1[[#This Row],[Tiyaar/gaz]]/1.0936)</f>
        <v>42160.753474762256</v>
      </c>
      <c r="J44" s="32">
        <f>Table1[[#This Row],[tiyar/meters]] *10</f>
        <v>421607.53474762256</v>
      </c>
      <c r="K44" s="29"/>
      <c r="N44" s="3" t="s">
        <v>21</v>
      </c>
      <c r="O44" t="s">
        <v>73</v>
      </c>
      <c r="R44"/>
      <c r="S44"/>
      <c r="T44"/>
      <c r="U44"/>
      <c r="V44"/>
      <c r="W44"/>
    </row>
    <row r="45" spans="1:23" hidden="1" x14ac:dyDescent="0.2">
      <c r="A45" s="28">
        <v>45879</v>
      </c>
      <c r="B45" s="29" t="s">
        <v>202</v>
      </c>
      <c r="C45" s="29">
        <v>696</v>
      </c>
      <c r="D45" s="29" t="s">
        <v>204</v>
      </c>
      <c r="E45" s="11">
        <v>1604</v>
      </c>
      <c r="F45" s="11">
        <v>24286</v>
      </c>
      <c r="G45" s="11">
        <v>23897</v>
      </c>
      <c r="H45" s="32">
        <f>_xlfn.XLOOKUP(Table1[[#This Row],[Shipment Number]], 'pivot '!A:A,'pivot '!G:G, "NF")</f>
        <v>10.023542302316557</v>
      </c>
      <c r="I45" s="32">
        <f>(Table1[[#This Row],[Tiyaar/gaz]]/1.0936)</f>
        <v>21851.682516459401</v>
      </c>
      <c r="J45" s="32">
        <f>Table1[[#This Row],[tiyar/meters]] *10</f>
        <v>218516.82516459402</v>
      </c>
      <c r="K45" s="29"/>
      <c r="N45" s="3" t="s">
        <v>68</v>
      </c>
      <c r="O45" t="s">
        <v>73</v>
      </c>
      <c r="R45"/>
      <c r="S45"/>
      <c r="T45"/>
      <c r="U45"/>
      <c r="V45"/>
      <c r="W45"/>
    </row>
    <row r="46" spans="1:23" hidden="1" x14ac:dyDescent="0.2">
      <c r="A46" s="28">
        <v>45881</v>
      </c>
      <c r="B46" s="29" t="s">
        <v>219</v>
      </c>
      <c r="C46" s="29">
        <v>697</v>
      </c>
      <c r="D46" s="29" t="s">
        <v>74</v>
      </c>
      <c r="E46" s="11">
        <v>1627</v>
      </c>
      <c r="F46" s="11">
        <v>20316</v>
      </c>
      <c r="G46" s="11">
        <v>19655</v>
      </c>
      <c r="H46" s="32">
        <f>_xlfn.XLOOKUP(Table1[[#This Row],[Shipment Number]], 'pivot '!A:A,'pivot '!G:G, "NF")</f>
        <v>1.8479854437416066</v>
      </c>
      <c r="I46" s="32">
        <f>(Table1[[#This Row],[Tiyaar/gaz]]/1.0936)</f>
        <v>17972.750548646673</v>
      </c>
      <c r="J46" s="32">
        <f>Table1[[#This Row],[tiyar/meters]] *10</f>
        <v>179727.50548646672</v>
      </c>
      <c r="K46" s="29"/>
      <c r="R46"/>
      <c r="S46"/>
      <c r="T46"/>
      <c r="U46"/>
      <c r="V46"/>
      <c r="W46"/>
    </row>
    <row r="47" spans="1:23" hidden="1" x14ac:dyDescent="0.2">
      <c r="A47" s="28">
        <v>45881</v>
      </c>
      <c r="B47" s="29" t="s">
        <v>17</v>
      </c>
      <c r="C47" s="29">
        <v>698</v>
      </c>
      <c r="D47" s="29" t="s">
        <v>74</v>
      </c>
      <c r="E47" s="11">
        <v>1615</v>
      </c>
      <c r="F47" s="11">
        <f>12933/1.0936</f>
        <v>11826.079005120704</v>
      </c>
      <c r="G47" s="11">
        <f>13044</f>
        <v>13044</v>
      </c>
      <c r="H47" s="32">
        <f>_xlfn.XLOOKUP(Table1[[#This Row],[Shipment Number]], 'pivot '!A:A,'pivot '!G:G, "NF")</f>
        <v>-0.85826954302945069</v>
      </c>
      <c r="I47" s="32">
        <f>(Table1[[#This Row],[Tiyaar/gaz]]/1.0936)</f>
        <v>11927.578639356256</v>
      </c>
      <c r="J47" s="32">
        <f>Table1[[#This Row],[tiyar/meters]] *10</f>
        <v>119275.78639356256</v>
      </c>
      <c r="K47" s="29"/>
      <c r="N47" s="3" t="s">
        <v>5</v>
      </c>
      <c r="O47" t="s">
        <v>76</v>
      </c>
      <c r="P47" t="s">
        <v>77</v>
      </c>
      <c r="Q47" t="s">
        <v>78</v>
      </c>
      <c r="R47"/>
      <c r="S47"/>
      <c r="T47"/>
      <c r="U47"/>
      <c r="V47"/>
      <c r="W47"/>
    </row>
    <row r="48" spans="1:23" hidden="1" x14ac:dyDescent="0.2">
      <c r="A48" s="28">
        <v>45881</v>
      </c>
      <c r="B48" s="29" t="s">
        <v>14</v>
      </c>
      <c r="C48" s="29">
        <v>699</v>
      </c>
      <c r="D48" s="29" t="s">
        <v>74</v>
      </c>
      <c r="E48" s="11">
        <v>1630</v>
      </c>
      <c r="F48" s="11">
        <v>33327</v>
      </c>
      <c r="G48" s="11">
        <v>20388</v>
      </c>
      <c r="H48" s="32">
        <f>_xlfn.XLOOKUP(Table1[[#This Row],[Shipment Number]], 'pivot '!A:A,'pivot '!G:G, "NF")</f>
        <v>2.360746274052488</v>
      </c>
      <c r="I48" s="32">
        <f>(Table1[[#This Row],[Tiyaar/gaz]]/1.0936)</f>
        <v>18643.013899049012</v>
      </c>
      <c r="J48" s="32">
        <f>Table1[[#This Row],[tiyar/meters]] *10</f>
        <v>186430.13899049012</v>
      </c>
      <c r="K48" s="29"/>
      <c r="N48" s="16">
        <v>653</v>
      </c>
      <c r="O48">
        <v>21904</v>
      </c>
      <c r="P48" s="33">
        <v>20029.261155815657</v>
      </c>
      <c r="Q48">
        <v>200292.61155815655</v>
      </c>
      <c r="R48"/>
      <c r="S48" s="3" t="s">
        <v>5</v>
      </c>
      <c r="T48" t="s">
        <v>77</v>
      </c>
      <c r="U48" t="s">
        <v>78</v>
      </c>
      <c r="V48"/>
      <c r="W48"/>
    </row>
    <row r="49" spans="1:23" hidden="1" x14ac:dyDescent="0.2">
      <c r="A49" s="28">
        <v>45881</v>
      </c>
      <c r="B49" s="29" t="s">
        <v>14</v>
      </c>
      <c r="C49" s="29">
        <v>700</v>
      </c>
      <c r="D49" s="29" t="s">
        <v>74</v>
      </c>
      <c r="E49" s="11">
        <v>1635</v>
      </c>
      <c r="F49" s="11">
        <v>35020</v>
      </c>
      <c r="G49" s="11">
        <v>9669</v>
      </c>
      <c r="H49" s="32">
        <f>_xlfn.XLOOKUP(Table1[[#This Row],[Shipment Number]], 'pivot '!A:A,'pivot '!G:G, "NF")</f>
        <v>0.4905546710271409</v>
      </c>
      <c r="I49" s="32">
        <f>(Table1[[#This Row],[Tiyaar/gaz]]/1.0936)</f>
        <v>8841.4411119239212</v>
      </c>
      <c r="J49" s="32">
        <f>Table1[[#This Row],[tiyar/meters]] *10</f>
        <v>88414.411119239216</v>
      </c>
      <c r="K49" s="29"/>
      <c r="N49" s="16">
        <v>654</v>
      </c>
      <c r="O49">
        <v>4318</v>
      </c>
      <c r="P49" s="33">
        <v>3948.4272128749089</v>
      </c>
      <c r="Q49">
        <v>39484.272128749086</v>
      </c>
      <c r="R49"/>
      <c r="S49" s="27">
        <v>45863</v>
      </c>
      <c r="T49" s="52">
        <v>41891.00219458669</v>
      </c>
      <c r="U49" s="14">
        <v>418910.02194586687</v>
      </c>
      <c r="V49"/>
      <c r="W49"/>
    </row>
    <row r="50" spans="1:23" hidden="1" x14ac:dyDescent="0.2">
      <c r="A50" s="28">
        <v>45882</v>
      </c>
      <c r="B50" s="29" t="s">
        <v>17</v>
      </c>
      <c r="C50" s="29">
        <v>701</v>
      </c>
      <c r="D50" s="29" t="s">
        <v>74</v>
      </c>
      <c r="E50" s="11">
        <v>1617</v>
      </c>
      <c r="F50" s="11">
        <v>21958</v>
      </c>
      <c r="G50" s="11">
        <v>6236</v>
      </c>
      <c r="H50" s="32">
        <f>_xlfn.XLOOKUP(Table1[[#This Row],[Shipment Number]], 'pivot '!A:A,'pivot '!G:G, "NF")</f>
        <v>1.5919065545961786</v>
      </c>
      <c r="I50" s="32">
        <f>(Table1[[#This Row],[Tiyaar/gaz]]/1.0936)</f>
        <v>5702.2677395757137</v>
      </c>
      <c r="J50" s="32">
        <f>Table1[[#This Row],[tiyar/meters]] *10</f>
        <v>57022.677395757135</v>
      </c>
      <c r="K50" s="29"/>
      <c r="N50" s="16">
        <v>655</v>
      </c>
      <c r="O50">
        <v>1826</v>
      </c>
      <c r="P50" s="33">
        <v>1669.7147037307975</v>
      </c>
      <c r="Q50">
        <v>16697.147037307976</v>
      </c>
      <c r="R50"/>
      <c r="S50" s="27">
        <v>45864</v>
      </c>
      <c r="T50" s="52">
        <v>46923.9209948793</v>
      </c>
      <c r="U50" s="14">
        <v>469239.20994879305</v>
      </c>
      <c r="V50"/>
      <c r="W50"/>
    </row>
    <row r="51" spans="1:23" hidden="1" x14ac:dyDescent="0.2">
      <c r="A51" s="28">
        <v>45882</v>
      </c>
      <c r="B51" s="29" t="s">
        <v>14</v>
      </c>
      <c r="C51" s="29">
        <v>702</v>
      </c>
      <c r="D51" s="29" t="s">
        <v>74</v>
      </c>
      <c r="E51" s="11">
        <v>1630</v>
      </c>
      <c r="F51" s="11">
        <v>33327</v>
      </c>
      <c r="G51" s="11">
        <v>15198</v>
      </c>
      <c r="H51" s="32">
        <f>_xlfn.XLOOKUP(Table1[[#This Row],[Shipment Number]], 'pivot '!A:A,'pivot '!G:G, "NF")</f>
        <v>2.360746274052488</v>
      </c>
      <c r="I51" s="32">
        <f>(Table1[[#This Row],[Tiyaar/gaz]]/1.0936)</f>
        <v>13897.220190197513</v>
      </c>
      <c r="J51" s="32">
        <f>Table1[[#This Row],[tiyar/meters]] *10</f>
        <v>138972.20190197515</v>
      </c>
      <c r="K51" s="29"/>
      <c r="N51" s="16">
        <v>656</v>
      </c>
      <c r="O51">
        <v>17764</v>
      </c>
      <c r="P51" s="33">
        <v>16243.599122165328</v>
      </c>
      <c r="Q51">
        <v>162435.99122165327</v>
      </c>
      <c r="R51"/>
      <c r="S51" s="27">
        <v>45866</v>
      </c>
      <c r="T51" s="52">
        <v>85268.836869056337</v>
      </c>
      <c r="U51" s="14">
        <v>852688.36869056337</v>
      </c>
      <c r="V51"/>
      <c r="W51"/>
    </row>
    <row r="52" spans="1:23" hidden="1" x14ac:dyDescent="0.2">
      <c r="A52" s="28">
        <v>45882</v>
      </c>
      <c r="B52" s="29" t="s">
        <v>14</v>
      </c>
      <c r="C52" s="29">
        <v>703</v>
      </c>
      <c r="D52" s="29" t="s">
        <v>74</v>
      </c>
      <c r="E52" s="11">
        <v>1635</v>
      </c>
      <c r="F52" s="11">
        <v>35020</v>
      </c>
      <c r="G52" s="11">
        <v>15213</v>
      </c>
      <c r="H52" s="32">
        <f>_xlfn.XLOOKUP(Table1[[#This Row],[Shipment Number]], 'pivot '!A:A,'pivot '!G:G, "NF")</f>
        <v>0.4905546710271409</v>
      </c>
      <c r="I52" s="32">
        <f>(Table1[[#This Row],[Tiyaar/gaz]]/1.0936)</f>
        <v>13910.936356986102</v>
      </c>
      <c r="J52" s="32">
        <f>Table1[[#This Row],[tiyar/meters]] *10</f>
        <v>139109.36356986102</v>
      </c>
      <c r="K52" s="29"/>
      <c r="N52" s="16">
        <v>657</v>
      </c>
      <c r="O52">
        <v>8057</v>
      </c>
      <c r="P52" s="33">
        <v>7367.4103877103153</v>
      </c>
      <c r="Q52">
        <v>73674.10387710316</v>
      </c>
      <c r="R52"/>
      <c r="S52" s="27">
        <v>45867</v>
      </c>
      <c r="T52" s="52">
        <v>46976.042428675937</v>
      </c>
      <c r="U52" s="14">
        <v>469760.42428675934</v>
      </c>
      <c r="V52"/>
      <c r="W52"/>
    </row>
    <row r="53" spans="1:23" x14ac:dyDescent="0.2">
      <c r="A53" s="28">
        <v>45882</v>
      </c>
      <c r="B53" s="29" t="s">
        <v>201</v>
      </c>
      <c r="C53" s="29">
        <v>704</v>
      </c>
      <c r="D53" s="29" t="s">
        <v>74</v>
      </c>
      <c r="E53" s="11">
        <v>1631</v>
      </c>
      <c r="F53" s="11">
        <v>62156</v>
      </c>
      <c r="G53" s="11">
        <v>2262</v>
      </c>
      <c r="H53" s="32">
        <f>_xlfn.XLOOKUP(Table1[[#This Row],[Shipment Number]], 'pivot '!A:A,'pivot '!G:G, "NF")</f>
        <v>1.8298249777455311</v>
      </c>
      <c r="I53" s="32">
        <f>(Table1[[#This Row],[Tiyaar/gaz]]/1.0936)</f>
        <v>2068.3979517190933</v>
      </c>
      <c r="J53" s="32">
        <f>Table1[[#This Row],[tiyar/meters]] *10</f>
        <v>20683.979517190932</v>
      </c>
      <c r="K53" s="29"/>
      <c r="N53" s="16">
        <v>658</v>
      </c>
      <c r="O53">
        <v>23975</v>
      </c>
      <c r="P53" s="33">
        <v>21923.00658376006</v>
      </c>
      <c r="Q53">
        <v>219230.06583760059</v>
      </c>
      <c r="R53"/>
      <c r="S53" s="27">
        <v>45869</v>
      </c>
      <c r="T53" s="52">
        <v>52847.4762253109</v>
      </c>
      <c r="U53" s="14">
        <v>528474.76225310902</v>
      </c>
      <c r="V53"/>
      <c r="W53"/>
    </row>
    <row r="54" spans="1:23" hidden="1" x14ac:dyDescent="0.2">
      <c r="A54" s="28">
        <v>45882</v>
      </c>
      <c r="B54" s="29" t="s">
        <v>219</v>
      </c>
      <c r="C54" s="29">
        <v>705</v>
      </c>
      <c r="D54" s="29" t="s">
        <v>74</v>
      </c>
      <c r="E54" s="11">
        <v>1627</v>
      </c>
      <c r="F54" s="11">
        <v>20316</v>
      </c>
      <c r="G54" s="11">
        <v>2152</v>
      </c>
      <c r="H54" s="32">
        <f>_xlfn.XLOOKUP(Table1[[#This Row],[Shipment Number]], 'pivot '!A:A,'pivot '!G:G, "NF")</f>
        <v>1.8479854437416066</v>
      </c>
      <c r="I54" s="32">
        <f>(Table1[[#This Row],[Tiyaar/gaz]]/1.0936)</f>
        <v>1967.81272860278</v>
      </c>
      <c r="J54" s="32">
        <f>Table1[[#This Row],[tiyar/meters]] *10</f>
        <v>19678.1272860278</v>
      </c>
      <c r="K54" s="29"/>
      <c r="N54" s="16">
        <v>659</v>
      </c>
      <c r="O54">
        <v>14312</v>
      </c>
      <c r="P54" s="33">
        <v>13087.051938551574</v>
      </c>
      <c r="Q54">
        <v>130870.51938551574</v>
      </c>
      <c r="R54"/>
      <c r="S54" s="27">
        <v>45871</v>
      </c>
      <c r="T54" s="52">
        <v>1861.7410387710315</v>
      </c>
      <c r="U54" s="14">
        <v>19548.280907095832</v>
      </c>
      <c r="V54"/>
      <c r="W54"/>
    </row>
    <row r="55" spans="1:23" x14ac:dyDescent="0.2">
      <c r="A55" s="28">
        <v>45882</v>
      </c>
      <c r="B55" s="29" t="s">
        <v>201</v>
      </c>
      <c r="C55" s="29">
        <v>706</v>
      </c>
      <c r="D55" s="29" t="s">
        <v>74</v>
      </c>
      <c r="E55" s="11">
        <v>1637</v>
      </c>
      <c r="F55" s="11">
        <v>35058</v>
      </c>
      <c r="G55" s="11">
        <v>36984</v>
      </c>
      <c r="H55" s="32">
        <f>_xlfn.XLOOKUP(Table1[[#This Row],[Shipment Number]], 'pivot '!A:A,'pivot '!G:G, "NF")</f>
        <v>3.535339055442563</v>
      </c>
      <c r="I55" s="32">
        <f>(Table1[[#This Row],[Tiyaar/gaz]]/1.0936)</f>
        <v>33818.580833942942</v>
      </c>
      <c r="J55" s="32">
        <f>Table1[[#This Row],[tiyar/meters]] *10</f>
        <v>338185.80833942944</v>
      </c>
      <c r="K55" s="29"/>
      <c r="N55" s="16">
        <v>660</v>
      </c>
      <c r="O55">
        <v>4972</v>
      </c>
      <c r="P55" s="33">
        <v>4546.452084857352</v>
      </c>
      <c r="Q55">
        <v>45464.52084857352</v>
      </c>
      <c r="R55"/>
      <c r="S55" s="27">
        <v>45873</v>
      </c>
      <c r="T55" s="52">
        <v>125202.99926847112</v>
      </c>
      <c r="U55" s="14">
        <v>1252029.9926847112</v>
      </c>
      <c r="V55"/>
      <c r="W55"/>
    </row>
    <row r="56" spans="1:23" hidden="1" x14ac:dyDescent="0.2">
      <c r="A56" s="28">
        <v>45884</v>
      </c>
      <c r="B56" s="29" t="s">
        <v>17</v>
      </c>
      <c r="C56" s="29">
        <v>707</v>
      </c>
      <c r="D56" s="29" t="s">
        <v>74</v>
      </c>
      <c r="E56" s="11">
        <v>1617</v>
      </c>
      <c r="F56" s="11">
        <v>21958</v>
      </c>
      <c r="G56" s="11">
        <v>17395</v>
      </c>
      <c r="H56" s="32">
        <f>_xlfn.XLOOKUP(Table1[[#This Row],[Shipment Number]], 'pivot '!A:A,'pivot '!G:G, "NF")</f>
        <v>1.5919065545961786</v>
      </c>
      <c r="I56" s="32">
        <f>(Table1[[#This Row],[Tiyaar/gaz]]/1.0936)</f>
        <v>15906.181419166058</v>
      </c>
      <c r="J56" s="32">
        <f>Table1[[#This Row],[tiyar/meters]] *10</f>
        <v>159061.81419166058</v>
      </c>
      <c r="K56" s="29"/>
      <c r="N56" s="16">
        <v>661</v>
      </c>
      <c r="O56">
        <v>13290</v>
      </c>
      <c r="P56" s="33">
        <v>12152.523774689102</v>
      </c>
      <c r="Q56">
        <v>121525.23774689101</v>
      </c>
      <c r="R56"/>
      <c r="S56" s="27">
        <v>45874</v>
      </c>
      <c r="T56" s="52">
        <v>85522.128749085619</v>
      </c>
      <c r="U56" s="14">
        <v>855221.28749085602</v>
      </c>
      <c r="V56"/>
      <c r="W56"/>
    </row>
    <row r="57" spans="1:23" x14ac:dyDescent="0.2">
      <c r="A57" s="28">
        <v>45884</v>
      </c>
      <c r="B57" s="29" t="s">
        <v>201</v>
      </c>
      <c r="C57" s="29">
        <v>708</v>
      </c>
      <c r="D57" s="29" t="s">
        <v>74</v>
      </c>
      <c r="E57" s="11">
        <v>1629</v>
      </c>
      <c r="F57" s="11">
        <v>29868</v>
      </c>
      <c r="G57" s="11">
        <v>4469</v>
      </c>
      <c r="H57" s="32">
        <f>_xlfn.XLOOKUP(Table1[[#This Row],[Shipment Number]], 'pivot '!A:A,'pivot '!G:G, "NF")</f>
        <v>-0.54603581777867305</v>
      </c>
      <c r="I57" s="32">
        <f>(Table1[[#This Row],[Tiyaar/gaz]]/1.0936)</f>
        <v>4086.5032918800298</v>
      </c>
      <c r="J57" s="32">
        <f>Table1[[#This Row],[tiyar/meters]] *10</f>
        <v>40865.032918800294</v>
      </c>
      <c r="K57" s="29"/>
      <c r="N57" s="16">
        <v>662</v>
      </c>
      <c r="O57">
        <v>39944</v>
      </c>
      <c r="P57" s="33">
        <v>36525.237746891005</v>
      </c>
      <c r="Q57">
        <v>365252.37746891007</v>
      </c>
      <c r="R57"/>
      <c r="S57" s="27">
        <v>45875</v>
      </c>
      <c r="T57" s="52">
        <v>22054.681784930508</v>
      </c>
      <c r="U57" s="14">
        <v>261698.97585954648</v>
      </c>
      <c r="V57"/>
      <c r="W57"/>
    </row>
    <row r="58" spans="1:23" x14ac:dyDescent="0.2">
      <c r="A58" s="28">
        <v>45884</v>
      </c>
      <c r="B58" s="29" t="s">
        <v>201</v>
      </c>
      <c r="C58" s="29">
        <v>709</v>
      </c>
      <c r="D58" s="29" t="s">
        <v>74</v>
      </c>
      <c r="E58" s="11">
        <v>1624</v>
      </c>
      <c r="F58" s="11">
        <v>30782</v>
      </c>
      <c r="G58" s="11">
        <v>2450</v>
      </c>
      <c r="H58" s="32">
        <f>_xlfn.XLOOKUP(Table1[[#This Row],[Shipment Number]], 'pivot '!A:A,'pivot '!G:G, "NF")</f>
        <v>2.0948552144568708</v>
      </c>
      <c r="I58" s="32">
        <f>(Table1[[#This Row],[Tiyaar/gaz]]/1.0936)</f>
        <v>2240.3072421360644</v>
      </c>
      <c r="J58" s="32">
        <f>Table1[[#This Row],[tiyar/meters]] *10</f>
        <v>22403.072421360645</v>
      </c>
      <c r="K58" s="29"/>
      <c r="N58" s="16">
        <v>663</v>
      </c>
      <c r="O58">
        <v>33270</v>
      </c>
      <c r="P58" s="33">
        <v>30422.457937088519</v>
      </c>
      <c r="Q58">
        <v>304224.57937088516</v>
      </c>
      <c r="R58"/>
      <c r="S58" s="27">
        <v>45877</v>
      </c>
      <c r="T58" s="52">
        <v>89322.421360643755</v>
      </c>
      <c r="U58" s="14">
        <v>932885.42428675934</v>
      </c>
    </row>
    <row r="59" spans="1:23" x14ac:dyDescent="0.2">
      <c r="A59" s="28">
        <v>45885</v>
      </c>
      <c r="B59" s="29" t="s">
        <v>201</v>
      </c>
      <c r="C59" s="29">
        <v>710</v>
      </c>
      <c r="D59" s="29" t="s">
        <v>74</v>
      </c>
      <c r="E59" s="11">
        <v>1631</v>
      </c>
      <c r="F59" s="11">
        <v>62156</v>
      </c>
      <c r="G59" s="11">
        <v>18361</v>
      </c>
      <c r="H59" s="32">
        <f>_xlfn.XLOOKUP(Table1[[#This Row],[Shipment Number]], 'pivot '!A:A,'pivot '!G:G, "NF")</f>
        <v>1.8298249777455311</v>
      </c>
      <c r="I59" s="32">
        <f>(Table1[[#This Row],[Tiyaar/gaz]]/1.0936)</f>
        <v>16789.502560351135</v>
      </c>
      <c r="J59" s="32">
        <f>Table1[[#This Row],[tiyar/meters]] *10</f>
        <v>167895.02560351134</v>
      </c>
      <c r="K59" s="29"/>
      <c r="N59" s="16">
        <v>664</v>
      </c>
      <c r="O59">
        <v>6746</v>
      </c>
      <c r="P59" s="33">
        <v>6168.6174103877111</v>
      </c>
      <c r="Q59">
        <v>61686.174103877114</v>
      </c>
      <c r="R59"/>
      <c r="S59" s="27">
        <v>45878</v>
      </c>
      <c r="T59" s="52">
        <v>39671.726408193128</v>
      </c>
      <c r="U59" s="14">
        <v>396717.26408193132</v>
      </c>
    </row>
    <row r="60" spans="1:23" x14ac:dyDescent="0.2">
      <c r="A60" s="28">
        <v>45885</v>
      </c>
      <c r="B60" s="29" t="s">
        <v>201</v>
      </c>
      <c r="C60" s="29">
        <v>711</v>
      </c>
      <c r="D60" s="29" t="s">
        <v>74</v>
      </c>
      <c r="E60" s="11">
        <v>1642</v>
      </c>
      <c r="F60" s="11">
        <f>25093-1608</f>
        <v>23485</v>
      </c>
      <c r="G60" s="11">
        <v>17044</v>
      </c>
      <c r="H60" s="32">
        <f>_xlfn.XLOOKUP(Table1[[#This Row],[Shipment Number]], 'pivot '!A:A,'pivot '!G:G, "NF")</f>
        <v>0.45242032961940026</v>
      </c>
      <c r="I60" s="32">
        <f>(Table1[[#This Row],[Tiyaar/gaz]]/1.0936)</f>
        <v>15585.223116313096</v>
      </c>
      <c r="J60" s="32">
        <f>Table1[[#This Row],[tiyar/meters]] *10</f>
        <v>155852.23116313096</v>
      </c>
      <c r="K60" s="29"/>
      <c r="L60"/>
      <c r="M60"/>
      <c r="N60" s="16">
        <v>665</v>
      </c>
      <c r="O60">
        <v>51373</v>
      </c>
      <c r="P60" s="33">
        <v>46976.042428675937</v>
      </c>
      <c r="Q60">
        <v>469760.42428675934</v>
      </c>
      <c r="R60"/>
      <c r="S60" s="27">
        <v>45879</v>
      </c>
      <c r="T60" s="52">
        <v>64012.435991221661</v>
      </c>
      <c r="U60" s="14">
        <v>640124.35991221655</v>
      </c>
    </row>
    <row r="61" spans="1:23" hidden="1" x14ac:dyDescent="0.2">
      <c r="A61" s="28">
        <v>45885</v>
      </c>
      <c r="B61" s="29" t="s">
        <v>12</v>
      </c>
      <c r="C61" s="29">
        <v>712</v>
      </c>
      <c r="D61" s="29" t="s">
        <v>74</v>
      </c>
      <c r="E61" s="11">
        <v>1613</v>
      </c>
      <c r="F61" s="98">
        <v>28459</v>
      </c>
      <c r="G61" s="11">
        <v>10001</v>
      </c>
      <c r="H61" s="32">
        <f>_xlfn.XLOOKUP(Table1[[#This Row],[Shipment Number]], 'pivot '!A:A,'pivot '!G:G, "NF")</f>
        <v>1.9913476574945577</v>
      </c>
      <c r="I61" s="32">
        <f>(Table1[[#This Row],[Tiyaar/gaz]]/1.0936)</f>
        <v>9145.0256035113398</v>
      </c>
      <c r="J61" s="32">
        <f>Table1[[#This Row],[tiyar/meters]] *10</f>
        <v>91450.256035113402</v>
      </c>
      <c r="K61" s="29"/>
      <c r="L61"/>
      <c r="M61"/>
      <c r="N61" s="16">
        <v>666</v>
      </c>
      <c r="O61">
        <v>6925</v>
      </c>
      <c r="P61" s="33"/>
      <c r="Q61">
        <v>0</v>
      </c>
      <c r="S61" s="27">
        <v>45881</v>
      </c>
      <c r="T61" s="52">
        <v>57384.78419897586</v>
      </c>
      <c r="U61" s="14">
        <v>573847.84198975854</v>
      </c>
    </row>
    <row r="62" spans="1:23" hidden="1" x14ac:dyDescent="0.2">
      <c r="A62" s="28">
        <v>45885</v>
      </c>
      <c r="B62" s="29" t="s">
        <v>12</v>
      </c>
      <c r="C62" s="29">
        <v>713</v>
      </c>
      <c r="D62" s="29" t="s">
        <v>74</v>
      </c>
      <c r="E62" s="11">
        <v>1613</v>
      </c>
      <c r="F62" s="11">
        <v>28459</v>
      </c>
      <c r="G62" s="11">
        <v>20502</v>
      </c>
      <c r="H62" s="32">
        <f>_xlfn.XLOOKUP(Table1[[#This Row],[Shipment Number]], 'pivot '!A:A,'pivot '!G:G, "NF")</f>
        <v>1.9913476574945577</v>
      </c>
      <c r="I62" s="32">
        <f>(Table1[[#This Row],[Tiyaar/gaz]]/1.0936)</f>
        <v>18747.256766642284</v>
      </c>
      <c r="J62" s="32">
        <f>Table1[[#This Row],[tiyar/meters]] *10</f>
        <v>187472.56766642284</v>
      </c>
      <c r="K62" s="29"/>
      <c r="L62"/>
      <c r="M62"/>
      <c r="N62" s="16">
        <v>667</v>
      </c>
      <c r="O62">
        <v>29944</v>
      </c>
      <c r="P62" s="33">
        <v>27381.126554498904</v>
      </c>
      <c r="Q62">
        <v>273811.26554498903</v>
      </c>
      <c r="S62" s="27">
        <v>45882</v>
      </c>
      <c r="T62" s="52">
        <v>71365.21580102414</v>
      </c>
      <c r="U62" s="14">
        <v>713652.15801024158</v>
      </c>
    </row>
    <row r="63" spans="1:23" hidden="1" x14ac:dyDescent="0.2">
      <c r="A63" s="28">
        <v>45885</v>
      </c>
      <c r="B63" s="29" t="s">
        <v>14</v>
      </c>
      <c r="C63" s="29">
        <v>714</v>
      </c>
      <c r="D63" s="29" t="s">
        <v>74</v>
      </c>
      <c r="E63" s="11">
        <v>1635</v>
      </c>
      <c r="F63" s="11">
        <v>35020</v>
      </c>
      <c r="G63" s="11">
        <v>5324</v>
      </c>
      <c r="H63" s="32">
        <f>_xlfn.XLOOKUP(Table1[[#This Row],[Shipment Number]], 'pivot '!A:A,'pivot '!G:G, "NF")</f>
        <v>0.4905546710271409</v>
      </c>
      <c r="I63" s="32">
        <f>(Table1[[#This Row],[Tiyaar/gaz]]/1.0936)</f>
        <v>4868.3247988295543</v>
      </c>
      <c r="J63" s="32">
        <f>Table1[[#This Row],[tiyar/meters]] *10</f>
        <v>48683.247988295545</v>
      </c>
      <c r="K63" s="29"/>
      <c r="L63"/>
      <c r="M63"/>
      <c r="N63" s="16">
        <v>668</v>
      </c>
      <c r="O63">
        <v>15774</v>
      </c>
      <c r="P63" s="33">
        <v>14423.9209948793</v>
      </c>
      <c r="Q63">
        <v>144239.209948793</v>
      </c>
      <c r="S63" s="27">
        <v>45884</v>
      </c>
      <c r="T63" s="52">
        <v>22232.991953182151</v>
      </c>
      <c r="U63" s="14">
        <v>222329.91953182151</v>
      </c>
    </row>
    <row r="64" spans="1:23" hidden="1" x14ac:dyDescent="0.2">
      <c r="A64" s="28">
        <v>45885</v>
      </c>
      <c r="B64" s="29" t="s">
        <v>17</v>
      </c>
      <c r="C64" s="29">
        <v>715</v>
      </c>
      <c r="D64" s="29" t="s">
        <v>74</v>
      </c>
      <c r="E64" s="11">
        <v>1634</v>
      </c>
      <c r="F64" s="11">
        <v>18531</v>
      </c>
      <c r="G64" s="11">
        <v>19961</v>
      </c>
      <c r="H64" s="32">
        <f>_xlfn.XLOOKUP(Table1[[#This Row],[Shipment Number]], 'pivot '!A:A,'pivot '!G:G, "NF")</f>
        <v>1.5025613775086555</v>
      </c>
      <c r="I64" s="32">
        <f>(Table1[[#This Row],[Tiyaar/gaz]]/1.0936)</f>
        <v>18252.56035113387</v>
      </c>
      <c r="J64" s="32">
        <f>Table1[[#This Row],[tiyar/meters]] *10</f>
        <v>182525.6035113387</v>
      </c>
      <c r="K64" s="29"/>
      <c r="L64"/>
      <c r="M64"/>
      <c r="N64" s="16">
        <v>669</v>
      </c>
      <c r="O64">
        <v>12076</v>
      </c>
      <c r="P64" s="33">
        <v>11042.428675932701</v>
      </c>
      <c r="Q64">
        <v>110424.28675932701</v>
      </c>
      <c r="S64" s="27">
        <v>45885</v>
      </c>
      <c r="T64" s="52">
        <v>120331.01682516461</v>
      </c>
      <c r="U64" s="14">
        <v>1203310.168251646</v>
      </c>
    </row>
    <row r="65" spans="1:21" hidden="1" x14ac:dyDescent="0.2">
      <c r="A65" s="28">
        <v>45885</v>
      </c>
      <c r="B65" s="29" t="s">
        <v>14</v>
      </c>
      <c r="C65" s="29">
        <v>717</v>
      </c>
      <c r="D65" s="29" t="s">
        <v>74</v>
      </c>
      <c r="E65" s="11">
        <v>1645</v>
      </c>
      <c r="F65" s="11">
        <v>8547</v>
      </c>
      <c r="G65" s="11">
        <v>9238</v>
      </c>
      <c r="H65" s="32">
        <f>_xlfn.XLOOKUP(Table1[[#This Row],[Shipment Number]], 'pivot '!A:A,'pivot '!G:G, "NF")</f>
        <v>1.1661411076187846</v>
      </c>
      <c r="I65" s="32">
        <f>(Table1[[#This Row],[Tiyaar/gaz]]/1.0936)</f>
        <v>8447.3299195318214</v>
      </c>
      <c r="J65" s="32">
        <f>Table1[[#This Row],[tiyar/meters]] *10</f>
        <v>84473.299195318221</v>
      </c>
      <c r="K65" s="29"/>
      <c r="L65"/>
      <c r="M65"/>
      <c r="N65" s="16">
        <v>670</v>
      </c>
      <c r="O65">
        <v>2036</v>
      </c>
      <c r="P65" s="33">
        <v>1861.7410387710315</v>
      </c>
      <c r="Q65">
        <v>19548.280907095832</v>
      </c>
      <c r="S65" s="27" t="s">
        <v>18</v>
      </c>
      <c r="T65" s="52">
        <v>972869.42209217278</v>
      </c>
      <c r="U65" s="14">
        <v>9810438.4601316769</v>
      </c>
    </row>
    <row r="66" spans="1:21" hidden="1" x14ac:dyDescent="0.2">
      <c r="A66" s="28">
        <v>45885</v>
      </c>
      <c r="B66" s="29" t="s">
        <v>14</v>
      </c>
      <c r="C66" s="29">
        <v>718</v>
      </c>
      <c r="D66" s="29" t="s">
        <v>74</v>
      </c>
      <c r="E66" s="11">
        <v>1635</v>
      </c>
      <c r="F66" s="11">
        <v>35020</v>
      </c>
      <c r="G66" s="11">
        <v>7904</v>
      </c>
      <c r="H66" s="32">
        <f>_xlfn.XLOOKUP(Table1[[#This Row],[Shipment Number]], 'pivot '!A:A,'pivot '!G:G, "NF")</f>
        <v>0.4905546710271409</v>
      </c>
      <c r="I66" s="32">
        <f>(Table1[[#This Row],[Tiyaar/gaz]]/1.0936)</f>
        <v>7227.5054864667163</v>
      </c>
      <c r="J66" s="32">
        <f>Table1[[#This Row],[tiyar/meters]] *10</f>
        <v>72275.054864667167</v>
      </c>
      <c r="K66" s="29"/>
      <c r="L66"/>
      <c r="M66"/>
      <c r="N66" s="16">
        <v>699</v>
      </c>
      <c r="O66">
        <v>20388</v>
      </c>
      <c r="P66" s="33">
        <v>18643.013899049012</v>
      </c>
      <c r="Q66">
        <v>186430.13899049012</v>
      </c>
      <c r="S66"/>
      <c r="T66"/>
      <c r="U66"/>
    </row>
    <row r="67" spans="1:21" hidden="1" x14ac:dyDescent="0.2">
      <c r="A67" s="28">
        <v>45885</v>
      </c>
      <c r="B67" s="29" t="s">
        <v>14</v>
      </c>
      <c r="C67" s="29">
        <v>719</v>
      </c>
      <c r="D67" s="29" t="s">
        <v>74</v>
      </c>
      <c r="E67" s="11">
        <v>1642</v>
      </c>
      <c r="F67" s="11">
        <f>25093-1608</f>
        <v>23485</v>
      </c>
      <c r="G67" s="11">
        <v>8523</v>
      </c>
      <c r="H67" s="32">
        <f>_xlfn.XLOOKUP(Table1[[#This Row],[Shipment Number]], 'pivot '!A:A,'pivot '!G:G, "NF")</f>
        <v>0.45242032961940026</v>
      </c>
      <c r="I67" s="32">
        <f>(Table1[[#This Row],[Tiyaar/gaz]]/1.0936)</f>
        <v>7793.5259692757872</v>
      </c>
      <c r="J67" s="32">
        <f>Table1[[#This Row],[tiyar/meters]] *10</f>
        <v>77935.259692757871</v>
      </c>
      <c r="K67" s="29"/>
      <c r="L67"/>
      <c r="M67"/>
      <c r="N67" s="16">
        <v>671</v>
      </c>
      <c r="O67">
        <v>32201</v>
      </c>
      <c r="P67" s="33">
        <v>29444.9524506218</v>
      </c>
      <c r="Q67">
        <v>294449.52450621803</v>
      </c>
      <c r="S67"/>
      <c r="T67"/>
      <c r="U67"/>
    </row>
    <row r="68" spans="1:21" hidden="1" x14ac:dyDescent="0.2">
      <c r="A68" s="28">
        <v>45885</v>
      </c>
      <c r="B68" s="29" t="s">
        <v>17</v>
      </c>
      <c r="C68" s="29">
        <v>720</v>
      </c>
      <c r="D68" s="29" t="s">
        <v>74</v>
      </c>
      <c r="E68" s="11">
        <v>1638</v>
      </c>
      <c r="F68" s="11">
        <v>13542</v>
      </c>
      <c r="G68" s="11">
        <v>14736</v>
      </c>
      <c r="H68" s="32">
        <f>_xlfn.XLOOKUP(Table1[[#This Row],[Shipment Number]], 'pivot '!A:A,'pivot '!G:G, "NF")</f>
        <v>0.4965126782676208</v>
      </c>
      <c r="I68" s="32">
        <f>(Table1[[#This Row],[Tiyaar/gaz]]/1.0936)</f>
        <v>13474.762253108998</v>
      </c>
      <c r="J68" s="32">
        <f>Table1[[#This Row],[tiyar/meters]] *10</f>
        <v>134747.62253108999</v>
      </c>
      <c r="K68" s="29"/>
      <c r="L68"/>
      <c r="M68"/>
      <c r="N68" s="16">
        <v>672</v>
      </c>
      <c r="O68">
        <v>37023</v>
      </c>
      <c r="P68" s="33">
        <v>33854.242867593275</v>
      </c>
      <c r="Q68">
        <v>338542.42867593275</v>
      </c>
    </row>
    <row r="69" spans="1:21" hidden="1" x14ac:dyDescent="0.2">
      <c r="A69" s="28">
        <v>45885</v>
      </c>
      <c r="B69" s="29"/>
      <c r="C69" s="29"/>
      <c r="D69" s="29"/>
      <c r="E69" s="11"/>
      <c r="F69" s="11"/>
      <c r="G69" s="11"/>
      <c r="H69" s="32" t="e">
        <f>_xlfn.XLOOKUP(Table1[[#This Row],[Shipment Number]], 'pivot '!A:A,'pivot '!G:G, "NF")</f>
        <v>#DIV/0!</v>
      </c>
      <c r="I69" s="32">
        <f>(Table1[[#This Row],[Tiyaar/gaz]]/1.0936)</f>
        <v>0</v>
      </c>
      <c r="J69" s="32">
        <f>Table1[[#This Row],[tiyar/meters]] *10</f>
        <v>0</v>
      </c>
      <c r="K69" s="29"/>
      <c r="L69"/>
      <c r="M69"/>
      <c r="N69" s="16">
        <v>673</v>
      </c>
      <c r="O69">
        <v>8574</v>
      </c>
      <c r="P69" s="33">
        <v>7840.1609363569869</v>
      </c>
      <c r="Q69">
        <v>78401.609363569863</v>
      </c>
    </row>
    <row r="70" spans="1:21" x14ac:dyDescent="0.2">
      <c r="A70"/>
      <c r="B70"/>
      <c r="C70"/>
      <c r="D70"/>
      <c r="E70" s="14"/>
      <c r="F70" s="14"/>
      <c r="G70" s="14"/>
      <c r="H70" s="52"/>
      <c r="I70" s="52">
        <f>SUBTOTAL(109,Table1[tiyar/meters])</f>
        <v>156420.99487929777</v>
      </c>
      <c r="J70" s="52">
        <f>SUBTOTAL(109,Table1[billing])</f>
        <v>1564209.9487929777</v>
      </c>
      <c r="K70">
        <f>SUM(Table1[billing])</f>
        <v>9810438.4601316731</v>
      </c>
      <c r="L70"/>
      <c r="M70"/>
      <c r="N70" s="16">
        <v>674</v>
      </c>
      <c r="O70">
        <v>16753</v>
      </c>
      <c r="P70" s="33">
        <v>15319.129480614485</v>
      </c>
      <c r="Q70">
        <v>153191.29480614484</v>
      </c>
    </row>
    <row r="71" spans="1:21" x14ac:dyDescent="0.2">
      <c r="L71"/>
      <c r="M71"/>
      <c r="N71" s="16">
        <v>675</v>
      </c>
      <c r="O71">
        <v>17672</v>
      </c>
      <c r="P71" s="33">
        <v>16159.473299195319</v>
      </c>
      <c r="Q71">
        <v>161594.73299195318</v>
      </c>
    </row>
    <row r="72" spans="1:21" x14ac:dyDescent="0.2">
      <c r="L72"/>
      <c r="M72"/>
      <c r="N72" s="16">
        <v>676</v>
      </c>
      <c r="O72">
        <v>24699</v>
      </c>
      <c r="P72" s="33">
        <v>22585.040234089247</v>
      </c>
      <c r="Q72">
        <v>225850.40234089247</v>
      </c>
    </row>
    <row r="73" spans="1:21" x14ac:dyDescent="0.2">
      <c r="L73"/>
      <c r="M73"/>
      <c r="N73" s="16">
        <v>688</v>
      </c>
      <c r="O73">
        <v>5958</v>
      </c>
      <c r="P73" s="33">
        <v>5448.0614484272137</v>
      </c>
      <c r="Q73">
        <v>65376.737381126564</v>
      </c>
    </row>
    <row r="74" spans="1:21" x14ac:dyDescent="0.2">
      <c r="L74"/>
      <c r="M74"/>
      <c r="N74" s="16">
        <v>677</v>
      </c>
      <c r="O74">
        <v>19789</v>
      </c>
      <c r="P74" s="33">
        <v>18095.281638624729</v>
      </c>
      <c r="Q74">
        <v>180952.81638624729</v>
      </c>
    </row>
    <row r="75" spans="1:21" x14ac:dyDescent="0.2">
      <c r="L75"/>
      <c r="M75"/>
      <c r="N75" s="16">
        <v>678</v>
      </c>
      <c r="O75">
        <v>21841</v>
      </c>
      <c r="P75" s="33">
        <v>19971.653255303587</v>
      </c>
      <c r="Q75">
        <v>199716.53255303588</v>
      </c>
    </row>
    <row r="76" spans="1:21" x14ac:dyDescent="0.2">
      <c r="L76"/>
      <c r="M76"/>
      <c r="N76" s="16">
        <v>679</v>
      </c>
      <c r="O76">
        <v>12836</v>
      </c>
      <c r="P76" s="33">
        <v>11737.381126554499</v>
      </c>
      <c r="Q76">
        <v>117373.81126554499</v>
      </c>
    </row>
    <row r="77" spans="1:21" x14ac:dyDescent="0.2">
      <c r="L77"/>
      <c r="M77"/>
      <c r="N77" s="16">
        <v>680</v>
      </c>
      <c r="O77">
        <v>7252</v>
      </c>
      <c r="P77" s="33">
        <v>6631.3094367227513</v>
      </c>
      <c r="Q77">
        <v>66313.094367227517</v>
      </c>
    </row>
    <row r="78" spans="1:21" x14ac:dyDescent="0.2">
      <c r="L78"/>
      <c r="M78"/>
      <c r="N78" s="16">
        <v>681</v>
      </c>
      <c r="O78">
        <v>10359</v>
      </c>
      <c r="P78" s="33">
        <v>9472.3847841989773</v>
      </c>
      <c r="Q78">
        <v>94723.847841989773</v>
      </c>
    </row>
    <row r="79" spans="1:21" x14ac:dyDescent="0.2">
      <c r="L79"/>
      <c r="M79"/>
      <c r="N79" s="16">
        <v>682</v>
      </c>
      <c r="O79">
        <v>16890</v>
      </c>
      <c r="P79" s="33">
        <v>15444.403803950257</v>
      </c>
      <c r="Q79">
        <v>154444.03803950257</v>
      </c>
    </row>
    <row r="80" spans="1:21" x14ac:dyDescent="0.2">
      <c r="K80"/>
      <c r="L80"/>
      <c r="M80"/>
      <c r="N80" s="16">
        <v>683</v>
      </c>
      <c r="O80">
        <v>4560</v>
      </c>
      <c r="P80" s="33">
        <v>4169.7147037307977</v>
      </c>
      <c r="Q80">
        <v>41697.147037307979</v>
      </c>
    </row>
    <row r="81" spans="11:17" x14ac:dyDescent="0.2">
      <c r="K81"/>
      <c r="L81"/>
      <c r="M81"/>
      <c r="N81" s="16">
        <v>684</v>
      </c>
      <c r="O81">
        <v>2156</v>
      </c>
      <c r="P81" s="33">
        <v>1971.4703730797369</v>
      </c>
      <c r="Q81">
        <v>20700.438917337236</v>
      </c>
    </row>
    <row r="82" spans="11:17" x14ac:dyDescent="0.2">
      <c r="K82"/>
      <c r="L82"/>
      <c r="M82"/>
      <c r="N82" s="16">
        <v>685</v>
      </c>
      <c r="O82">
        <v>7260</v>
      </c>
      <c r="P82" s="33">
        <v>6638.6247256766646</v>
      </c>
      <c r="Q82">
        <v>79663.496708119972</v>
      </c>
    </row>
    <row r="83" spans="11:17" x14ac:dyDescent="0.2">
      <c r="K83"/>
      <c r="L83"/>
      <c r="M83"/>
      <c r="N83" s="16">
        <v>686</v>
      </c>
      <c r="O83">
        <v>6915</v>
      </c>
      <c r="P83" s="33">
        <v>6323.1528895391375</v>
      </c>
      <c r="Q83">
        <v>75877.834674469646</v>
      </c>
    </row>
    <row r="84" spans="11:17" x14ac:dyDescent="0.2">
      <c r="K84"/>
      <c r="L84"/>
      <c r="M84"/>
      <c r="N84" s="16">
        <v>687</v>
      </c>
      <c r="O84">
        <v>1830</v>
      </c>
      <c r="P84" s="33">
        <v>1673.3723482077544</v>
      </c>
      <c r="Q84">
        <v>20080.468178493051</v>
      </c>
    </row>
    <row r="85" spans="11:17" x14ac:dyDescent="0.2">
      <c r="K85"/>
      <c r="L85"/>
      <c r="M85"/>
      <c r="N85" s="16">
        <v>689</v>
      </c>
      <c r="O85">
        <v>44803</v>
      </c>
      <c r="P85" s="33">
        <v>40968.361375274326</v>
      </c>
      <c r="Q85">
        <v>430167.79444038041</v>
      </c>
    </row>
    <row r="86" spans="11:17" x14ac:dyDescent="0.2">
      <c r="K86"/>
      <c r="L86"/>
      <c r="M86"/>
      <c r="N86" s="16">
        <v>690</v>
      </c>
      <c r="O86">
        <v>37802</v>
      </c>
      <c r="P86" s="33">
        <v>34566.569129480617</v>
      </c>
      <c r="Q86">
        <v>362948.97585954645</v>
      </c>
    </row>
    <row r="87" spans="11:17" x14ac:dyDescent="0.2">
      <c r="K87"/>
      <c r="L87"/>
      <c r="M87"/>
      <c r="N87" s="16">
        <v>691</v>
      </c>
      <c r="O87">
        <v>10936</v>
      </c>
      <c r="P87" s="33">
        <v>10000</v>
      </c>
      <c r="Q87">
        <v>100000</v>
      </c>
    </row>
    <row r="88" spans="11:17" x14ac:dyDescent="0.2">
      <c r="K88"/>
      <c r="L88"/>
      <c r="M88"/>
      <c r="N88" s="16">
        <v>692</v>
      </c>
      <c r="O88">
        <v>4142</v>
      </c>
      <c r="P88" s="33">
        <v>3787.4908558888078</v>
      </c>
      <c r="Q88">
        <v>39768.653986832483</v>
      </c>
    </row>
    <row r="89" spans="11:17" x14ac:dyDescent="0.2">
      <c r="K89"/>
      <c r="L89"/>
      <c r="M89"/>
      <c r="N89" s="16">
        <v>693</v>
      </c>
      <c r="O89">
        <v>25948</v>
      </c>
      <c r="P89" s="33">
        <v>23727.139722019023</v>
      </c>
      <c r="Q89">
        <v>237271.39722019024</v>
      </c>
    </row>
    <row r="90" spans="11:17" x14ac:dyDescent="0.2">
      <c r="K90"/>
      <c r="L90"/>
      <c r="M90"/>
      <c r="N90" s="16">
        <v>694</v>
      </c>
      <c r="O90">
        <v>17437</v>
      </c>
      <c r="P90" s="33">
        <v>15944.586686174105</v>
      </c>
      <c r="Q90">
        <v>159445.86686174106</v>
      </c>
    </row>
    <row r="91" spans="11:17" x14ac:dyDescent="0.2">
      <c r="K91"/>
      <c r="L91"/>
      <c r="M91"/>
      <c r="N91" s="16">
        <v>695</v>
      </c>
      <c r="O91">
        <v>46107</v>
      </c>
      <c r="P91" s="33">
        <v>42160.753474762256</v>
      </c>
      <c r="Q91">
        <v>421607.53474762256</v>
      </c>
    </row>
    <row r="92" spans="11:17" x14ac:dyDescent="0.2">
      <c r="K92"/>
      <c r="L92"/>
      <c r="M92"/>
      <c r="N92" s="16">
        <v>696</v>
      </c>
      <c r="O92">
        <v>23897</v>
      </c>
      <c r="P92" s="33">
        <v>21851.682516459401</v>
      </c>
      <c r="Q92">
        <v>218516.82516459402</v>
      </c>
    </row>
    <row r="93" spans="11:17" x14ac:dyDescent="0.2">
      <c r="K93"/>
      <c r="L93"/>
      <c r="M93"/>
      <c r="N93" s="16">
        <v>697</v>
      </c>
      <c r="O93">
        <v>19655</v>
      </c>
      <c r="P93" s="33">
        <v>17972.750548646673</v>
      </c>
      <c r="Q93">
        <v>179727.50548646672</v>
      </c>
    </row>
    <row r="94" spans="11:17" x14ac:dyDescent="0.2">
      <c r="K94"/>
      <c r="L94"/>
      <c r="M94"/>
      <c r="N94" s="16">
        <v>698</v>
      </c>
      <c r="O94">
        <v>13044</v>
      </c>
      <c r="P94" s="33">
        <v>11927.578639356256</v>
      </c>
      <c r="Q94">
        <v>119275.78639356256</v>
      </c>
    </row>
    <row r="95" spans="11:17" x14ac:dyDescent="0.2">
      <c r="K95"/>
      <c r="L95"/>
      <c r="M95"/>
      <c r="N95" s="16">
        <v>700</v>
      </c>
      <c r="O95">
        <v>9669</v>
      </c>
      <c r="P95" s="33">
        <v>8841.4411119239212</v>
      </c>
      <c r="Q95">
        <v>88414.411119239216</v>
      </c>
    </row>
    <row r="96" spans="11:17" x14ac:dyDescent="0.2">
      <c r="K96"/>
      <c r="L96"/>
      <c r="M96"/>
      <c r="N96" s="16">
        <v>701</v>
      </c>
      <c r="O96">
        <v>6236</v>
      </c>
      <c r="P96" s="33">
        <v>5702.2677395757137</v>
      </c>
      <c r="Q96">
        <v>57022.677395757135</v>
      </c>
    </row>
    <row r="97" spans="11:17" x14ac:dyDescent="0.2">
      <c r="K97"/>
      <c r="L97"/>
      <c r="M97"/>
      <c r="N97" s="16">
        <v>702</v>
      </c>
      <c r="O97">
        <v>15198</v>
      </c>
      <c r="P97" s="33">
        <v>13897.220190197513</v>
      </c>
      <c r="Q97">
        <v>138972.20190197515</v>
      </c>
    </row>
    <row r="98" spans="11:17" x14ac:dyDescent="0.2">
      <c r="K98"/>
      <c r="L98"/>
      <c r="M98"/>
      <c r="N98" s="16">
        <v>703</v>
      </c>
      <c r="O98">
        <v>15213</v>
      </c>
      <c r="P98" s="33">
        <v>13910.936356986102</v>
      </c>
      <c r="Q98">
        <v>139109.36356986102</v>
      </c>
    </row>
    <row r="99" spans="11:17" x14ac:dyDescent="0.2">
      <c r="K99"/>
      <c r="L99"/>
      <c r="M99"/>
      <c r="N99" s="16">
        <v>704</v>
      </c>
      <c r="O99">
        <v>2262</v>
      </c>
      <c r="P99" s="33">
        <v>2068.3979517190933</v>
      </c>
      <c r="Q99">
        <v>20683.979517190932</v>
      </c>
    </row>
    <row r="100" spans="11:17" x14ac:dyDescent="0.2">
      <c r="K100"/>
      <c r="L100"/>
      <c r="M100"/>
      <c r="N100" s="16">
        <v>705</v>
      </c>
      <c r="O100">
        <v>2152</v>
      </c>
      <c r="P100" s="33">
        <v>1967.81272860278</v>
      </c>
      <c r="Q100">
        <v>19678.1272860278</v>
      </c>
    </row>
    <row r="101" spans="11:17" x14ac:dyDescent="0.2">
      <c r="K101"/>
      <c r="L101"/>
      <c r="M101"/>
      <c r="N101" s="16">
        <v>706</v>
      </c>
      <c r="O101">
        <v>36984</v>
      </c>
      <c r="P101" s="33">
        <v>33818.580833942942</v>
      </c>
      <c r="Q101">
        <v>338185.80833942944</v>
      </c>
    </row>
    <row r="102" spans="11:17" x14ac:dyDescent="0.2">
      <c r="K102"/>
      <c r="L102"/>
      <c r="M102"/>
      <c r="N102" s="16">
        <v>707</v>
      </c>
      <c r="O102">
        <v>17395</v>
      </c>
      <c r="P102" s="33">
        <v>15906.181419166058</v>
      </c>
      <c r="Q102">
        <v>159061.81419166058</v>
      </c>
    </row>
    <row r="103" spans="11:17" x14ac:dyDescent="0.2">
      <c r="K103"/>
      <c r="L103"/>
      <c r="M103"/>
      <c r="N103" s="16">
        <v>708</v>
      </c>
      <c r="O103">
        <v>4469</v>
      </c>
      <c r="P103" s="33">
        <v>4086.5032918800298</v>
      </c>
      <c r="Q103">
        <v>40865.032918800294</v>
      </c>
    </row>
    <row r="104" spans="11:17" x14ac:dyDescent="0.2">
      <c r="K104"/>
      <c r="L104"/>
      <c r="M104"/>
      <c r="N104" s="16">
        <v>709</v>
      </c>
      <c r="O104">
        <v>2450</v>
      </c>
      <c r="P104" s="33">
        <v>2240.3072421360644</v>
      </c>
      <c r="Q104">
        <v>22403.072421360645</v>
      </c>
    </row>
    <row r="105" spans="11:17" x14ac:dyDescent="0.2">
      <c r="K105"/>
      <c r="N105" s="16">
        <v>710</v>
      </c>
      <c r="O105">
        <v>18361</v>
      </c>
      <c r="P105" s="33">
        <v>16789.502560351135</v>
      </c>
      <c r="Q105">
        <v>167895.02560351134</v>
      </c>
    </row>
    <row r="106" spans="11:17" x14ac:dyDescent="0.2">
      <c r="N106" s="16">
        <v>711</v>
      </c>
      <c r="O106">
        <v>17044</v>
      </c>
      <c r="P106" s="33">
        <v>15585.223116313096</v>
      </c>
      <c r="Q106">
        <v>155852.23116313096</v>
      </c>
    </row>
    <row r="107" spans="11:17" x14ac:dyDescent="0.2">
      <c r="N107" s="16">
        <v>712</v>
      </c>
      <c r="O107">
        <v>10001</v>
      </c>
      <c r="P107" s="33">
        <v>9145.0256035113398</v>
      </c>
      <c r="Q107">
        <v>91450.256035113402</v>
      </c>
    </row>
    <row r="108" spans="11:17" x14ac:dyDescent="0.2">
      <c r="N108" s="16">
        <v>713</v>
      </c>
      <c r="O108">
        <v>20502</v>
      </c>
      <c r="P108" s="33">
        <v>18747.256766642284</v>
      </c>
      <c r="Q108">
        <v>187472.56766642284</v>
      </c>
    </row>
    <row r="109" spans="11:17" x14ac:dyDescent="0.2">
      <c r="N109" s="16">
        <v>714</v>
      </c>
      <c r="O109">
        <v>5324</v>
      </c>
      <c r="P109" s="33">
        <v>4868.3247988295543</v>
      </c>
      <c r="Q109">
        <v>48683.247988295545</v>
      </c>
    </row>
    <row r="110" spans="11:17" x14ac:dyDescent="0.2">
      <c r="N110" s="16">
        <v>715</v>
      </c>
      <c r="O110">
        <v>19961</v>
      </c>
      <c r="P110" s="33">
        <v>18252.56035113387</v>
      </c>
      <c r="Q110">
        <v>182525.6035113387</v>
      </c>
    </row>
    <row r="111" spans="11:17" x14ac:dyDescent="0.2">
      <c r="N111" s="16">
        <v>717</v>
      </c>
      <c r="O111">
        <v>9238</v>
      </c>
      <c r="P111" s="33">
        <v>8447.3299195318214</v>
      </c>
      <c r="Q111">
        <v>84473.299195318221</v>
      </c>
    </row>
    <row r="112" spans="11:17" x14ac:dyDescent="0.2">
      <c r="N112" s="16">
        <v>718</v>
      </c>
      <c r="O112">
        <v>7904</v>
      </c>
      <c r="P112" s="33">
        <v>7227.5054864667163</v>
      </c>
      <c r="Q112">
        <v>72275.054864667167</v>
      </c>
    </row>
    <row r="113" spans="14:17" x14ac:dyDescent="0.2">
      <c r="N113" s="16">
        <v>719</v>
      </c>
      <c r="O113">
        <v>8523</v>
      </c>
      <c r="P113" s="33">
        <v>7793.5259692757872</v>
      </c>
      <c r="Q113">
        <v>77935.259692757871</v>
      </c>
    </row>
    <row r="114" spans="14:17" x14ac:dyDescent="0.2">
      <c r="N114" s="16">
        <v>720</v>
      </c>
      <c r="O114">
        <v>14736</v>
      </c>
      <c r="P114" s="33">
        <v>13474.762253108998</v>
      </c>
      <c r="Q114">
        <v>134747.62253108999</v>
      </c>
    </row>
    <row r="115" spans="14:17" x14ac:dyDescent="0.2">
      <c r="N115" s="16" t="s">
        <v>94</v>
      </c>
      <c r="O115"/>
      <c r="P115" s="33">
        <v>0</v>
      </c>
      <c r="Q115">
        <v>0</v>
      </c>
    </row>
    <row r="116" spans="14:17" x14ac:dyDescent="0.2">
      <c r="N116" s="16" t="s">
        <v>18</v>
      </c>
      <c r="O116">
        <v>1070855</v>
      </c>
      <c r="P116" s="33">
        <v>972869.42209217278</v>
      </c>
      <c r="Q116">
        <v>9810438.4601316731</v>
      </c>
    </row>
  </sheetData>
  <phoneticPr fontId="7" alignment="center"/>
  <pageMargins left="0.7" right="0.7" top="0.75" bottom="0.75" header="0.3" footer="0.3"/>
  <pageSetup paperSize="12" fitToWidth="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0F6A-EAC5-4EF0-9770-72A3A0620ACD}">
  <dimension ref="A1:K70"/>
  <sheetViews>
    <sheetView topLeftCell="A34" workbookViewId="0">
      <selection activeCell="N23" sqref="N23"/>
    </sheetView>
  </sheetViews>
  <sheetFormatPr defaultRowHeight="15" x14ac:dyDescent="0.2"/>
  <cols>
    <col min="1" max="1" width="12.375" customWidth="1"/>
    <col min="9" max="9" width="11.56640625" customWidth="1"/>
    <col min="10" max="10" width="16.6796875" customWidth="1"/>
  </cols>
  <sheetData>
    <row r="1" spans="1:11" x14ac:dyDescent="0.2">
      <c r="A1" s="30" t="s">
        <v>21</v>
      </c>
      <c r="B1" s="30" t="s">
        <v>1</v>
      </c>
      <c r="C1" s="30" t="s">
        <v>66</v>
      </c>
      <c r="D1" s="30" t="s">
        <v>67</v>
      </c>
      <c r="E1" s="30" t="s">
        <v>68</v>
      </c>
      <c r="F1" s="30" t="s">
        <v>69</v>
      </c>
      <c r="G1" s="30" t="s">
        <v>70</v>
      </c>
      <c r="H1" s="31" t="s">
        <v>71</v>
      </c>
      <c r="I1" s="31" t="s">
        <v>72</v>
      </c>
      <c r="J1" s="31" t="s">
        <v>47</v>
      </c>
      <c r="K1" s="31" t="s">
        <v>176</v>
      </c>
    </row>
    <row r="2" spans="1:11" x14ac:dyDescent="0.2">
      <c r="A2" s="28">
        <v>45863</v>
      </c>
      <c r="B2" s="29" t="s">
        <v>14</v>
      </c>
      <c r="C2" s="29">
        <v>653</v>
      </c>
      <c r="D2" s="29" t="s">
        <v>74</v>
      </c>
      <c r="E2" s="21">
        <v>1595</v>
      </c>
      <c r="F2" s="11">
        <v>30352</v>
      </c>
      <c r="G2" s="11">
        <v>21904</v>
      </c>
      <c r="H2" s="32">
        <f>_xlfn.XLOOKUP(Table124[[#This Row],[Shipment Number]], 'pivot '!A:A,'pivot '!G:G, "NF")</f>
        <v>34.010077899922052</v>
      </c>
      <c r="I2" s="32">
        <f>(Table124[[#This Row],[Tiyaar/gaz]]/1.0936)</f>
        <v>20029.261155815657</v>
      </c>
      <c r="J2" s="32">
        <f>Table124[[#This Row],[tiyar/meters]] *10</f>
        <v>200292.61155815655</v>
      </c>
      <c r="K2" s="29"/>
    </row>
    <row r="3" spans="1:11" x14ac:dyDescent="0.2">
      <c r="A3" s="28">
        <v>45863</v>
      </c>
      <c r="B3" s="29" t="s">
        <v>14</v>
      </c>
      <c r="C3" s="29">
        <v>654</v>
      </c>
      <c r="D3" s="29" t="s">
        <v>74</v>
      </c>
      <c r="E3" s="21" t="s">
        <v>75</v>
      </c>
      <c r="F3" s="11">
        <v>34595</v>
      </c>
      <c r="G3" s="11">
        <v>4318</v>
      </c>
      <c r="H3" s="32">
        <f>_xlfn.XLOOKUP(Table124[[#This Row],[Shipment Number]], 'pivot '!A:A,'pivot '!G:G, "NF")</f>
        <v>0.64782439669481562</v>
      </c>
      <c r="I3" s="32">
        <f>(Table124[[#This Row],[Tiyaar/gaz]]/1.0936)</f>
        <v>3948.4272128749089</v>
      </c>
      <c r="J3" s="32">
        <f>Table124[[#This Row],[tiyar/meters]] *10</f>
        <v>39484.272128749086</v>
      </c>
      <c r="K3" s="29"/>
    </row>
    <row r="4" spans="1:11" x14ac:dyDescent="0.2">
      <c r="A4" s="28">
        <v>45863</v>
      </c>
      <c r="B4" s="29" t="s">
        <v>14</v>
      </c>
      <c r="C4" s="29">
        <v>655</v>
      </c>
      <c r="D4" s="29" t="s">
        <v>74</v>
      </c>
      <c r="E4" s="11">
        <v>1593</v>
      </c>
      <c r="F4" s="11">
        <v>33269</v>
      </c>
      <c r="G4" s="11">
        <v>1826</v>
      </c>
      <c r="H4" s="32">
        <f>_xlfn.XLOOKUP(Table124[[#This Row],[Shipment Number]], 'pivot '!A:A,'pivot '!G:G, "NF")</f>
        <v>94.981169546031452</v>
      </c>
      <c r="I4" s="32">
        <f>(Table124[[#This Row],[Tiyaar/gaz]]/1.0936)</f>
        <v>1669.7147037307975</v>
      </c>
      <c r="J4" s="32">
        <f>Table124[[#This Row],[tiyar/meters]] *10</f>
        <v>16697.147037307976</v>
      </c>
      <c r="K4" s="29"/>
    </row>
    <row r="5" spans="1:11" x14ac:dyDescent="0.2">
      <c r="A5" s="28">
        <v>45863</v>
      </c>
      <c r="B5" s="29" t="s">
        <v>14</v>
      </c>
      <c r="C5" s="29">
        <v>656</v>
      </c>
      <c r="D5" s="29" t="s">
        <v>74</v>
      </c>
      <c r="E5" s="11">
        <v>1599</v>
      </c>
      <c r="F5" s="11">
        <v>24261</v>
      </c>
      <c r="G5" s="11">
        <v>17764</v>
      </c>
      <c r="H5" s="32">
        <f>_xlfn.XLOOKUP(Table124[[#This Row],[Shipment Number]], 'pivot '!A:A,'pivot '!G:G, "NF")</f>
        <v>2.6791578670473513</v>
      </c>
      <c r="I5" s="32">
        <f>(Table124[[#This Row],[Tiyaar/gaz]]/1.0936)</f>
        <v>16243.599122165328</v>
      </c>
      <c r="J5" s="32">
        <f>Table124[[#This Row],[tiyar/meters]] *10</f>
        <v>162435.99122165327</v>
      </c>
      <c r="K5" s="29"/>
    </row>
    <row r="6" spans="1:11" x14ac:dyDescent="0.2">
      <c r="A6" s="28">
        <v>45864</v>
      </c>
      <c r="B6" s="29" t="s">
        <v>14</v>
      </c>
      <c r="C6" s="29">
        <v>657</v>
      </c>
      <c r="D6" s="29" t="s">
        <v>74</v>
      </c>
      <c r="E6" s="11">
        <v>1599</v>
      </c>
      <c r="F6" s="11">
        <v>24261</v>
      </c>
      <c r="G6" s="11">
        <v>8057</v>
      </c>
      <c r="H6" s="32">
        <f>_xlfn.XLOOKUP(Table124[[#This Row],[Shipment Number]], 'pivot '!A:A,'pivot '!G:G, "NF")</f>
        <v>2.6791578670473513</v>
      </c>
      <c r="I6" s="32">
        <f>(Table124[[#This Row],[Tiyaar/gaz]]/1.0936)</f>
        <v>7367.4103877103153</v>
      </c>
      <c r="J6" s="32">
        <f>Table124[[#This Row],[tiyar/meters]] *10</f>
        <v>73674.10387710316</v>
      </c>
      <c r="K6" s="29"/>
    </row>
    <row r="7" spans="1:11" x14ac:dyDescent="0.2">
      <c r="A7" s="28">
        <v>45864</v>
      </c>
      <c r="B7" s="29" t="s">
        <v>14</v>
      </c>
      <c r="C7" s="29">
        <v>658</v>
      </c>
      <c r="D7" s="29" t="s">
        <v>74</v>
      </c>
      <c r="E7" s="11">
        <v>1597</v>
      </c>
      <c r="F7" s="11">
        <v>22149</v>
      </c>
      <c r="G7" s="11">
        <v>23975</v>
      </c>
      <c r="H7" s="32">
        <f>_xlfn.XLOOKUP(Table124[[#This Row],[Shipment Number]], 'pivot '!A:A,'pivot '!G:G, "NF")</f>
        <v>1.0203323682330563</v>
      </c>
      <c r="I7" s="32">
        <f>(Table124[[#This Row],[Tiyaar/gaz]]/1.0936)</f>
        <v>21923.00658376006</v>
      </c>
      <c r="J7" s="32">
        <f>Table124[[#This Row],[tiyar/meters]] *10</f>
        <v>219230.06583760059</v>
      </c>
      <c r="K7" s="29"/>
    </row>
    <row r="8" spans="1:11" x14ac:dyDescent="0.2">
      <c r="A8" s="28">
        <v>45864</v>
      </c>
      <c r="B8" s="29" t="s">
        <v>14</v>
      </c>
      <c r="C8" s="29">
        <v>659</v>
      </c>
      <c r="D8" s="29" t="s">
        <v>74</v>
      </c>
      <c r="E8" s="11">
        <v>1600</v>
      </c>
      <c r="F8" s="11">
        <v>17757</v>
      </c>
      <c r="G8" s="11">
        <v>14312</v>
      </c>
      <c r="H8" s="32">
        <f>_xlfn.XLOOKUP(Table124[[#This Row],[Shipment Number]], 'pivot '!A:A,'pivot '!G:G, "NF")</f>
        <v>0.69547770789590402</v>
      </c>
      <c r="I8" s="32">
        <f>(Table124[[#This Row],[Tiyaar/gaz]]/1.0936)</f>
        <v>13087.051938551574</v>
      </c>
      <c r="J8" s="32">
        <f>Table124[[#This Row],[tiyar/meters]] *10</f>
        <v>130870.51938551574</v>
      </c>
      <c r="K8" s="29"/>
    </row>
    <row r="9" spans="1:11" x14ac:dyDescent="0.2">
      <c r="A9" s="28">
        <v>45864</v>
      </c>
      <c r="B9" s="29" t="s">
        <v>14</v>
      </c>
      <c r="C9" s="29">
        <v>660</v>
      </c>
      <c r="D9" s="29" t="s">
        <v>74</v>
      </c>
      <c r="E9" s="11">
        <v>1600</v>
      </c>
      <c r="F9" s="11">
        <v>17757</v>
      </c>
      <c r="G9" s="11">
        <v>4972</v>
      </c>
      <c r="H9" s="32">
        <f>_xlfn.XLOOKUP(Table124[[#This Row],[Shipment Number]], 'pivot '!A:A,'pivot '!G:G, "NF")</f>
        <v>0.69547770789590402</v>
      </c>
      <c r="I9" s="32">
        <f>(Table124[[#This Row],[Tiyaar/gaz]]/1.0936)</f>
        <v>4546.452084857352</v>
      </c>
      <c r="J9" s="32">
        <f>Table124[[#This Row],[tiyar/meters]] *10</f>
        <v>45464.52084857352</v>
      </c>
      <c r="K9" s="29"/>
    </row>
    <row r="10" spans="1:11" x14ac:dyDescent="0.2">
      <c r="A10" s="28">
        <v>45866</v>
      </c>
      <c r="B10" s="29" t="s">
        <v>14</v>
      </c>
      <c r="C10" s="29">
        <v>661</v>
      </c>
      <c r="D10" s="29" t="s">
        <v>74</v>
      </c>
      <c r="E10" s="11">
        <v>1602</v>
      </c>
      <c r="F10" s="11">
        <v>100721</v>
      </c>
      <c r="G10" s="11">
        <v>13290</v>
      </c>
      <c r="H10" s="32">
        <f>_xlfn.XLOOKUP(Table124[[#This Row],[Shipment Number]], 'pivot '!A:A,'pivot '!G:G, "NF")</f>
        <v>-1.0935369591681621</v>
      </c>
      <c r="I10" s="32">
        <f>(Table124[[#This Row],[Tiyaar/gaz]]/1.0936)</f>
        <v>12152.523774689102</v>
      </c>
      <c r="J10" s="32">
        <f>Table124[[#This Row],[tiyar/meters]] *10</f>
        <v>121525.23774689101</v>
      </c>
      <c r="K10" s="29"/>
    </row>
    <row r="11" spans="1:11" x14ac:dyDescent="0.2">
      <c r="A11" s="28">
        <v>45866</v>
      </c>
      <c r="B11" s="29" t="s">
        <v>14</v>
      </c>
      <c r="C11" s="29">
        <v>662</v>
      </c>
      <c r="D11" s="29" t="s">
        <v>74</v>
      </c>
      <c r="E11" s="11">
        <v>1602</v>
      </c>
      <c r="F11" s="11">
        <v>100721</v>
      </c>
      <c r="G11" s="11">
        <v>39944</v>
      </c>
      <c r="H11" s="32">
        <f>_xlfn.XLOOKUP(Table124[[#This Row],[Shipment Number]], 'pivot '!A:A,'pivot '!G:G, "NF")</f>
        <v>-1.0935369591681621</v>
      </c>
      <c r="I11" s="32">
        <f>(Table124[[#This Row],[Tiyaar/gaz]]/1.0936)</f>
        <v>36525.237746891005</v>
      </c>
      <c r="J11" s="32">
        <f>Table124[[#This Row],[tiyar/meters]] *10</f>
        <v>365252.37746891007</v>
      </c>
      <c r="K11" s="29"/>
    </row>
    <row r="12" spans="1:11" x14ac:dyDescent="0.2">
      <c r="A12" s="28">
        <v>45866</v>
      </c>
      <c r="B12" s="29" t="s">
        <v>14</v>
      </c>
      <c r="C12" s="29">
        <v>663</v>
      </c>
      <c r="D12" s="29" t="s">
        <v>74</v>
      </c>
      <c r="E12" s="21" t="s">
        <v>75</v>
      </c>
      <c r="F12" s="11">
        <v>34595</v>
      </c>
      <c r="G12" s="11">
        <v>33270</v>
      </c>
      <c r="H12" s="32">
        <f>_xlfn.XLOOKUP(Table124[[#This Row],[Shipment Number]], 'pivot '!A:A,'pivot '!G:G, "NF")</f>
        <v>0.64782439669481562</v>
      </c>
      <c r="I12" s="32">
        <f>(Table124[[#This Row],[Tiyaar/gaz]]/1.0936)</f>
        <v>30422.457937088519</v>
      </c>
      <c r="J12" s="32">
        <f>Table124[[#This Row],[tiyar/meters]] *10</f>
        <v>304224.57937088516</v>
      </c>
      <c r="K12" s="29"/>
    </row>
    <row r="13" spans="1:11" x14ac:dyDescent="0.2">
      <c r="A13" s="28">
        <v>45866</v>
      </c>
      <c r="B13" s="29" t="s">
        <v>14</v>
      </c>
      <c r="C13" s="29">
        <v>664</v>
      </c>
      <c r="D13" s="29" t="s">
        <v>74</v>
      </c>
      <c r="E13" s="11">
        <v>1602</v>
      </c>
      <c r="F13" s="11">
        <v>100721</v>
      </c>
      <c r="G13" s="11">
        <v>6746</v>
      </c>
      <c r="H13" s="32">
        <f>_xlfn.XLOOKUP(Table124[[#This Row],[Shipment Number]], 'pivot '!A:A,'pivot '!G:G, "NF")</f>
        <v>-1.0935369591681621</v>
      </c>
      <c r="I13" s="32">
        <f>(Table124[[#This Row],[Tiyaar/gaz]]/1.0936)</f>
        <v>6168.6174103877111</v>
      </c>
      <c r="J13" s="32">
        <f>Table124[[#This Row],[tiyar/meters]] *10</f>
        <v>61686.174103877114</v>
      </c>
      <c r="K13" s="29"/>
    </row>
    <row r="14" spans="1:11" x14ac:dyDescent="0.2">
      <c r="A14" s="28">
        <v>45867</v>
      </c>
      <c r="B14" s="29" t="s">
        <v>14</v>
      </c>
      <c r="C14" s="29">
        <v>665</v>
      </c>
      <c r="D14" s="29" t="s">
        <v>74</v>
      </c>
      <c r="E14" s="11">
        <v>1602</v>
      </c>
      <c r="F14" s="11">
        <v>100721</v>
      </c>
      <c r="G14" s="11">
        <v>51373</v>
      </c>
      <c r="H14" s="32">
        <f>_xlfn.XLOOKUP(Table124[[#This Row],[Shipment Number]], 'pivot '!A:A,'pivot '!G:G, "NF")</f>
        <v>-1.0935369591681621</v>
      </c>
      <c r="I14" s="32">
        <f>(Table124[[#This Row],[Tiyaar/gaz]]/1.0936)</f>
        <v>46976.042428675937</v>
      </c>
      <c r="J14" s="32">
        <f>Table124[[#This Row],[tiyar/meters]] *10</f>
        <v>469760.42428675934</v>
      </c>
      <c r="K14" s="29"/>
    </row>
    <row r="15" spans="1:11" x14ac:dyDescent="0.2">
      <c r="A15" s="28">
        <v>45867</v>
      </c>
      <c r="B15" s="29" t="s">
        <v>14</v>
      </c>
      <c r="C15" s="29">
        <v>666</v>
      </c>
      <c r="D15" s="29" t="s">
        <v>74</v>
      </c>
      <c r="E15" s="11" t="s">
        <v>79</v>
      </c>
      <c r="F15" s="11" t="s">
        <v>80</v>
      </c>
      <c r="G15" s="11">
        <v>6925</v>
      </c>
      <c r="H15" s="32" t="e">
        <f>_xlfn.XLOOKUP(Table124[[#This Row],[Shipment Number]], 'pivot '!A:A,'pivot '!G:G, "NF")</f>
        <v>#DIV/0!</v>
      </c>
      <c r="I15" s="32"/>
      <c r="J15" s="32">
        <f>Table124[[#This Row],[tiyar/meters]] *10</f>
        <v>0</v>
      </c>
      <c r="K15" s="29"/>
    </row>
    <row r="16" spans="1:11" x14ac:dyDescent="0.2">
      <c r="A16" s="28">
        <v>45869</v>
      </c>
      <c r="B16" s="29" t="s">
        <v>15</v>
      </c>
      <c r="C16" s="29">
        <v>667</v>
      </c>
      <c r="D16" s="29" t="s">
        <v>74</v>
      </c>
      <c r="E16" s="11">
        <v>1558</v>
      </c>
      <c r="F16" s="11">
        <v>27931</v>
      </c>
      <c r="G16" s="11">
        <v>29944</v>
      </c>
      <c r="H16" s="32">
        <f>_xlfn.XLOOKUP(Table124[[#This Row],[Shipment Number]], 'pivot '!A:A,'pivot '!G:G, "NF")</f>
        <v>1.9686851365905085</v>
      </c>
      <c r="I16" s="32">
        <f>(Table124[[#This Row],[Tiyaar/gaz]]/1.0936)</f>
        <v>27381.126554498904</v>
      </c>
      <c r="J16" s="32">
        <f>Table124[[#This Row],[tiyar/meters]] *10</f>
        <v>273811.26554498903</v>
      </c>
      <c r="K16" s="29"/>
    </row>
    <row r="17" spans="1:11" x14ac:dyDescent="0.2">
      <c r="A17" s="28">
        <v>45869</v>
      </c>
      <c r="B17" s="29" t="s">
        <v>12</v>
      </c>
      <c r="C17" s="29">
        <v>668</v>
      </c>
      <c r="D17" s="29" t="s">
        <v>74</v>
      </c>
      <c r="E17" s="11">
        <v>1603</v>
      </c>
      <c r="F17" s="11">
        <v>34026</v>
      </c>
      <c r="G17" s="11">
        <v>15774</v>
      </c>
      <c r="H17" s="32">
        <f>_xlfn.XLOOKUP(Table124[[#This Row],[Shipment Number]], 'pivot '!A:A,'pivot '!G:G, "NF")</f>
        <v>2.1145282808176518</v>
      </c>
      <c r="I17" s="32">
        <f>(Table124[[#This Row],[Tiyaar/gaz]]/1.0936)</f>
        <v>14423.9209948793</v>
      </c>
      <c r="J17" s="32">
        <f>Table124[[#This Row],[tiyar/meters]] *10</f>
        <v>144239.209948793</v>
      </c>
      <c r="K17" s="29"/>
    </row>
    <row r="18" spans="1:11" x14ac:dyDescent="0.2">
      <c r="A18" s="28">
        <v>45869</v>
      </c>
      <c r="B18" s="29" t="s">
        <v>12</v>
      </c>
      <c r="C18" s="29">
        <v>669</v>
      </c>
      <c r="D18" s="29" t="s">
        <v>74</v>
      </c>
      <c r="E18" s="11">
        <v>1603</v>
      </c>
      <c r="F18" s="11">
        <v>34026</v>
      </c>
      <c r="G18" s="11">
        <v>12076</v>
      </c>
      <c r="H18" s="32">
        <f>_xlfn.XLOOKUP(Table124[[#This Row],[Shipment Number]], 'pivot '!A:A,'pivot '!G:G, "NF")</f>
        <v>2.1145282808176518</v>
      </c>
      <c r="I18" s="32">
        <f>(Table124[[#This Row],[Tiyaar/gaz]]/1.0936)</f>
        <v>11042.428675932701</v>
      </c>
      <c r="J18" s="32">
        <f>Table124[[#This Row],[tiyar/meters]] *10</f>
        <v>110424.28675932701</v>
      </c>
      <c r="K18" s="29"/>
    </row>
    <row r="19" spans="1:11" x14ac:dyDescent="0.2">
      <c r="A19" s="28">
        <v>45871</v>
      </c>
      <c r="B19" s="29" t="s">
        <v>16</v>
      </c>
      <c r="C19" s="29">
        <v>670</v>
      </c>
      <c r="D19" s="29" t="s">
        <v>74</v>
      </c>
      <c r="E19" s="11">
        <v>1619</v>
      </c>
      <c r="F19" s="11">
        <v>1859</v>
      </c>
      <c r="G19" s="11">
        <v>2036</v>
      </c>
      <c r="H19" s="32">
        <f>_xlfn.XLOOKUP(Table124[[#This Row],[Shipment Number]], 'pivot '!A:A,'pivot '!G:G, "NF")</f>
        <v>-0.14744694841482442</v>
      </c>
      <c r="I19" s="32">
        <f>(Table124[[#This Row],[Tiyaar/gaz]]/1.0936)</f>
        <v>1861.7410387710315</v>
      </c>
      <c r="J19" s="32">
        <f>Table124[[#This Row],[tiyar/meters]] *10.5</f>
        <v>19548.280907095832</v>
      </c>
      <c r="K19" s="29"/>
    </row>
    <row r="20" spans="1:11" x14ac:dyDescent="0.2">
      <c r="A20" s="28">
        <v>45873</v>
      </c>
      <c r="B20" s="29" t="s">
        <v>14</v>
      </c>
      <c r="C20" s="29">
        <v>671</v>
      </c>
      <c r="D20" s="29" t="s">
        <v>74</v>
      </c>
      <c r="E20" s="11">
        <v>1621</v>
      </c>
      <c r="F20" s="11">
        <v>29483</v>
      </c>
      <c r="G20" s="11">
        <v>32201</v>
      </c>
      <c r="H20" s="32">
        <f>_xlfn.XLOOKUP(Table124[[#This Row],[Shipment Number]], 'pivot '!A:A,'pivot '!G:G, "NF")</f>
        <v>0.12904911093917804</v>
      </c>
      <c r="I20" s="32">
        <f>(Table124[[#This Row],[Tiyaar/gaz]]/1.0936)</f>
        <v>29444.9524506218</v>
      </c>
      <c r="J20" s="32">
        <f>Table124[[#This Row],[tiyar/meters]] *10</f>
        <v>294449.52450621803</v>
      </c>
      <c r="K20" s="29"/>
    </row>
    <row r="21" spans="1:11" x14ac:dyDescent="0.2">
      <c r="A21" s="28">
        <v>45873</v>
      </c>
      <c r="B21" s="29" t="s">
        <v>15</v>
      </c>
      <c r="C21" s="29">
        <v>672</v>
      </c>
      <c r="D21" s="29" t="s">
        <v>74</v>
      </c>
      <c r="E21" s="21">
        <v>1601</v>
      </c>
      <c r="F21" s="11">
        <v>34595</v>
      </c>
      <c r="G21" s="11">
        <v>37023</v>
      </c>
      <c r="H21" s="32">
        <f>_xlfn.XLOOKUP(Table124[[#This Row],[Shipment Number]], 'pivot '!A:A,'pivot '!G:G, "NF")</f>
        <v>2.1412259933710942</v>
      </c>
      <c r="I21" s="32">
        <f>(Table124[[#This Row],[Tiyaar/gaz]]/1.0936)</f>
        <v>33854.242867593275</v>
      </c>
      <c r="J21" s="32">
        <f>Table124[[#This Row],[tiyar/meters]] *10</f>
        <v>338542.42867593275</v>
      </c>
      <c r="K21" s="29"/>
    </row>
    <row r="22" spans="1:11" x14ac:dyDescent="0.2">
      <c r="A22" s="28">
        <v>45873</v>
      </c>
      <c r="B22" s="29" t="s">
        <v>12</v>
      </c>
      <c r="C22" s="29">
        <v>673</v>
      </c>
      <c r="D22" s="29" t="s">
        <v>74</v>
      </c>
      <c r="E22" s="11">
        <v>1603</v>
      </c>
      <c r="F22" s="11">
        <v>34026</v>
      </c>
      <c r="G22" s="11">
        <v>8574</v>
      </c>
      <c r="H22" s="32">
        <f>_xlfn.XLOOKUP(Table124[[#This Row],[Shipment Number]], 'pivot '!A:A,'pivot '!G:G, "NF")</f>
        <v>2.1145282808176518</v>
      </c>
      <c r="I22" s="32">
        <f>(Table124[[#This Row],[Tiyaar/gaz]]/1.0936)</f>
        <v>7840.1609363569869</v>
      </c>
      <c r="J22" s="32">
        <f>Table124[[#This Row],[tiyar/meters]] *10</f>
        <v>78401.609363569863</v>
      </c>
      <c r="K22" s="29"/>
    </row>
    <row r="23" spans="1:11" x14ac:dyDescent="0.2">
      <c r="A23" s="28">
        <v>45873</v>
      </c>
      <c r="B23" s="29" t="s">
        <v>12</v>
      </c>
      <c r="C23" s="29">
        <v>674</v>
      </c>
      <c r="D23" s="29" t="s">
        <v>74</v>
      </c>
      <c r="E23" s="11">
        <v>1606</v>
      </c>
      <c r="F23" s="11">
        <v>15311</v>
      </c>
      <c r="G23" s="11">
        <v>16753</v>
      </c>
      <c r="H23" s="32">
        <f>_xlfn.XLOOKUP(Table124[[#This Row],[Shipment Number]], 'pivot '!A:A,'pivot '!G:G, "NF")</f>
        <v>-5.3095686855769486E-2</v>
      </c>
      <c r="I23" s="32">
        <f>(Table124[[#This Row],[Tiyaar/gaz]]/1.0936)</f>
        <v>15319.129480614485</v>
      </c>
      <c r="J23" s="32">
        <f>Table124[[#This Row],[tiyar/meters]] *10</f>
        <v>153191.29480614484</v>
      </c>
      <c r="K23" s="29"/>
    </row>
    <row r="24" spans="1:11" x14ac:dyDescent="0.2">
      <c r="A24" s="28">
        <v>45873</v>
      </c>
      <c r="B24" s="29" t="s">
        <v>14</v>
      </c>
      <c r="C24" s="29">
        <v>675</v>
      </c>
      <c r="D24" s="29" t="s">
        <v>74</v>
      </c>
      <c r="E24" s="11" t="s">
        <v>242</v>
      </c>
      <c r="F24" s="11">
        <v>16459</v>
      </c>
      <c r="G24" s="11">
        <v>17672</v>
      </c>
      <c r="H24" s="32">
        <f>_xlfn.XLOOKUP(Table124[[#This Row],[Shipment Number]], 'pivot '!A:A,'pivot '!G:G, "NF")</f>
        <v>1.8198353533305749</v>
      </c>
      <c r="I24" s="32">
        <f>(Table124[[#This Row],[Tiyaar/gaz]]/1.0936)</f>
        <v>16159.473299195319</v>
      </c>
      <c r="J24" s="32">
        <f>Table124[[#This Row],[tiyar/meters]] *10</f>
        <v>161594.73299195318</v>
      </c>
      <c r="K24" s="29"/>
    </row>
    <row r="25" spans="1:11" x14ac:dyDescent="0.2">
      <c r="A25" s="28">
        <v>45873</v>
      </c>
      <c r="B25" s="29" t="s">
        <v>17</v>
      </c>
      <c r="C25" s="29">
        <v>676</v>
      </c>
      <c r="D25" s="29" t="s">
        <v>74</v>
      </c>
      <c r="E25" s="11">
        <v>1609</v>
      </c>
      <c r="F25" s="11">
        <v>23028</v>
      </c>
      <c r="G25" s="11">
        <v>24699</v>
      </c>
      <c r="H25" s="32">
        <f>_xlfn.XLOOKUP(Table124[[#This Row],[Shipment Number]], 'pivot '!A:A,'pivot '!G:G, "NF")</f>
        <v>1.9235702879570482</v>
      </c>
      <c r="I25" s="32">
        <f>(Table124[[#This Row],[Tiyaar/gaz]]/1.0936)</f>
        <v>22585.040234089247</v>
      </c>
      <c r="J25" s="32">
        <f>Table124[[#This Row],[tiyar/meters]] *10</f>
        <v>225850.40234089247</v>
      </c>
      <c r="K25" s="29"/>
    </row>
    <row r="26" spans="1:11" x14ac:dyDescent="0.2">
      <c r="A26" s="28">
        <v>45874</v>
      </c>
      <c r="B26" s="29" t="s">
        <v>14</v>
      </c>
      <c r="C26" s="29">
        <v>677</v>
      </c>
      <c r="D26" s="29" t="s">
        <v>74</v>
      </c>
      <c r="E26" s="11">
        <v>1614</v>
      </c>
      <c r="F26" s="11">
        <v>30158</v>
      </c>
      <c r="G26" s="11">
        <v>19789</v>
      </c>
      <c r="H26" s="32">
        <f>_xlfn.XLOOKUP(Table124[[#This Row],[Shipment Number]], 'pivot '!A:A,'pivot '!G:G, "NF")</f>
        <v>1.0787758963484748</v>
      </c>
      <c r="I26" s="32">
        <f>(Table124[[#This Row],[Tiyaar/gaz]]/1.0936)</f>
        <v>18095.281638624729</v>
      </c>
      <c r="J26" s="32">
        <f>Table124[[#This Row],[tiyar/meters]] *10</f>
        <v>180952.81638624729</v>
      </c>
      <c r="K26" s="29"/>
    </row>
    <row r="27" spans="1:11" x14ac:dyDescent="0.2">
      <c r="A27" s="28">
        <v>45874</v>
      </c>
      <c r="B27" s="29" t="s">
        <v>14</v>
      </c>
      <c r="C27" s="29">
        <v>678</v>
      </c>
      <c r="D27" s="29" t="s">
        <v>74</v>
      </c>
      <c r="E27" s="11">
        <v>1623</v>
      </c>
      <c r="F27" s="11">
        <v>20247</v>
      </c>
      <c r="G27" s="11">
        <v>21841</v>
      </c>
      <c r="H27" s="32">
        <f>_xlfn.XLOOKUP(Table124[[#This Row],[Shipment Number]], 'pivot '!A:A,'pivot '!G:G, "NF")</f>
        <v>1.3599384832143784</v>
      </c>
      <c r="I27" s="32">
        <f>(Table124[[#This Row],[Tiyaar/gaz]]/1.0936)</f>
        <v>19971.653255303587</v>
      </c>
      <c r="J27" s="32">
        <f>Table124[[#This Row],[tiyar/meters]] *10</f>
        <v>199716.53255303588</v>
      </c>
      <c r="K27" s="29"/>
    </row>
    <row r="28" spans="1:11" x14ac:dyDescent="0.2">
      <c r="A28" s="28">
        <v>45874</v>
      </c>
      <c r="B28" s="29" t="s">
        <v>14</v>
      </c>
      <c r="C28" s="29">
        <v>679</v>
      </c>
      <c r="D28" s="29" t="s">
        <v>74</v>
      </c>
      <c r="E28" s="11">
        <v>1614</v>
      </c>
      <c r="F28" s="11">
        <v>30158</v>
      </c>
      <c r="G28" s="11">
        <v>12836</v>
      </c>
      <c r="H28" s="32">
        <f>_xlfn.XLOOKUP(Table124[[#This Row],[Shipment Number]], 'pivot '!A:A,'pivot '!G:G, "NF")</f>
        <v>1.0787758963484748</v>
      </c>
      <c r="I28" s="32">
        <f>(Table124[[#This Row],[Tiyaar/gaz]]/1.0936)</f>
        <v>11737.381126554499</v>
      </c>
      <c r="J28" s="32">
        <f>Table124[[#This Row],[tiyar/meters]] *10</f>
        <v>117373.81126554499</v>
      </c>
      <c r="K28" s="29"/>
    </row>
    <row r="29" spans="1:11" x14ac:dyDescent="0.2">
      <c r="A29" s="28">
        <v>45874</v>
      </c>
      <c r="B29" s="29" t="s">
        <v>17</v>
      </c>
      <c r="C29" s="29">
        <v>680</v>
      </c>
      <c r="D29" s="29" t="s">
        <v>74</v>
      </c>
      <c r="E29" s="11">
        <v>1610</v>
      </c>
      <c r="F29" s="11">
        <v>6777</v>
      </c>
      <c r="G29" s="11">
        <v>7252</v>
      </c>
      <c r="H29" s="32">
        <f>_xlfn.XLOOKUP(Table124[[#This Row],[Shipment Number]], 'pivot '!A:A,'pivot '!G:G, "NF")</f>
        <v>2.1497795968311806</v>
      </c>
      <c r="I29" s="32">
        <f>(Table124[[#This Row],[Tiyaar/gaz]]/1.0936)</f>
        <v>6631.3094367227513</v>
      </c>
      <c r="J29" s="32">
        <f>Table124[[#This Row],[tiyar/meters]] *10</f>
        <v>66313.094367227517</v>
      </c>
      <c r="K29" s="29"/>
    </row>
    <row r="30" spans="1:11" x14ac:dyDescent="0.2">
      <c r="A30" s="28">
        <v>45874</v>
      </c>
      <c r="B30" s="29" t="s">
        <v>17</v>
      </c>
      <c r="C30" s="29">
        <v>681</v>
      </c>
      <c r="D30" s="29" t="s">
        <v>74</v>
      </c>
      <c r="E30" s="11">
        <v>1620</v>
      </c>
      <c r="F30" s="29">
        <f>10463/1.0936</f>
        <v>9567.4835405998547</v>
      </c>
      <c r="G30" s="11">
        <v>10359</v>
      </c>
      <c r="H30" s="32">
        <f>_xlfn.XLOOKUP(Table124[[#This Row],[Shipment Number]], 'pivot '!A:A,'pivot '!G:G, "NF")</f>
        <v>0.99397878237599002</v>
      </c>
      <c r="I30" s="32">
        <f>(Table124[[#This Row],[Tiyaar/gaz]]/1.0936)</f>
        <v>9472.3847841989773</v>
      </c>
      <c r="J30" s="32">
        <f>Table124[[#This Row],[tiyar/meters]] *10</f>
        <v>94723.847841989773</v>
      </c>
      <c r="K30" s="29"/>
    </row>
    <row r="31" spans="1:11" x14ac:dyDescent="0.2">
      <c r="A31" s="28">
        <v>45874</v>
      </c>
      <c r="B31" s="29" t="s">
        <v>17</v>
      </c>
      <c r="C31" s="29">
        <v>682</v>
      </c>
      <c r="D31" s="29" t="s">
        <v>74</v>
      </c>
      <c r="E31" s="11">
        <v>1608</v>
      </c>
      <c r="F31" s="11">
        <f>17113/1.0936</f>
        <v>15648.317483540601</v>
      </c>
      <c r="G31" s="11">
        <v>16890</v>
      </c>
      <c r="H31" s="32">
        <f>_xlfn.XLOOKUP(Table124[[#This Row],[Shipment Number]], 'pivot '!A:A,'pivot '!G:G, "NF")</f>
        <v>1.3031029042248576</v>
      </c>
      <c r="I31" s="32">
        <f>(Table124[[#This Row],[Tiyaar/gaz]]/1.0936)</f>
        <v>15444.403803950257</v>
      </c>
      <c r="J31" s="32">
        <f>Table124[[#This Row],[tiyar/meters]] *10</f>
        <v>154444.03803950257</v>
      </c>
      <c r="K31" s="29"/>
    </row>
    <row r="32" spans="1:11" x14ac:dyDescent="0.2">
      <c r="A32" s="28">
        <v>45874</v>
      </c>
      <c r="B32" s="29" t="s">
        <v>14</v>
      </c>
      <c r="C32" s="29">
        <v>683</v>
      </c>
      <c r="D32" s="29" t="s">
        <v>74</v>
      </c>
      <c r="E32" s="11">
        <v>1624</v>
      </c>
      <c r="F32" s="11">
        <v>30782</v>
      </c>
      <c r="G32" s="11">
        <v>4560</v>
      </c>
      <c r="H32" s="32">
        <f>_xlfn.XLOOKUP(Table124[[#This Row],[Shipment Number]], 'pivot '!A:A,'pivot '!G:G, "NF")</f>
        <v>2.0948552144568708</v>
      </c>
      <c r="I32" s="32">
        <f>(Table124[[#This Row],[Tiyaar/gaz]]/1.0936)</f>
        <v>4169.7147037307977</v>
      </c>
      <c r="J32" s="32">
        <f>Table124[[#This Row],[tiyar/meters]] *10</f>
        <v>41697.147037307979</v>
      </c>
      <c r="K32" s="29"/>
    </row>
    <row r="33" spans="1:11" x14ac:dyDescent="0.2">
      <c r="A33" s="28">
        <v>45875</v>
      </c>
      <c r="B33" s="29" t="s">
        <v>16</v>
      </c>
      <c r="C33" s="29">
        <v>684</v>
      </c>
      <c r="D33" s="29" t="s">
        <v>74</v>
      </c>
      <c r="E33" s="11">
        <v>1625</v>
      </c>
      <c r="F33" s="11">
        <v>82148</v>
      </c>
      <c r="G33" s="11">
        <v>2156</v>
      </c>
      <c r="H33" s="32">
        <f>_xlfn.XLOOKUP(Table124[[#This Row],[Shipment Number]], 'pivot '!A:A,'pivot '!G:G, "NF")</f>
        <v>1.0397188808936448</v>
      </c>
      <c r="I33" s="32">
        <f>(Table124[[#This Row],[Tiyaar/gaz]]/1.0936)</f>
        <v>1971.4703730797369</v>
      </c>
      <c r="J33" s="32">
        <f>Table124[[#This Row],[tiyar/meters]] *10.5</f>
        <v>20700.438917337236</v>
      </c>
      <c r="K33" s="29"/>
    </row>
    <row r="34" spans="1:11" x14ac:dyDescent="0.2">
      <c r="A34" s="28">
        <v>45875</v>
      </c>
      <c r="B34" s="29" t="s">
        <v>17</v>
      </c>
      <c r="C34" s="29">
        <v>685</v>
      </c>
      <c r="D34" s="29" t="s">
        <v>160</v>
      </c>
      <c r="E34" s="11">
        <v>1618</v>
      </c>
      <c r="F34" s="11">
        <v>8417</v>
      </c>
      <c r="G34" s="11">
        <v>7260</v>
      </c>
      <c r="H34" s="32">
        <f>_xlfn.XLOOKUP(Table124[[#This Row],[Shipment Number]], 'pivot '!A:A,'pivot '!G:G, "NF")</f>
        <v>1.2475101118638463</v>
      </c>
      <c r="I34" s="32">
        <f>(Table124[[#This Row],[Tiyaar/gaz]]/1.0936)</f>
        <v>6638.6247256766646</v>
      </c>
      <c r="J34" s="32">
        <f>Table124[[#This Row],[tiyar/meters]] *12</f>
        <v>79663.496708119972</v>
      </c>
      <c r="K34" s="29"/>
    </row>
    <row r="35" spans="1:11" x14ac:dyDescent="0.2">
      <c r="A35" s="28">
        <v>45875</v>
      </c>
      <c r="B35" s="29" t="s">
        <v>17</v>
      </c>
      <c r="C35" s="29">
        <v>686</v>
      </c>
      <c r="D35" s="29" t="s">
        <v>160</v>
      </c>
      <c r="E35" s="11">
        <v>1611</v>
      </c>
      <c r="F35" s="11">
        <v>11690</v>
      </c>
      <c r="G35" s="11">
        <v>6915</v>
      </c>
      <c r="H35" s="32">
        <f>_xlfn.XLOOKUP(Table124[[#This Row],[Shipment Number]], 'pivot '!A:A,'pivot '!G:G, "NF")</f>
        <v>-0.69473342999444299</v>
      </c>
      <c r="I35" s="32">
        <f>(Table124[[#This Row],[Tiyaar/gaz]]/1.0936)</f>
        <v>6323.1528895391375</v>
      </c>
      <c r="J35" s="32">
        <f>Table124[[#This Row],[tiyar/meters]] *12</f>
        <v>75877.834674469646</v>
      </c>
      <c r="K35" s="29"/>
    </row>
    <row r="36" spans="1:11" x14ac:dyDescent="0.2">
      <c r="A36" s="28">
        <v>45875</v>
      </c>
      <c r="B36" s="29" t="s">
        <v>17</v>
      </c>
      <c r="C36" s="29">
        <v>687</v>
      </c>
      <c r="D36" s="29" t="s">
        <v>160</v>
      </c>
      <c r="E36" s="11">
        <v>1618</v>
      </c>
      <c r="F36" s="11">
        <v>8417</v>
      </c>
      <c r="G36" s="11">
        <v>1830</v>
      </c>
      <c r="H36" s="32">
        <f>_xlfn.XLOOKUP(Table124[[#This Row],[Shipment Number]], 'pivot '!A:A,'pivot '!G:G, "NF")</f>
        <v>1.2475101118638463</v>
      </c>
      <c r="I36" s="32">
        <f>(Table124[[#This Row],[Tiyaar/gaz]]/1.0936)</f>
        <v>1673.3723482077544</v>
      </c>
      <c r="J36" s="32">
        <f>Table124[[#This Row],[tiyar/meters]] *12</f>
        <v>20080.468178493051</v>
      </c>
      <c r="K36" s="29"/>
    </row>
    <row r="37" spans="1:11" x14ac:dyDescent="0.2">
      <c r="A37" s="28">
        <v>45875</v>
      </c>
      <c r="B37" s="29" t="s">
        <v>17</v>
      </c>
      <c r="C37" s="29">
        <v>688</v>
      </c>
      <c r="D37" s="29" t="s">
        <v>160</v>
      </c>
      <c r="E37" s="11">
        <v>1611</v>
      </c>
      <c r="F37" s="11">
        <v>11690</v>
      </c>
      <c r="G37" s="11">
        <v>5958</v>
      </c>
      <c r="H37" s="32">
        <f>_xlfn.XLOOKUP(Table124[[#This Row],[Shipment Number]], 'pivot '!A:A,'pivot '!G:G, "NF")</f>
        <v>-0.69473342999444299</v>
      </c>
      <c r="I37" s="32">
        <f>(Table124[[#This Row],[Tiyaar/gaz]]/1.0936)</f>
        <v>5448.0614484272137</v>
      </c>
      <c r="J37" s="32">
        <f>Table124[[#This Row],[tiyar/meters]] *12</f>
        <v>65376.737381126564</v>
      </c>
      <c r="K37" s="29"/>
    </row>
    <row r="38" spans="1:11" x14ac:dyDescent="0.2">
      <c r="A38" s="28">
        <v>45877</v>
      </c>
      <c r="B38" s="29" t="s">
        <v>16</v>
      </c>
      <c r="C38" s="29">
        <v>689</v>
      </c>
      <c r="D38" s="29" t="s">
        <v>74</v>
      </c>
      <c r="E38" s="11">
        <v>1625</v>
      </c>
      <c r="F38" s="11">
        <v>82148</v>
      </c>
      <c r="G38" s="11">
        <v>44803</v>
      </c>
      <c r="H38" s="32">
        <f>_xlfn.XLOOKUP(Table124[[#This Row],[Shipment Number]], 'pivot '!A:A,'pivot '!G:G, "NF")</f>
        <v>1.0397188808936448</v>
      </c>
      <c r="I38" s="32">
        <f>(Table124[[#This Row],[Tiyaar/gaz]]/1.0936)</f>
        <v>40968.361375274326</v>
      </c>
      <c r="J38" s="32">
        <f>Table124[[#This Row],[tiyar/meters]] *10.5</f>
        <v>430167.79444038041</v>
      </c>
      <c r="K38" s="29"/>
    </row>
    <row r="39" spans="1:11" x14ac:dyDescent="0.2">
      <c r="A39" s="28">
        <v>45877</v>
      </c>
      <c r="B39" s="29" t="s">
        <v>16</v>
      </c>
      <c r="C39" s="29">
        <v>690</v>
      </c>
      <c r="D39" s="29" t="s">
        <v>74</v>
      </c>
      <c r="E39" s="11">
        <v>1625</v>
      </c>
      <c r="F39" s="11">
        <v>82148</v>
      </c>
      <c r="G39" s="11">
        <v>37802</v>
      </c>
      <c r="H39" s="32">
        <f>_xlfn.XLOOKUP(Table124[[#This Row],[Shipment Number]], 'pivot '!A:A,'pivot '!G:G, "NF")</f>
        <v>1.0397188808936448</v>
      </c>
      <c r="I39" s="32">
        <f>(Table124[[#This Row],[Tiyaar/gaz]]/1.0936)</f>
        <v>34566.569129480617</v>
      </c>
      <c r="J39" s="32">
        <f>Table124[[#This Row],[tiyar/meters]] *10.5</f>
        <v>362948.97585954645</v>
      </c>
      <c r="K39" s="29"/>
    </row>
    <row r="40" spans="1:11" x14ac:dyDescent="0.2">
      <c r="A40" s="28">
        <v>45877</v>
      </c>
      <c r="B40" s="29" t="s">
        <v>14</v>
      </c>
      <c r="C40" s="29">
        <v>691</v>
      </c>
      <c r="D40" s="29" t="s">
        <v>74</v>
      </c>
      <c r="E40" s="11">
        <v>1629</v>
      </c>
      <c r="F40" s="11">
        <v>29868</v>
      </c>
      <c r="G40" s="11">
        <v>10936</v>
      </c>
      <c r="H40" s="32">
        <f>_xlfn.XLOOKUP(Table124[[#This Row],[Shipment Number]], 'pivot '!A:A,'pivot '!G:G, "NF")</f>
        <v>-0.54603581777867305</v>
      </c>
      <c r="I40" s="32">
        <f>(Table124[[#This Row],[Tiyaar/gaz]]/1.0936)</f>
        <v>10000</v>
      </c>
      <c r="J40" s="32">
        <f>Table124[[#This Row],[tiyar/meters]] *10</f>
        <v>100000</v>
      </c>
      <c r="K40" s="29"/>
    </row>
    <row r="41" spans="1:11" x14ac:dyDescent="0.2">
      <c r="A41" s="28">
        <v>45877</v>
      </c>
      <c r="B41" s="29" t="s">
        <v>16</v>
      </c>
      <c r="C41" s="29">
        <v>692</v>
      </c>
      <c r="D41" s="29" t="s">
        <v>74</v>
      </c>
      <c r="E41" s="11">
        <v>1625</v>
      </c>
      <c r="F41" s="11">
        <v>82148</v>
      </c>
      <c r="G41" s="11">
        <v>4142</v>
      </c>
      <c r="H41" s="32">
        <f>_xlfn.XLOOKUP(Table124[[#This Row],[Shipment Number]], 'pivot '!A:A,'pivot '!G:G, "NF")</f>
        <v>1.0397188808936448</v>
      </c>
      <c r="I41" s="32">
        <f>(Table124[[#This Row],[Tiyaar/gaz]]/1.0936)</f>
        <v>3787.4908558888078</v>
      </c>
      <c r="J41" s="32">
        <f>Table124[[#This Row],[tiyar/meters]] *10.5</f>
        <v>39768.653986832483</v>
      </c>
      <c r="K41" s="29"/>
    </row>
    <row r="42" spans="1:11" x14ac:dyDescent="0.2">
      <c r="A42" s="28">
        <v>45878</v>
      </c>
      <c r="B42" s="29" t="s">
        <v>201</v>
      </c>
      <c r="C42" s="29">
        <v>693</v>
      </c>
      <c r="D42" s="29" t="s">
        <v>74</v>
      </c>
      <c r="E42" s="11">
        <v>1624</v>
      </c>
      <c r="F42" s="11">
        <v>30782</v>
      </c>
      <c r="G42" s="11">
        <v>25948</v>
      </c>
      <c r="H42" s="32">
        <f>_xlfn.XLOOKUP(Table124[[#This Row],[Shipment Number]], 'pivot '!A:A,'pivot '!G:G, "NF")</f>
        <v>2.0948552144568708</v>
      </c>
      <c r="I42" s="32">
        <f>(Table124[[#This Row],[Tiyaar/gaz]]/1.0936)</f>
        <v>23727.139722019023</v>
      </c>
      <c r="J42" s="32">
        <f>Table124[[#This Row],[tiyar/meters]] *10</f>
        <v>237271.39722019024</v>
      </c>
      <c r="K42" s="29"/>
    </row>
    <row r="43" spans="1:11" x14ac:dyDescent="0.2">
      <c r="A43" s="28">
        <v>45878</v>
      </c>
      <c r="B43" s="29" t="s">
        <v>201</v>
      </c>
      <c r="C43" s="29">
        <v>694</v>
      </c>
      <c r="D43" s="29" t="s">
        <v>74</v>
      </c>
      <c r="E43" s="11">
        <v>1629</v>
      </c>
      <c r="F43" s="11">
        <v>29868</v>
      </c>
      <c r="G43" s="11">
        <v>17437</v>
      </c>
      <c r="H43" s="32">
        <f>_xlfn.XLOOKUP(Table124[[#This Row],[Shipment Number]], 'pivot '!A:A,'pivot '!G:G, "NF")</f>
        <v>-0.54603581777867305</v>
      </c>
      <c r="I43" s="32">
        <f>(Table124[[#This Row],[Tiyaar/gaz]]/1.0936)</f>
        <v>15944.586686174105</v>
      </c>
      <c r="J43" s="32">
        <f>Table124[[#This Row],[tiyar/meters]] *10</f>
        <v>159445.86686174106</v>
      </c>
      <c r="K43" s="29"/>
    </row>
    <row r="44" spans="1:11" x14ac:dyDescent="0.2">
      <c r="A44" s="28">
        <v>45879</v>
      </c>
      <c r="B44" s="29" t="s">
        <v>201</v>
      </c>
      <c r="C44" s="29">
        <v>695</v>
      </c>
      <c r="D44" s="29" t="s">
        <v>74</v>
      </c>
      <c r="E44" s="11">
        <v>1631</v>
      </c>
      <c r="F44" s="11">
        <v>62156</v>
      </c>
      <c r="G44" s="11">
        <v>46107</v>
      </c>
      <c r="H44" s="32">
        <f>_xlfn.XLOOKUP(Table124[[#This Row],[Shipment Number]], 'pivot '!A:A,'pivot '!G:G, "NF")</f>
        <v>1.8298249777455311</v>
      </c>
      <c r="I44" s="32">
        <f>(Table124[[#This Row],[Tiyaar/gaz]]/1.0936)</f>
        <v>42160.753474762256</v>
      </c>
      <c r="J44" s="32">
        <f>Table124[[#This Row],[tiyar/meters]] *10</f>
        <v>421607.53474762256</v>
      </c>
      <c r="K44" s="29"/>
    </row>
    <row r="45" spans="1:11" x14ac:dyDescent="0.2">
      <c r="A45" s="28">
        <v>45879</v>
      </c>
      <c r="B45" s="29" t="s">
        <v>202</v>
      </c>
      <c r="C45" s="29">
        <v>696</v>
      </c>
      <c r="D45" s="29" t="s">
        <v>204</v>
      </c>
      <c r="E45" s="11">
        <v>1604</v>
      </c>
      <c r="F45" s="11">
        <v>24286</v>
      </c>
      <c r="G45" s="11">
        <v>23897</v>
      </c>
      <c r="H45" s="32">
        <f>_xlfn.XLOOKUP(Table124[[#This Row],[Shipment Number]], 'pivot '!A:A,'pivot '!G:G, "NF")</f>
        <v>10.023542302316557</v>
      </c>
      <c r="I45" s="32">
        <f>(Table124[[#This Row],[Tiyaar/gaz]]/1.0936)</f>
        <v>21851.682516459401</v>
      </c>
      <c r="J45" s="32">
        <f>Table124[[#This Row],[tiyar/meters]] *10</f>
        <v>218516.82516459402</v>
      </c>
      <c r="K45" s="29"/>
    </row>
    <row r="46" spans="1:11" x14ac:dyDescent="0.2">
      <c r="A46" s="28">
        <v>45881</v>
      </c>
      <c r="B46" s="29" t="s">
        <v>219</v>
      </c>
      <c r="C46" s="29">
        <v>697</v>
      </c>
      <c r="D46" s="29" t="s">
        <v>74</v>
      </c>
      <c r="E46" s="11">
        <v>1627</v>
      </c>
      <c r="F46" s="11">
        <v>20316</v>
      </c>
      <c r="G46" s="11">
        <v>19655</v>
      </c>
      <c r="H46" s="32">
        <f>_xlfn.XLOOKUP(Table124[[#This Row],[Shipment Number]], 'pivot '!A:A,'pivot '!G:G, "NF")</f>
        <v>1.8479854437416066</v>
      </c>
      <c r="I46" s="32">
        <f>(Table124[[#This Row],[Tiyaar/gaz]]/1.0936)</f>
        <v>17972.750548646673</v>
      </c>
      <c r="J46" s="32">
        <f>Table124[[#This Row],[tiyar/meters]] *10</f>
        <v>179727.50548646672</v>
      </c>
      <c r="K46" s="29"/>
    </row>
    <row r="47" spans="1:11" x14ac:dyDescent="0.2">
      <c r="A47" s="28">
        <v>45881</v>
      </c>
      <c r="B47" s="29" t="s">
        <v>17</v>
      </c>
      <c r="C47" s="29">
        <v>698</v>
      </c>
      <c r="D47" s="29" t="s">
        <v>74</v>
      </c>
      <c r="E47" s="11">
        <v>1615</v>
      </c>
      <c r="F47" s="11">
        <f>12933/1.0936</f>
        <v>11826.079005120704</v>
      </c>
      <c r="G47" s="11">
        <f>13044</f>
        <v>13044</v>
      </c>
      <c r="H47" s="32">
        <f>_xlfn.XLOOKUP(Table124[[#This Row],[Shipment Number]], 'pivot '!A:A,'pivot '!G:G, "NF")</f>
        <v>-0.85826954302945069</v>
      </c>
      <c r="I47" s="32">
        <f>(Table124[[#This Row],[Tiyaar/gaz]]/1.0936)</f>
        <v>11927.578639356256</v>
      </c>
      <c r="J47" s="32">
        <f>Table124[[#This Row],[tiyar/meters]] *10</f>
        <v>119275.78639356256</v>
      </c>
      <c r="K47" s="29"/>
    </row>
    <row r="48" spans="1:11" x14ac:dyDescent="0.2">
      <c r="A48" s="28">
        <v>45881</v>
      </c>
      <c r="B48" s="29" t="s">
        <v>14</v>
      </c>
      <c r="C48" s="29">
        <v>699</v>
      </c>
      <c r="D48" s="29" t="s">
        <v>74</v>
      </c>
      <c r="E48" s="11">
        <v>1630</v>
      </c>
      <c r="F48" s="11">
        <v>33327</v>
      </c>
      <c r="G48" s="11">
        <v>20388</v>
      </c>
      <c r="H48" s="32">
        <f>_xlfn.XLOOKUP(Table124[[#This Row],[Shipment Number]], 'pivot '!A:A,'pivot '!G:G, "NF")</f>
        <v>2.360746274052488</v>
      </c>
      <c r="I48" s="32">
        <f>(Table124[[#This Row],[Tiyaar/gaz]]/1.0936)</f>
        <v>18643.013899049012</v>
      </c>
      <c r="J48" s="32">
        <f>Table124[[#This Row],[tiyar/meters]] *10</f>
        <v>186430.13899049012</v>
      </c>
      <c r="K48" s="29"/>
    </row>
    <row r="49" spans="1:11" x14ac:dyDescent="0.2">
      <c r="A49" s="28">
        <v>45881</v>
      </c>
      <c r="B49" s="29" t="s">
        <v>14</v>
      </c>
      <c r="C49" s="29">
        <v>700</v>
      </c>
      <c r="D49" s="29" t="s">
        <v>74</v>
      </c>
      <c r="E49" s="11">
        <v>1635</v>
      </c>
      <c r="F49" s="11">
        <v>35020</v>
      </c>
      <c r="G49" s="11">
        <v>9669</v>
      </c>
      <c r="H49" s="32">
        <f>_xlfn.XLOOKUP(Table124[[#This Row],[Shipment Number]], 'pivot '!A:A,'pivot '!G:G, "NF")</f>
        <v>0.4905546710271409</v>
      </c>
      <c r="I49" s="32">
        <f>(Table124[[#This Row],[Tiyaar/gaz]]/1.0936)</f>
        <v>8841.4411119239212</v>
      </c>
      <c r="J49" s="32">
        <f>Table124[[#This Row],[tiyar/meters]] *10</f>
        <v>88414.411119239216</v>
      </c>
      <c r="K49" s="29"/>
    </row>
    <row r="50" spans="1:11" x14ac:dyDescent="0.2">
      <c r="A50" s="28">
        <v>45882</v>
      </c>
      <c r="B50" s="29" t="s">
        <v>17</v>
      </c>
      <c r="C50" s="29">
        <v>701</v>
      </c>
      <c r="D50" s="29" t="s">
        <v>74</v>
      </c>
      <c r="E50" s="11">
        <v>1617</v>
      </c>
      <c r="F50" s="11">
        <v>21958</v>
      </c>
      <c r="G50" s="11">
        <v>6236</v>
      </c>
      <c r="H50" s="32">
        <f>_xlfn.XLOOKUP(Table124[[#This Row],[Shipment Number]], 'pivot '!A:A,'pivot '!G:G, "NF")</f>
        <v>1.5919065545961786</v>
      </c>
      <c r="I50" s="32">
        <f>(Table124[[#This Row],[Tiyaar/gaz]]/1.0936)</f>
        <v>5702.2677395757137</v>
      </c>
      <c r="J50" s="32">
        <f>Table124[[#This Row],[tiyar/meters]] *10</f>
        <v>57022.677395757135</v>
      </c>
      <c r="K50" s="29"/>
    </row>
    <row r="51" spans="1:11" x14ac:dyDescent="0.2">
      <c r="A51" s="28">
        <v>45882</v>
      </c>
      <c r="B51" s="29" t="s">
        <v>14</v>
      </c>
      <c r="C51" s="29">
        <v>702</v>
      </c>
      <c r="D51" s="29" t="s">
        <v>74</v>
      </c>
      <c r="E51" s="11">
        <v>1630</v>
      </c>
      <c r="F51" s="11">
        <v>33327</v>
      </c>
      <c r="G51" s="11">
        <v>15198</v>
      </c>
      <c r="H51" s="32">
        <f>_xlfn.XLOOKUP(Table124[[#This Row],[Shipment Number]], 'pivot '!A:A,'pivot '!G:G, "NF")</f>
        <v>2.360746274052488</v>
      </c>
      <c r="I51" s="32">
        <f>(Table124[[#This Row],[Tiyaar/gaz]]/1.0936)</f>
        <v>13897.220190197513</v>
      </c>
      <c r="J51" s="32">
        <f>Table124[[#This Row],[tiyar/meters]] *10</f>
        <v>138972.20190197515</v>
      </c>
      <c r="K51" s="29"/>
    </row>
    <row r="52" spans="1:11" x14ac:dyDescent="0.2">
      <c r="A52" s="28">
        <v>45882</v>
      </c>
      <c r="B52" s="29" t="s">
        <v>14</v>
      </c>
      <c r="C52" s="29">
        <v>703</v>
      </c>
      <c r="D52" s="29" t="s">
        <v>74</v>
      </c>
      <c r="E52" s="11">
        <v>1635</v>
      </c>
      <c r="F52" s="11">
        <v>35020</v>
      </c>
      <c r="G52" s="11">
        <v>15213</v>
      </c>
      <c r="H52" s="32">
        <f>_xlfn.XLOOKUP(Table124[[#This Row],[Shipment Number]], 'pivot '!A:A,'pivot '!G:G, "NF")</f>
        <v>0.4905546710271409</v>
      </c>
      <c r="I52" s="32">
        <f>(Table124[[#This Row],[Tiyaar/gaz]]/1.0936)</f>
        <v>13910.936356986102</v>
      </c>
      <c r="J52" s="32">
        <f>Table124[[#This Row],[tiyar/meters]] *10</f>
        <v>139109.36356986102</v>
      </c>
      <c r="K52" s="29"/>
    </row>
    <row r="53" spans="1:11" x14ac:dyDescent="0.2">
      <c r="A53" s="28">
        <v>45882</v>
      </c>
      <c r="B53" s="29" t="s">
        <v>201</v>
      </c>
      <c r="C53" s="29">
        <v>704</v>
      </c>
      <c r="D53" s="29" t="s">
        <v>74</v>
      </c>
      <c r="E53" s="11">
        <v>1631</v>
      </c>
      <c r="F53" s="11">
        <v>62156</v>
      </c>
      <c r="G53" s="11">
        <v>2262</v>
      </c>
      <c r="H53" s="32">
        <f>_xlfn.XLOOKUP(Table124[[#This Row],[Shipment Number]], 'pivot '!A:A,'pivot '!G:G, "NF")</f>
        <v>1.8298249777455311</v>
      </c>
      <c r="I53" s="32">
        <f>(Table124[[#This Row],[Tiyaar/gaz]]/1.0936)</f>
        <v>2068.3979517190933</v>
      </c>
      <c r="J53" s="32">
        <f>Table124[[#This Row],[tiyar/meters]] *10</f>
        <v>20683.979517190932</v>
      </c>
      <c r="K53" s="29"/>
    </row>
    <row r="54" spans="1:11" x14ac:dyDescent="0.2">
      <c r="A54" s="28">
        <v>45882</v>
      </c>
      <c r="B54" s="29" t="s">
        <v>219</v>
      </c>
      <c r="C54" s="29">
        <v>705</v>
      </c>
      <c r="D54" s="29" t="s">
        <v>74</v>
      </c>
      <c r="E54" s="11">
        <v>1627</v>
      </c>
      <c r="F54" s="11">
        <v>20316</v>
      </c>
      <c r="G54" s="11">
        <v>2152</v>
      </c>
      <c r="H54" s="32">
        <f>_xlfn.XLOOKUP(Table124[[#This Row],[Shipment Number]], 'pivot '!A:A,'pivot '!G:G, "NF")</f>
        <v>1.8479854437416066</v>
      </c>
      <c r="I54" s="32">
        <f>(Table124[[#This Row],[Tiyaar/gaz]]/1.0936)</f>
        <v>1967.81272860278</v>
      </c>
      <c r="J54" s="32">
        <f>Table124[[#This Row],[tiyar/meters]] *10</f>
        <v>19678.1272860278</v>
      </c>
      <c r="K54" s="29"/>
    </row>
    <row r="55" spans="1:11" x14ac:dyDescent="0.2">
      <c r="A55" s="28">
        <v>45882</v>
      </c>
      <c r="B55" s="29" t="s">
        <v>201</v>
      </c>
      <c r="C55" s="29">
        <v>706</v>
      </c>
      <c r="D55" s="29" t="s">
        <v>74</v>
      </c>
      <c r="E55" s="11">
        <v>1637</v>
      </c>
      <c r="F55" s="11">
        <v>35058</v>
      </c>
      <c r="G55" s="11">
        <v>36984</v>
      </c>
      <c r="H55" s="32">
        <f>_xlfn.XLOOKUP(Table124[[#This Row],[Shipment Number]], 'pivot '!A:A,'pivot '!G:G, "NF")</f>
        <v>3.535339055442563</v>
      </c>
      <c r="I55" s="32">
        <f>(Table124[[#This Row],[Tiyaar/gaz]]/1.0936)</f>
        <v>33818.580833942942</v>
      </c>
      <c r="J55" s="32">
        <f>Table124[[#This Row],[tiyar/meters]] *10</f>
        <v>338185.80833942944</v>
      </c>
      <c r="K55" s="29"/>
    </row>
    <row r="56" spans="1:11" x14ac:dyDescent="0.2">
      <c r="A56" s="28">
        <v>45884</v>
      </c>
      <c r="B56" s="29" t="s">
        <v>17</v>
      </c>
      <c r="C56" s="29">
        <v>707</v>
      </c>
      <c r="D56" s="29" t="s">
        <v>74</v>
      </c>
      <c r="E56" s="11">
        <v>1617</v>
      </c>
      <c r="F56" s="11">
        <v>21958</v>
      </c>
      <c r="G56" s="11">
        <v>17395</v>
      </c>
      <c r="H56" s="32">
        <f>_xlfn.XLOOKUP(Table124[[#This Row],[Shipment Number]], 'pivot '!A:A,'pivot '!G:G, "NF")</f>
        <v>1.5919065545961786</v>
      </c>
      <c r="I56" s="32">
        <f>(Table124[[#This Row],[Tiyaar/gaz]]/1.0936)</f>
        <v>15906.181419166058</v>
      </c>
      <c r="J56" s="32">
        <f>Table124[[#This Row],[tiyar/meters]] *10</f>
        <v>159061.81419166058</v>
      </c>
      <c r="K56" s="29"/>
    </row>
    <row r="57" spans="1:11" x14ac:dyDescent="0.2">
      <c r="A57" s="28">
        <v>45884</v>
      </c>
      <c r="B57" s="29" t="s">
        <v>201</v>
      </c>
      <c r="C57" s="29">
        <v>708</v>
      </c>
      <c r="D57" s="29" t="s">
        <v>74</v>
      </c>
      <c r="E57" s="11">
        <v>1629</v>
      </c>
      <c r="F57" s="11">
        <v>29868</v>
      </c>
      <c r="G57" s="11">
        <v>4469</v>
      </c>
      <c r="H57" s="32">
        <f>_xlfn.XLOOKUP(Table124[[#This Row],[Shipment Number]], 'pivot '!A:A,'pivot '!G:G, "NF")</f>
        <v>-0.54603581777867305</v>
      </c>
      <c r="I57" s="32">
        <f>(Table124[[#This Row],[Tiyaar/gaz]]/1.0936)</f>
        <v>4086.5032918800298</v>
      </c>
      <c r="J57" s="32">
        <f>Table124[[#This Row],[tiyar/meters]] *10</f>
        <v>40865.032918800294</v>
      </c>
      <c r="K57" s="29"/>
    </row>
    <row r="58" spans="1:11" x14ac:dyDescent="0.2">
      <c r="A58" s="28">
        <v>45884</v>
      </c>
      <c r="B58" s="29" t="s">
        <v>201</v>
      </c>
      <c r="C58" s="29">
        <v>709</v>
      </c>
      <c r="D58" s="29" t="s">
        <v>74</v>
      </c>
      <c r="E58" s="11">
        <v>1624</v>
      </c>
      <c r="F58" s="11">
        <v>30782</v>
      </c>
      <c r="G58" s="11">
        <v>2450</v>
      </c>
      <c r="H58" s="32">
        <f>_xlfn.XLOOKUP(Table124[[#This Row],[Shipment Number]], 'pivot '!A:A,'pivot '!G:G, "NF")</f>
        <v>2.0948552144568708</v>
      </c>
      <c r="I58" s="32">
        <f>(Table124[[#This Row],[Tiyaar/gaz]]/1.0936)</f>
        <v>2240.3072421360644</v>
      </c>
      <c r="J58" s="32">
        <f>Table124[[#This Row],[tiyar/meters]] *10</f>
        <v>22403.072421360645</v>
      </c>
      <c r="K58" s="29"/>
    </row>
    <row r="59" spans="1:11" x14ac:dyDescent="0.2">
      <c r="A59" s="28">
        <v>45885</v>
      </c>
      <c r="B59" s="29" t="s">
        <v>201</v>
      </c>
      <c r="C59" s="29">
        <v>710</v>
      </c>
      <c r="D59" s="29" t="s">
        <v>74</v>
      </c>
      <c r="E59" s="11">
        <v>1631</v>
      </c>
      <c r="F59" s="11">
        <v>62156</v>
      </c>
      <c r="G59" s="11">
        <v>18361</v>
      </c>
      <c r="H59" s="32">
        <f>_xlfn.XLOOKUP(Table124[[#This Row],[Shipment Number]], 'pivot '!A:A,'pivot '!G:G, "NF")</f>
        <v>1.8298249777455311</v>
      </c>
      <c r="I59" s="32">
        <f>(Table124[[#This Row],[Tiyaar/gaz]]/1.0936)</f>
        <v>16789.502560351135</v>
      </c>
      <c r="J59" s="32">
        <f>Table124[[#This Row],[tiyar/meters]] *10</f>
        <v>167895.02560351134</v>
      </c>
      <c r="K59" s="29"/>
    </row>
    <row r="60" spans="1:11" x14ac:dyDescent="0.2">
      <c r="A60" s="28">
        <v>45885</v>
      </c>
      <c r="B60" s="29" t="s">
        <v>201</v>
      </c>
      <c r="C60" s="29">
        <v>711</v>
      </c>
      <c r="D60" s="29" t="s">
        <v>74</v>
      </c>
      <c r="E60" s="11">
        <v>1642</v>
      </c>
      <c r="F60" s="11">
        <f>25093-1608</f>
        <v>23485</v>
      </c>
      <c r="G60" s="11">
        <v>17044</v>
      </c>
      <c r="H60" s="32">
        <f>_xlfn.XLOOKUP(Table124[[#This Row],[Shipment Number]], 'pivot '!A:A,'pivot '!G:G, "NF")</f>
        <v>0.45242032961940026</v>
      </c>
      <c r="I60" s="32">
        <f>(Table124[[#This Row],[Tiyaar/gaz]]/1.0936)</f>
        <v>15585.223116313096</v>
      </c>
      <c r="J60" s="32">
        <f>Table124[[#This Row],[tiyar/meters]] *10</f>
        <v>155852.23116313096</v>
      </c>
      <c r="K60" s="29"/>
    </row>
    <row r="61" spans="1:11" x14ac:dyDescent="0.2">
      <c r="A61" s="28">
        <v>45885</v>
      </c>
      <c r="B61" s="29" t="s">
        <v>12</v>
      </c>
      <c r="C61" s="29">
        <v>712</v>
      </c>
      <c r="D61" s="29" t="s">
        <v>74</v>
      </c>
      <c r="E61" s="11">
        <v>1613</v>
      </c>
      <c r="F61" s="98">
        <v>28459</v>
      </c>
      <c r="G61" s="11">
        <v>10001</v>
      </c>
      <c r="H61" s="32">
        <f>_xlfn.XLOOKUP(Table124[[#This Row],[Shipment Number]], 'pivot '!A:A,'pivot '!G:G, "NF")</f>
        <v>1.9913476574945577</v>
      </c>
      <c r="I61" s="32">
        <f>(Table124[[#This Row],[Tiyaar/gaz]]/1.0936)</f>
        <v>9145.0256035113398</v>
      </c>
      <c r="J61" s="32">
        <f>Table124[[#This Row],[tiyar/meters]] *10</f>
        <v>91450.256035113402</v>
      </c>
      <c r="K61" s="29"/>
    </row>
    <row r="62" spans="1:11" x14ac:dyDescent="0.2">
      <c r="A62" s="28">
        <v>45885</v>
      </c>
      <c r="B62" s="29" t="s">
        <v>12</v>
      </c>
      <c r="C62" s="29">
        <v>713</v>
      </c>
      <c r="D62" s="29" t="s">
        <v>74</v>
      </c>
      <c r="E62" s="11">
        <v>1613</v>
      </c>
      <c r="F62" s="11">
        <v>28459</v>
      </c>
      <c r="G62" s="11">
        <v>20502</v>
      </c>
      <c r="H62" s="32">
        <f>_xlfn.XLOOKUP(Table124[[#This Row],[Shipment Number]], 'pivot '!A:A,'pivot '!G:G, "NF")</f>
        <v>1.9913476574945577</v>
      </c>
      <c r="I62" s="32">
        <f>(Table124[[#This Row],[Tiyaar/gaz]]/1.0936)</f>
        <v>18747.256766642284</v>
      </c>
      <c r="J62" s="32">
        <f>Table124[[#This Row],[tiyar/meters]] *10</f>
        <v>187472.56766642284</v>
      </c>
      <c r="K62" s="29"/>
    </row>
    <row r="63" spans="1:11" x14ac:dyDescent="0.2">
      <c r="A63" s="28">
        <v>45885</v>
      </c>
      <c r="B63" s="29" t="s">
        <v>14</v>
      </c>
      <c r="C63" s="29">
        <v>714</v>
      </c>
      <c r="D63" s="29" t="s">
        <v>74</v>
      </c>
      <c r="E63" s="11">
        <v>1635</v>
      </c>
      <c r="F63" s="11">
        <v>35020</v>
      </c>
      <c r="G63" s="11">
        <v>5324</v>
      </c>
      <c r="H63" s="32">
        <f>_xlfn.XLOOKUP(Table124[[#This Row],[Shipment Number]], 'pivot '!A:A,'pivot '!G:G, "NF")</f>
        <v>0.4905546710271409</v>
      </c>
      <c r="I63" s="32">
        <f>(Table124[[#This Row],[Tiyaar/gaz]]/1.0936)</f>
        <v>4868.3247988295543</v>
      </c>
      <c r="J63" s="32">
        <f>Table124[[#This Row],[tiyar/meters]] *10</f>
        <v>48683.247988295545</v>
      </c>
      <c r="K63" s="29"/>
    </row>
    <row r="64" spans="1:11" x14ac:dyDescent="0.2">
      <c r="A64" s="28">
        <v>45885</v>
      </c>
      <c r="B64" s="29" t="s">
        <v>17</v>
      </c>
      <c r="C64" s="29">
        <v>715</v>
      </c>
      <c r="D64" s="29" t="s">
        <v>74</v>
      </c>
      <c r="E64" s="11">
        <v>1634</v>
      </c>
      <c r="F64" s="11">
        <v>18531</v>
      </c>
      <c r="G64" s="11">
        <v>19961</v>
      </c>
      <c r="H64" s="32">
        <f>_xlfn.XLOOKUP(Table124[[#This Row],[Shipment Number]], 'pivot '!A:A,'pivot '!G:G, "NF")</f>
        <v>1.5025613775086555</v>
      </c>
      <c r="I64" s="32">
        <f>(Table124[[#This Row],[Tiyaar/gaz]]/1.0936)</f>
        <v>18252.56035113387</v>
      </c>
      <c r="J64" s="32">
        <f>Table124[[#This Row],[tiyar/meters]] *10</f>
        <v>182525.6035113387</v>
      </c>
      <c r="K64" s="29"/>
    </row>
    <row r="65" spans="1:11" x14ac:dyDescent="0.2">
      <c r="A65" s="28">
        <v>45885</v>
      </c>
      <c r="B65" s="29" t="s">
        <v>14</v>
      </c>
      <c r="C65" s="29">
        <v>717</v>
      </c>
      <c r="D65" s="29" t="s">
        <v>74</v>
      </c>
      <c r="E65" s="11">
        <v>1645</v>
      </c>
      <c r="F65" s="11">
        <v>8547</v>
      </c>
      <c r="G65" s="11">
        <v>9238</v>
      </c>
      <c r="H65" s="32">
        <f>_xlfn.XLOOKUP(Table124[[#This Row],[Shipment Number]], 'pivot '!A:A,'pivot '!G:G, "NF")</f>
        <v>1.1661411076187846</v>
      </c>
      <c r="I65" s="32">
        <f>(Table124[[#This Row],[Tiyaar/gaz]]/1.0936)</f>
        <v>8447.3299195318214</v>
      </c>
      <c r="J65" s="32">
        <f>Table124[[#This Row],[tiyar/meters]] *10</f>
        <v>84473.299195318221</v>
      </c>
      <c r="K65" s="29"/>
    </row>
    <row r="66" spans="1:11" x14ac:dyDescent="0.2">
      <c r="A66" s="28">
        <v>45885</v>
      </c>
      <c r="B66" s="29" t="s">
        <v>14</v>
      </c>
      <c r="C66" s="29">
        <v>718</v>
      </c>
      <c r="D66" s="29" t="s">
        <v>74</v>
      </c>
      <c r="E66" s="11">
        <v>1635</v>
      </c>
      <c r="F66" s="11">
        <v>35020</v>
      </c>
      <c r="G66" s="11">
        <v>7904</v>
      </c>
      <c r="H66" s="32">
        <f>_xlfn.XLOOKUP(Table124[[#This Row],[Shipment Number]], 'pivot '!A:A,'pivot '!G:G, "NF")</f>
        <v>0.4905546710271409</v>
      </c>
      <c r="I66" s="32">
        <f>(Table124[[#This Row],[Tiyaar/gaz]]/1.0936)</f>
        <v>7227.5054864667163</v>
      </c>
      <c r="J66" s="32">
        <f>Table124[[#This Row],[tiyar/meters]] *10</f>
        <v>72275.054864667167</v>
      </c>
      <c r="K66" s="29"/>
    </row>
    <row r="67" spans="1:11" x14ac:dyDescent="0.2">
      <c r="A67" s="28">
        <v>45885</v>
      </c>
      <c r="B67" s="29" t="s">
        <v>14</v>
      </c>
      <c r="C67" s="29">
        <v>719</v>
      </c>
      <c r="D67" s="29" t="s">
        <v>74</v>
      </c>
      <c r="E67" s="11">
        <v>1642</v>
      </c>
      <c r="F67" s="11">
        <f>25093-1608</f>
        <v>23485</v>
      </c>
      <c r="G67" s="11">
        <v>8523</v>
      </c>
      <c r="H67" s="32">
        <f>_xlfn.XLOOKUP(Table124[[#This Row],[Shipment Number]], 'pivot '!A:A,'pivot '!G:G, "NF")</f>
        <v>0.45242032961940026</v>
      </c>
      <c r="I67" s="32">
        <f>(Table124[[#This Row],[Tiyaar/gaz]]/1.0936)</f>
        <v>7793.5259692757872</v>
      </c>
      <c r="J67" s="32">
        <f>Table124[[#This Row],[tiyar/meters]] *10</f>
        <v>77935.259692757871</v>
      </c>
      <c r="K67" s="29"/>
    </row>
    <row r="68" spans="1:11" x14ac:dyDescent="0.2">
      <c r="A68" s="28">
        <v>45885</v>
      </c>
      <c r="B68" s="29" t="s">
        <v>17</v>
      </c>
      <c r="C68" s="29">
        <v>720</v>
      </c>
      <c r="D68" s="29" t="s">
        <v>74</v>
      </c>
      <c r="E68" s="11">
        <v>1638</v>
      </c>
      <c r="F68" s="11">
        <v>13542</v>
      </c>
      <c r="G68" s="11">
        <v>14736</v>
      </c>
      <c r="H68" s="32">
        <f>_xlfn.XLOOKUP(Table124[[#This Row],[Shipment Number]], 'pivot '!A:A,'pivot '!G:G, "NF")</f>
        <v>0.4965126782676208</v>
      </c>
      <c r="I68" s="32">
        <f>(Table124[[#This Row],[Tiyaar/gaz]]/1.0936)</f>
        <v>13474.762253108998</v>
      </c>
      <c r="J68" s="32">
        <f>Table124[[#This Row],[tiyar/meters]] *10</f>
        <v>134747.62253108999</v>
      </c>
      <c r="K68" s="29"/>
    </row>
    <row r="69" spans="1:11" x14ac:dyDescent="0.2">
      <c r="A69" s="28">
        <v>45885</v>
      </c>
      <c r="B69" s="29"/>
      <c r="C69" s="29"/>
      <c r="D69" s="29"/>
      <c r="E69" s="11"/>
      <c r="F69" s="11"/>
      <c r="G69" s="11"/>
      <c r="H69" s="32" t="e">
        <f>_xlfn.XLOOKUP(Table124[[#This Row],[Shipment Number]], 'pivot '!A:A,'pivot '!G:G, "NF")</f>
        <v>#DIV/0!</v>
      </c>
      <c r="I69" s="32">
        <f>(Table124[[#This Row],[Tiyaar/gaz]]/1.0936)</f>
        <v>0</v>
      </c>
      <c r="J69" s="32">
        <f>Table124[[#This Row],[tiyar/meters]] *10</f>
        <v>0</v>
      </c>
      <c r="K69" s="29"/>
    </row>
    <row r="70" spans="1:11" x14ac:dyDescent="0.2">
      <c r="E70" s="14"/>
      <c r="F70" s="14"/>
      <c r="G70" s="14"/>
      <c r="H70" s="52"/>
      <c r="I70" s="52">
        <f>SUBTOTAL(109,Table124[tiyar/meters])</f>
        <v>972869.42209217278</v>
      </c>
      <c r="J70" s="52">
        <f>SUBTOTAL(109,Table124[billing])</f>
        <v>9810438.4601316731</v>
      </c>
      <c r="K70">
        <f>SUM(Table124[billing])</f>
        <v>9810438.4601316731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M89"/>
  <sheetViews>
    <sheetView topLeftCell="A16" zoomScale="119" workbookViewId="0">
      <selection activeCell="J17" sqref="J17"/>
    </sheetView>
  </sheetViews>
  <sheetFormatPr defaultRowHeight="15" x14ac:dyDescent="0.2"/>
  <cols>
    <col min="1" max="1" width="12.375" bestFit="1" customWidth="1"/>
    <col min="2" max="2" width="16.94921875" bestFit="1" customWidth="1"/>
    <col min="3" max="3" width="11.1640625" bestFit="1" customWidth="1"/>
    <col min="4" max="4" width="11.02734375" bestFit="1" customWidth="1"/>
    <col min="5" max="5" width="14.390625" bestFit="1" customWidth="1"/>
    <col min="6" max="7" width="11.703125" customWidth="1"/>
    <col min="8" max="8" width="11.02734375" customWidth="1"/>
    <col min="9" max="9" width="10.625" customWidth="1"/>
    <col min="10" max="10" width="12.9140625" customWidth="1"/>
    <col min="11" max="11" width="11.56640625" customWidth="1"/>
    <col min="12" max="13" width="10.4921875" bestFit="1" customWidth="1"/>
  </cols>
  <sheetData>
    <row r="1" spans="1:11" ht="15.75" thickTop="1" x14ac:dyDescent="0.2">
      <c r="A1" s="8" t="s">
        <v>21</v>
      </c>
      <c r="B1" s="8" t="s">
        <v>1</v>
      </c>
      <c r="C1" s="8" t="s">
        <v>81</v>
      </c>
      <c r="D1" s="12" t="s">
        <v>82</v>
      </c>
      <c r="E1" s="12" t="s">
        <v>3</v>
      </c>
      <c r="F1" s="12" t="s">
        <v>83</v>
      </c>
      <c r="G1" s="12" t="s">
        <v>84</v>
      </c>
      <c r="H1" s="12" t="s">
        <v>85</v>
      </c>
      <c r="I1" s="13" t="s">
        <v>86</v>
      </c>
      <c r="J1" s="11"/>
      <c r="K1" s="17"/>
    </row>
    <row r="2" spans="1:11" x14ac:dyDescent="0.2">
      <c r="A2" s="1">
        <v>45851</v>
      </c>
      <c r="B2" t="s">
        <v>31</v>
      </c>
      <c r="C2">
        <v>2980</v>
      </c>
      <c r="D2" s="11">
        <v>276</v>
      </c>
      <c r="E2" s="11">
        <v>750</v>
      </c>
      <c r="F2" s="11">
        <v>42550</v>
      </c>
      <c r="G2" s="11">
        <f t="shared" ref="G2" si="0">D2*E2</f>
        <v>207000</v>
      </c>
      <c r="H2" s="11">
        <f>SUMIFS(Table14[Debit], Table14[Date], Table3[[#This Row],[Date]], Table14[Party], Table3[[#This Row],[Party Name]])</f>
        <v>0</v>
      </c>
      <c r="I2" s="11">
        <f>(D2*E2)-Table3[[#This Row],[Paid]]</f>
        <v>207000</v>
      </c>
    </row>
    <row r="3" spans="1:11" x14ac:dyDescent="0.2">
      <c r="A3" s="1">
        <v>45852</v>
      </c>
      <c r="B3" t="s">
        <v>31</v>
      </c>
      <c r="C3">
        <v>7221</v>
      </c>
      <c r="D3" s="11">
        <v>206</v>
      </c>
      <c r="E3" s="11">
        <v>750</v>
      </c>
      <c r="F3" s="11">
        <v>40000</v>
      </c>
      <c r="G3" s="11">
        <f t="shared" ref="G3:G7" si="1">D3*E3</f>
        <v>154500</v>
      </c>
      <c r="H3" s="11">
        <f>SUMIFS(Table14[Debit], Table14[Date], Table3[[#This Row],[Date]], Table14[Party], Table3[[#This Row],[Party Name]])</f>
        <v>0</v>
      </c>
      <c r="I3" s="11">
        <f>(D3*E3)-Table3[[#This Row],[Paid]]</f>
        <v>154500</v>
      </c>
      <c r="J3" s="11"/>
    </row>
    <row r="4" spans="1:11" x14ac:dyDescent="0.2">
      <c r="A4" s="1">
        <v>45853</v>
      </c>
      <c r="B4" t="s">
        <v>31</v>
      </c>
      <c r="C4">
        <v>8901</v>
      </c>
      <c r="D4" s="11">
        <v>248</v>
      </c>
      <c r="E4" s="11">
        <v>750</v>
      </c>
      <c r="F4" s="11">
        <v>36620</v>
      </c>
      <c r="G4" s="11">
        <f t="shared" si="1"/>
        <v>186000</v>
      </c>
      <c r="H4" s="11">
        <f>SUMIFS(Table14[Debit], Table14[Date], Table3[[#This Row],[Date]], Table14[Party], Table3[[#This Row],[Party Name]])</f>
        <v>0</v>
      </c>
      <c r="I4" s="11">
        <f>(D4*E4)-Table3[[#This Row],[Paid]]</f>
        <v>186000</v>
      </c>
      <c r="J4" s="11"/>
    </row>
    <row r="5" spans="1:11" x14ac:dyDescent="0.2">
      <c r="A5" s="1">
        <v>45857</v>
      </c>
      <c r="B5" t="s">
        <v>87</v>
      </c>
      <c r="C5">
        <v>8994</v>
      </c>
      <c r="D5" s="11">
        <v>39</v>
      </c>
      <c r="E5" s="11">
        <v>700</v>
      </c>
      <c r="F5" s="11">
        <v>0</v>
      </c>
      <c r="G5" s="11">
        <f t="shared" si="1"/>
        <v>27300</v>
      </c>
      <c r="H5" s="11">
        <v>0</v>
      </c>
      <c r="I5" s="11">
        <f>(D5*E5)-Table3[[#This Row],[Paid]]</f>
        <v>27300</v>
      </c>
      <c r="J5" s="11"/>
    </row>
    <row r="6" spans="1:11" x14ac:dyDescent="0.2">
      <c r="A6" s="1">
        <v>45858</v>
      </c>
      <c r="B6" t="s">
        <v>31</v>
      </c>
      <c r="C6">
        <v>8901</v>
      </c>
      <c r="D6" s="11">
        <v>297</v>
      </c>
      <c r="E6" s="11">
        <v>765</v>
      </c>
      <c r="F6" s="11">
        <v>47000</v>
      </c>
      <c r="G6" s="11">
        <f t="shared" si="1"/>
        <v>227205</v>
      </c>
      <c r="H6" s="11">
        <f>SUMIFS(Table14[Debit], Table14[Date], Table3[[#This Row],[Date]], Table14[Party], Table3[[#This Row],[Party Name]])</f>
        <v>0</v>
      </c>
      <c r="I6" s="11">
        <f>(D6*E6)-Table3[[#This Row],[Paid]]</f>
        <v>227205</v>
      </c>
      <c r="J6" s="11"/>
    </row>
    <row r="7" spans="1:11" x14ac:dyDescent="0.2">
      <c r="A7" s="1">
        <v>45859</v>
      </c>
      <c r="B7" t="s">
        <v>31</v>
      </c>
      <c r="C7">
        <v>364</v>
      </c>
      <c r="D7" s="11">
        <v>432</v>
      </c>
      <c r="E7" s="11">
        <v>765</v>
      </c>
      <c r="F7" s="11">
        <v>81000</v>
      </c>
      <c r="G7" s="11">
        <f t="shared" si="1"/>
        <v>330480</v>
      </c>
      <c r="H7" s="11">
        <f>SUMIFS(Table14[Debit], Table14[Date], Table3[[#This Row],[Date]], Table14[Party], Table3[[#This Row],[Party Name]])</f>
        <v>0</v>
      </c>
      <c r="I7" s="11">
        <f>(D7*E7)-Table3[[#This Row],[Paid]]</f>
        <v>330480</v>
      </c>
      <c r="J7" s="11"/>
    </row>
    <row r="8" spans="1:11" x14ac:dyDescent="0.2">
      <c r="A8" s="1">
        <v>45869</v>
      </c>
      <c r="B8" t="s">
        <v>31</v>
      </c>
      <c r="C8">
        <v>4068</v>
      </c>
      <c r="D8" s="11">
        <v>240</v>
      </c>
      <c r="E8" s="11">
        <v>765</v>
      </c>
      <c r="F8" s="11">
        <v>25250</v>
      </c>
      <c r="G8" s="11">
        <f>D8*E8</f>
        <v>183600</v>
      </c>
      <c r="H8" s="11"/>
      <c r="I8" s="11">
        <f>(D8*E8)-Table3[[#This Row],[Paid]]</f>
        <v>183600</v>
      </c>
      <c r="J8" s="11" t="s">
        <v>88</v>
      </c>
    </row>
    <row r="9" spans="1:11" x14ac:dyDescent="0.2">
      <c r="A9" s="1">
        <v>45869</v>
      </c>
      <c r="B9" t="s">
        <v>31</v>
      </c>
      <c r="D9" s="11"/>
      <c r="E9" s="11"/>
      <c r="F9" s="11"/>
      <c r="G9" s="11">
        <f>D9*E9</f>
        <v>0</v>
      </c>
      <c r="H9" s="11">
        <f>SUMIFS(Table14[Debit], Table14[Date], Table3[[#This Row],[Date]], Table14[Party], Table3[[#This Row],[Party Name]])</f>
        <v>190250</v>
      </c>
      <c r="I9" s="11">
        <f>(D9*E9)-Table3[[#This Row],[Paid]]</f>
        <v>-190250</v>
      </c>
      <c r="J9" s="11"/>
    </row>
    <row r="10" spans="1:11" x14ac:dyDescent="0.2">
      <c r="A10" s="1">
        <v>45871</v>
      </c>
      <c r="B10" t="s">
        <v>31</v>
      </c>
      <c r="C10">
        <v>8901</v>
      </c>
      <c r="D10" s="11">
        <v>259</v>
      </c>
      <c r="E10" s="11">
        <v>765</v>
      </c>
      <c r="F10" s="11">
        <v>0</v>
      </c>
      <c r="G10" s="11">
        <f>D10*E10</f>
        <v>198135</v>
      </c>
      <c r="H10" s="11">
        <f>SUMIFS(Table14[Debit], Table14[Date], Table3[[#This Row],[Date]], Table14[Party], Table3[[#This Row],[Party Name]])</f>
        <v>200000</v>
      </c>
      <c r="I10" s="11">
        <f>(D10*E10)-Table3[[#This Row],[Paid]]</f>
        <v>-1865</v>
      </c>
      <c r="J10" s="11"/>
    </row>
    <row r="11" spans="1:11" x14ac:dyDescent="0.2">
      <c r="A11" s="1">
        <v>45872</v>
      </c>
      <c r="B11" t="s">
        <v>31</v>
      </c>
      <c r="C11">
        <v>3229</v>
      </c>
      <c r="D11" s="11">
        <v>219</v>
      </c>
      <c r="E11" s="11">
        <v>765</v>
      </c>
      <c r="F11" s="11"/>
      <c r="G11" s="11">
        <f t="shared" ref="G11:G12" si="2">D11*E11</f>
        <v>167535</v>
      </c>
      <c r="H11" s="11"/>
      <c r="I11" s="11">
        <f>(D11*E11)-Table3[[#This Row],[Paid]]</f>
        <v>167535</v>
      </c>
      <c r="J11" s="11"/>
    </row>
    <row r="12" spans="1:11" x14ac:dyDescent="0.2">
      <c r="A12" s="1">
        <v>45873</v>
      </c>
      <c r="B12" t="s">
        <v>31</v>
      </c>
      <c r="C12">
        <v>1910</v>
      </c>
      <c r="D12" s="11">
        <v>229</v>
      </c>
      <c r="E12" s="11">
        <v>765</v>
      </c>
      <c r="F12" s="11"/>
      <c r="G12" s="11">
        <f t="shared" si="2"/>
        <v>175185</v>
      </c>
      <c r="H12" s="11"/>
      <c r="I12" s="11">
        <f>(D12*E12)-Table3[[#This Row],[Paid]]</f>
        <v>175185</v>
      </c>
      <c r="J12" s="11"/>
    </row>
    <row r="13" spans="1:11" ht="17.25" x14ac:dyDescent="0.35">
      <c r="A13" s="1">
        <v>45873</v>
      </c>
      <c r="B13" t="s">
        <v>31</v>
      </c>
      <c r="C13">
        <v>6038</v>
      </c>
      <c r="D13" s="11">
        <v>282</v>
      </c>
      <c r="E13" s="11">
        <v>765</v>
      </c>
      <c r="F13" s="11"/>
      <c r="G13" s="11">
        <f>D13*E13</f>
        <v>215730</v>
      </c>
      <c r="H13" s="11">
        <f>SUMIFS(Table14[Debit], Table14[Date], Table3[[#This Row],[Date]], Table14[Party], Table3[[#This Row],[Party Name]])</f>
        <v>301550</v>
      </c>
      <c r="I13" s="11">
        <f>(D13*E13)-Table3[[#This Row],[Paid]]</f>
        <v>-85820</v>
      </c>
      <c r="J13" s="50"/>
    </row>
    <row r="14" spans="1:11" x14ac:dyDescent="0.2">
      <c r="A14" s="1">
        <v>45873</v>
      </c>
      <c r="B14" t="s">
        <v>87</v>
      </c>
      <c r="C14" t="s">
        <v>80</v>
      </c>
      <c r="D14" s="11">
        <v>39</v>
      </c>
      <c r="E14" s="11">
        <v>700</v>
      </c>
      <c r="F14" s="11"/>
      <c r="G14" s="11">
        <f>D14*E14</f>
        <v>27300</v>
      </c>
      <c r="H14" s="11">
        <f>SUMIFS(Table14[Debit], Table14[Date], Table3[[#This Row],[Date]], Table14[Party], Table3[[#This Row],[Party Name]])</f>
        <v>0</v>
      </c>
      <c r="I14" s="11">
        <f>(D14*E14)-Table3[[#This Row],[Paid]]</f>
        <v>27300</v>
      </c>
    </row>
    <row r="15" spans="1:11" x14ac:dyDescent="0.2">
      <c r="A15" s="1">
        <v>45876</v>
      </c>
      <c r="B15" t="s">
        <v>31</v>
      </c>
      <c r="C15">
        <v>52</v>
      </c>
      <c r="D15" s="11">
        <v>283</v>
      </c>
      <c r="E15" s="11">
        <v>765</v>
      </c>
      <c r="F15" s="11">
        <v>28550</v>
      </c>
      <c r="G15" s="11">
        <f t="shared" ref="G15:G16" si="3">D15*E15</f>
        <v>216495</v>
      </c>
      <c r="H15" s="11">
        <f>SUMIFS(Table14[Debit], Table14[Date], Table3[[#This Row],[Date]], Table14[Party], Table3[[#This Row],[Party Name]])</f>
        <v>375550</v>
      </c>
      <c r="I15" s="11">
        <f>(D15*E15)-Table3[[#This Row],[Paid]]</f>
        <v>-159055</v>
      </c>
    </row>
    <row r="16" spans="1:11" x14ac:dyDescent="0.2">
      <c r="A16" s="1">
        <v>45876</v>
      </c>
      <c r="B16" t="s">
        <v>31</v>
      </c>
      <c r="C16">
        <v>2727</v>
      </c>
      <c r="D16" s="11">
        <v>206</v>
      </c>
      <c r="E16" s="11">
        <v>765</v>
      </c>
      <c r="F16" s="11">
        <v>34000</v>
      </c>
      <c r="G16" s="11">
        <f t="shared" si="3"/>
        <v>157590</v>
      </c>
      <c r="H16" s="11"/>
      <c r="I16" s="11">
        <f>(D16*E16)-Table3[[#This Row],[Paid]]</f>
        <v>157590</v>
      </c>
    </row>
    <row r="17" spans="1:12" x14ac:dyDescent="0.2">
      <c r="A17" s="1">
        <v>45876</v>
      </c>
      <c r="B17" t="s">
        <v>31</v>
      </c>
      <c r="C17">
        <v>2570</v>
      </c>
      <c r="D17" s="11">
        <v>266</v>
      </c>
      <c r="E17" s="11">
        <v>765</v>
      </c>
      <c r="F17" s="11">
        <v>48000</v>
      </c>
      <c r="G17" s="11">
        <f t="shared" ref="G17:G23" si="4">D17*E17</f>
        <v>203490</v>
      </c>
      <c r="H17" s="11"/>
      <c r="I17" s="11">
        <f>(D17*E17)-Table3[[#This Row],[Paid]]</f>
        <v>203490</v>
      </c>
    </row>
    <row r="18" spans="1:12" x14ac:dyDescent="0.2">
      <c r="A18" s="1">
        <v>45877</v>
      </c>
      <c r="B18" t="s">
        <v>31</v>
      </c>
      <c r="C18">
        <v>6851</v>
      </c>
      <c r="D18" s="11">
        <v>258</v>
      </c>
      <c r="E18" s="11">
        <v>765</v>
      </c>
      <c r="F18" s="11">
        <v>50000</v>
      </c>
      <c r="G18" s="11">
        <f t="shared" si="4"/>
        <v>197370</v>
      </c>
      <c r="H18" s="11">
        <f>SUMIFS(Table14[Debit], Table14[Date], Table3[[#This Row],[Date]], Table14[Party], Table3[[#This Row],[Party Name]])</f>
        <v>50000</v>
      </c>
      <c r="I18" s="11">
        <f>(D18*E18)-Table3[[#This Row],[Paid]]</f>
        <v>147370</v>
      </c>
    </row>
    <row r="19" spans="1:12" x14ac:dyDescent="0.2">
      <c r="A19" s="1">
        <v>45878</v>
      </c>
      <c r="B19" t="s">
        <v>31</v>
      </c>
      <c r="C19">
        <v>3229</v>
      </c>
      <c r="D19" s="11">
        <v>215</v>
      </c>
      <c r="E19" s="11">
        <v>765</v>
      </c>
      <c r="F19" s="11">
        <v>35000</v>
      </c>
      <c r="G19" s="11">
        <f t="shared" si="4"/>
        <v>164475</v>
      </c>
      <c r="H19" s="11">
        <f>SUMIFS(Table14[Debit], Table14[Date], Table3[[#This Row],[Date]], Table14[Party], Table3[[#This Row],[Party Name]])</f>
        <v>255103</v>
      </c>
      <c r="I19" s="11">
        <f>(D19*E19)-Table3[[#This Row],[Paid]]</f>
        <v>-90628</v>
      </c>
    </row>
    <row r="20" spans="1:12" x14ac:dyDescent="0.2">
      <c r="A20" s="1">
        <v>45878</v>
      </c>
      <c r="B20" t="s">
        <v>87</v>
      </c>
      <c r="C20" t="s">
        <v>80</v>
      </c>
      <c r="D20" s="11"/>
      <c r="E20" s="11"/>
      <c r="F20" s="11"/>
      <c r="G20" s="11">
        <f t="shared" si="4"/>
        <v>0</v>
      </c>
      <c r="H20" s="11">
        <f>SUMIFS(Table14[Debit], Table14[Date], Table3[[#This Row],[Date]], Table14[Party], Table3[[#This Row],[Party Name]])</f>
        <v>40000</v>
      </c>
      <c r="I20" s="11">
        <f>(D20*E20)-Table3[[#This Row],[Paid]]</f>
        <v>-40000</v>
      </c>
    </row>
    <row r="21" spans="1:12" x14ac:dyDescent="0.2">
      <c r="A21" s="1">
        <v>45879</v>
      </c>
      <c r="B21" t="s">
        <v>31</v>
      </c>
      <c r="C21">
        <v>303</v>
      </c>
      <c r="D21" s="11">
        <v>202</v>
      </c>
      <c r="E21" s="11">
        <v>765</v>
      </c>
      <c r="F21" s="11">
        <v>35600</v>
      </c>
      <c r="G21" s="11">
        <f t="shared" si="4"/>
        <v>154530</v>
      </c>
      <c r="H21" s="11">
        <f>SUMIFS(Table14[Debit], Table14[Date], Table3[[#This Row],[Date]], Table14[Party], Table3[[#This Row],[Party Name]])</f>
        <v>35600</v>
      </c>
      <c r="I21" s="11">
        <f>(D21*E21)-Table3[[#This Row],[Paid]]</f>
        <v>118930</v>
      </c>
    </row>
    <row r="22" spans="1:12" x14ac:dyDescent="0.2">
      <c r="A22" s="1">
        <v>45880</v>
      </c>
      <c r="B22" t="s">
        <v>31</v>
      </c>
      <c r="C22">
        <v>5963</v>
      </c>
      <c r="D22" s="11">
        <v>218</v>
      </c>
      <c r="E22" s="11">
        <v>765</v>
      </c>
      <c r="F22" s="11">
        <v>36000</v>
      </c>
      <c r="G22" s="11">
        <f t="shared" si="4"/>
        <v>166770</v>
      </c>
      <c r="H22" s="11">
        <f>SUMIFS(Table14[Debit], Table14[Date], Table3[[#This Row],[Date]], Table14[Party], Table3[[#This Row],[Party Name]])</f>
        <v>64300</v>
      </c>
      <c r="I22" s="11">
        <f>(D22*E22)-Table3[[#This Row],[Paid]]</f>
        <v>102470</v>
      </c>
    </row>
    <row r="23" spans="1:12" x14ac:dyDescent="0.2">
      <c r="A23" s="1">
        <v>45880</v>
      </c>
      <c r="B23" t="s">
        <v>31</v>
      </c>
      <c r="C23">
        <v>1671</v>
      </c>
      <c r="D23" s="11">
        <v>268</v>
      </c>
      <c r="E23" s="11">
        <v>765</v>
      </c>
      <c r="F23" s="11">
        <v>28300</v>
      </c>
      <c r="G23" s="11">
        <f t="shared" si="4"/>
        <v>205020</v>
      </c>
      <c r="H23" s="11"/>
      <c r="I23" s="11">
        <f>(D23*E23)-Table3[[#This Row],[Paid]]</f>
        <v>205020</v>
      </c>
      <c r="L23" s="14"/>
    </row>
    <row r="24" spans="1:12" x14ac:dyDescent="0.2">
      <c r="A24" s="1">
        <v>45882</v>
      </c>
      <c r="B24" t="s">
        <v>87</v>
      </c>
      <c r="C24">
        <v>1055</v>
      </c>
      <c r="D24" s="11">
        <v>40</v>
      </c>
      <c r="E24" s="11">
        <v>700</v>
      </c>
      <c r="F24" s="11"/>
      <c r="G24" s="11">
        <f>D24*E24</f>
        <v>28000</v>
      </c>
      <c r="H24" s="11"/>
      <c r="I24" s="11">
        <f>(D24*E24)-Table3[[#This Row],[Paid]]</f>
        <v>28000</v>
      </c>
    </row>
    <row r="25" spans="1:12" x14ac:dyDescent="0.2">
      <c r="A25" s="1">
        <v>45882</v>
      </c>
      <c r="B25" t="s">
        <v>31</v>
      </c>
      <c r="C25">
        <v>1972</v>
      </c>
      <c r="D25" s="11">
        <v>264</v>
      </c>
      <c r="E25" s="11">
        <v>765</v>
      </c>
      <c r="F25" s="11">
        <v>27500</v>
      </c>
      <c r="G25" s="11">
        <f t="shared" ref="G25:G27" si="5">D25*E25</f>
        <v>201960</v>
      </c>
      <c r="H25" s="11">
        <f>SUMIFS(Table14[Debit], Table14[Date], Table3[[#This Row],[Date]], Table14[Party], Table3[[#This Row],[Party Name]])</f>
        <v>228000</v>
      </c>
      <c r="I25" s="11">
        <f>(D25*E25)-Table3[[#This Row],[Paid]]</f>
        <v>-26040</v>
      </c>
    </row>
    <row r="26" spans="1:12" x14ac:dyDescent="0.2">
      <c r="A26" s="1">
        <v>45882</v>
      </c>
      <c r="B26" t="s">
        <v>229</v>
      </c>
      <c r="D26" s="11"/>
      <c r="E26" s="11"/>
      <c r="F26" s="11"/>
      <c r="G26" s="11">
        <f t="shared" si="5"/>
        <v>0</v>
      </c>
      <c r="H26" s="11">
        <f>SUMIFS(Table14[Debit], Table14[Date], Table3[[#This Row],[Date]], Table14[Party], Table3[[#This Row],[Party Name]])</f>
        <v>12000</v>
      </c>
      <c r="I26" s="11">
        <f>(D26*E26)-Table3[[#This Row],[Paid]]</f>
        <v>-12000</v>
      </c>
    </row>
    <row r="27" spans="1:12" x14ac:dyDescent="0.2">
      <c r="A27" s="1">
        <v>45883</v>
      </c>
      <c r="B27" t="s">
        <v>87</v>
      </c>
      <c r="D27" s="11"/>
      <c r="E27" s="11"/>
      <c r="F27" s="11"/>
      <c r="G27" s="11">
        <f t="shared" si="5"/>
        <v>0</v>
      </c>
      <c r="H27" s="11">
        <f>SUMIFS(Table14[Debit], Table14[Date], Table3[[#This Row],[Date]], Table14[Party], Table3[[#This Row],[Party Name]])</f>
        <v>70000</v>
      </c>
      <c r="I27" s="11">
        <f>(D27*E27)-Table3[[#This Row],[Paid]]</f>
        <v>-70000</v>
      </c>
    </row>
    <row r="28" spans="1:12" x14ac:dyDescent="0.2">
      <c r="A28" s="1">
        <v>45884</v>
      </c>
      <c r="B28" t="s">
        <v>229</v>
      </c>
      <c r="C28" t="s">
        <v>238</v>
      </c>
      <c r="D28" s="11"/>
      <c r="E28" s="11"/>
      <c r="F28" s="11"/>
      <c r="G28" s="11">
        <v>1000</v>
      </c>
      <c r="H28" s="11">
        <f>SUMIFS(Table14[Debit], Table14[Date], Table3[[#This Row],[Date]], Table14[Party], Table3[[#This Row],[Party Name]])</f>
        <v>1000</v>
      </c>
      <c r="I28" s="11">
        <f>(D28*E28)-Table3[[#This Row],[Paid]]</f>
        <v>-1000</v>
      </c>
    </row>
    <row r="29" spans="1:12" x14ac:dyDescent="0.2">
      <c r="A29" s="1">
        <v>45886</v>
      </c>
      <c r="B29" t="s">
        <v>31</v>
      </c>
      <c r="D29" s="11"/>
      <c r="E29" s="11"/>
      <c r="F29" s="11"/>
      <c r="G29" s="11">
        <f>D29*E29</f>
        <v>0</v>
      </c>
      <c r="H29" s="11"/>
      <c r="I29" s="11">
        <f>(D29*E29)-Table3[[#This Row],[Paid]]</f>
        <v>0</v>
      </c>
      <c r="K29" s="14"/>
    </row>
    <row r="30" spans="1:12" x14ac:dyDescent="0.2">
      <c r="A30" s="1">
        <v>45884</v>
      </c>
      <c r="B30" t="s">
        <v>31</v>
      </c>
      <c r="D30" s="11"/>
      <c r="E30" s="11"/>
      <c r="F30" s="11"/>
      <c r="G30" s="11">
        <f t="shared" ref="G30:G32" si="6">D30*E30</f>
        <v>0</v>
      </c>
      <c r="H30" s="11">
        <f>SUMIFS(Table14[Debit], Table14[Date], Table3[[#This Row],[Date]], Table14[Party], Table3[[#This Row],[Party Name]])</f>
        <v>269120</v>
      </c>
      <c r="I30" s="11">
        <f>(D30*E30)-Table3[[#This Row],[Paid]]</f>
        <v>-269120</v>
      </c>
    </row>
    <row r="31" spans="1:12" x14ac:dyDescent="0.2">
      <c r="A31" s="1">
        <v>45885</v>
      </c>
      <c r="B31" t="s">
        <v>31</v>
      </c>
      <c r="D31" s="11"/>
      <c r="E31" s="11"/>
      <c r="F31" s="11"/>
      <c r="G31" s="11">
        <f t="shared" si="6"/>
        <v>0</v>
      </c>
      <c r="H31" s="11">
        <f>SUMIFS(Table14[Debit], Table14[Date], Table3[[#This Row],[Date]], Table14[Party], Table3[[#This Row],[Party Name]])</f>
        <v>240150</v>
      </c>
      <c r="I31" s="11">
        <f>(D31*E31)-Table3[[#This Row],[Paid]]</f>
        <v>-240150</v>
      </c>
    </row>
    <row r="32" spans="1:12" x14ac:dyDescent="0.2">
      <c r="A32" s="1">
        <v>45881</v>
      </c>
      <c r="B32" t="s">
        <v>31</v>
      </c>
      <c r="D32" s="11"/>
      <c r="E32" s="11"/>
      <c r="F32" s="11"/>
      <c r="G32" s="11">
        <f t="shared" si="6"/>
        <v>0</v>
      </c>
      <c r="H32" s="11">
        <f>SUMIFS(Table14[Debit], Table14[Date], Table3[[#This Row],[Date]], Table14[Party], Table3[[#This Row],[Party Name]])</f>
        <v>250600</v>
      </c>
      <c r="I32" s="11">
        <f>(D32*E32)-Table3[[#This Row],[Paid]]</f>
        <v>-250600</v>
      </c>
    </row>
    <row r="33" spans="1:13" x14ac:dyDescent="0.2">
      <c r="A33" s="1"/>
      <c r="D33" s="14"/>
      <c r="E33" s="14"/>
      <c r="F33" s="14"/>
      <c r="G33" s="14">
        <f>SUBTOTAL(109,Table3[total])</f>
        <v>3796670</v>
      </c>
      <c r="H33" s="14">
        <f>SUBTOTAL(109,Table3[Paid])</f>
        <v>2583223</v>
      </c>
      <c r="I33" s="14">
        <f>SUBTOTAL(109,Table3[balance])</f>
        <v>1212447</v>
      </c>
    </row>
    <row r="34" spans="1:13" x14ac:dyDescent="0.2">
      <c r="L34" s="14"/>
      <c r="M34" s="14"/>
    </row>
    <row r="43" spans="1:13" ht="18.75" x14ac:dyDescent="0.25">
      <c r="D43" s="3" t="s">
        <v>1</v>
      </c>
      <c r="E43" s="65" t="s">
        <v>31</v>
      </c>
    </row>
    <row r="45" spans="1:13" x14ac:dyDescent="0.2">
      <c r="D45" s="3" t="s">
        <v>89</v>
      </c>
      <c r="E45" t="s">
        <v>90</v>
      </c>
      <c r="F45" t="s">
        <v>91</v>
      </c>
      <c r="G45" t="s">
        <v>92</v>
      </c>
      <c r="H45" t="s">
        <v>93</v>
      </c>
    </row>
    <row r="46" spans="1:13" x14ac:dyDescent="0.2">
      <c r="D46" s="27">
        <v>45851</v>
      </c>
      <c r="E46" s="14">
        <v>276</v>
      </c>
      <c r="F46" s="14">
        <v>207000</v>
      </c>
      <c r="G46" s="14">
        <v>0</v>
      </c>
      <c r="H46" s="14">
        <v>207000</v>
      </c>
    </row>
    <row r="47" spans="1:13" x14ac:dyDescent="0.2">
      <c r="D47" s="51">
        <v>2980</v>
      </c>
      <c r="E47" s="14">
        <v>276</v>
      </c>
      <c r="F47" s="14">
        <v>207000</v>
      </c>
      <c r="G47" s="14">
        <v>0</v>
      </c>
      <c r="H47" s="14">
        <v>207000</v>
      </c>
    </row>
    <row r="48" spans="1:13" x14ac:dyDescent="0.2">
      <c r="D48" s="27">
        <v>45852</v>
      </c>
      <c r="E48" s="14">
        <v>206</v>
      </c>
      <c r="F48" s="14">
        <v>154500</v>
      </c>
      <c r="G48" s="14">
        <v>0</v>
      </c>
      <c r="H48" s="14">
        <v>154500</v>
      </c>
    </row>
    <row r="49" spans="4:8" x14ac:dyDescent="0.2">
      <c r="D49" s="51">
        <v>7221</v>
      </c>
      <c r="E49" s="14">
        <v>206</v>
      </c>
      <c r="F49" s="14">
        <v>154500</v>
      </c>
      <c r="G49" s="14">
        <v>0</v>
      </c>
      <c r="H49" s="14">
        <v>154500</v>
      </c>
    </row>
    <row r="50" spans="4:8" x14ac:dyDescent="0.2">
      <c r="D50" s="27">
        <v>45853</v>
      </c>
      <c r="E50" s="14">
        <v>248</v>
      </c>
      <c r="F50" s="14">
        <v>186000</v>
      </c>
      <c r="G50" s="14">
        <v>0</v>
      </c>
      <c r="H50" s="14">
        <v>186000</v>
      </c>
    </row>
    <row r="51" spans="4:8" x14ac:dyDescent="0.2">
      <c r="D51" s="51">
        <v>8901</v>
      </c>
      <c r="E51" s="14">
        <v>248</v>
      </c>
      <c r="F51" s="14">
        <v>186000</v>
      </c>
      <c r="G51" s="14">
        <v>0</v>
      </c>
      <c r="H51" s="14">
        <v>186000</v>
      </c>
    </row>
    <row r="52" spans="4:8" x14ac:dyDescent="0.2">
      <c r="D52" s="27">
        <v>45858</v>
      </c>
      <c r="E52" s="14">
        <v>297</v>
      </c>
      <c r="F52" s="14">
        <v>227205</v>
      </c>
      <c r="G52" s="14">
        <v>0</v>
      </c>
      <c r="H52" s="14">
        <v>227205</v>
      </c>
    </row>
    <row r="53" spans="4:8" x14ac:dyDescent="0.2">
      <c r="D53" s="51">
        <v>8901</v>
      </c>
      <c r="E53" s="14">
        <v>297</v>
      </c>
      <c r="F53" s="14">
        <v>227205</v>
      </c>
      <c r="G53" s="14">
        <v>0</v>
      </c>
      <c r="H53" s="14">
        <v>227205</v>
      </c>
    </row>
    <row r="54" spans="4:8" x14ac:dyDescent="0.2">
      <c r="D54" s="27">
        <v>45859</v>
      </c>
      <c r="E54" s="14">
        <v>432</v>
      </c>
      <c r="F54" s="14">
        <v>330480</v>
      </c>
      <c r="G54" s="14">
        <v>0</v>
      </c>
      <c r="H54" s="14">
        <v>330480</v>
      </c>
    </row>
    <row r="55" spans="4:8" x14ac:dyDescent="0.2">
      <c r="D55" s="51">
        <v>364</v>
      </c>
      <c r="E55" s="14">
        <v>432</v>
      </c>
      <c r="F55" s="14">
        <v>330480</v>
      </c>
      <c r="G55" s="14">
        <v>0</v>
      </c>
      <c r="H55" s="14">
        <v>330480</v>
      </c>
    </row>
    <row r="56" spans="4:8" x14ac:dyDescent="0.2">
      <c r="D56" s="27">
        <v>45869</v>
      </c>
      <c r="E56" s="14">
        <v>240</v>
      </c>
      <c r="F56" s="14">
        <v>183600</v>
      </c>
      <c r="G56" s="14">
        <v>190250</v>
      </c>
      <c r="H56" s="14">
        <v>-6650</v>
      </c>
    </row>
    <row r="57" spans="4:8" x14ac:dyDescent="0.2">
      <c r="D57" s="51">
        <v>4068</v>
      </c>
      <c r="E57" s="14">
        <v>240</v>
      </c>
      <c r="F57" s="14">
        <v>183600</v>
      </c>
      <c r="G57" s="14"/>
      <c r="H57" s="14">
        <v>183600</v>
      </c>
    </row>
    <row r="58" spans="4:8" x14ac:dyDescent="0.2">
      <c r="D58" s="51" t="s">
        <v>94</v>
      </c>
      <c r="E58" s="14"/>
      <c r="F58" s="14">
        <v>0</v>
      </c>
      <c r="G58" s="14">
        <v>190250</v>
      </c>
      <c r="H58" s="14">
        <v>-190250</v>
      </c>
    </row>
    <row r="59" spans="4:8" x14ac:dyDescent="0.2">
      <c r="D59" s="27">
        <v>45871</v>
      </c>
      <c r="E59" s="14">
        <v>259</v>
      </c>
      <c r="F59" s="14">
        <v>198135</v>
      </c>
      <c r="G59" s="14">
        <v>200000</v>
      </c>
      <c r="H59" s="14">
        <v>-1865</v>
      </c>
    </row>
    <row r="60" spans="4:8" x14ac:dyDescent="0.2">
      <c r="D60" s="51">
        <v>8901</v>
      </c>
      <c r="E60" s="14">
        <v>259</v>
      </c>
      <c r="F60" s="14">
        <v>198135</v>
      </c>
      <c r="G60" s="14">
        <v>200000</v>
      </c>
      <c r="H60" s="14">
        <v>-1865</v>
      </c>
    </row>
    <row r="61" spans="4:8" x14ac:dyDescent="0.2">
      <c r="D61" s="27">
        <v>45872</v>
      </c>
      <c r="E61" s="14">
        <v>219</v>
      </c>
      <c r="F61" s="14">
        <v>167535</v>
      </c>
      <c r="G61" s="14"/>
      <c r="H61" s="14">
        <v>167535</v>
      </c>
    </row>
    <row r="62" spans="4:8" x14ac:dyDescent="0.2">
      <c r="D62" s="51">
        <v>3229</v>
      </c>
      <c r="E62" s="14">
        <v>219</v>
      </c>
      <c r="F62" s="14">
        <v>167535</v>
      </c>
      <c r="G62" s="14"/>
      <c r="H62" s="14">
        <v>167535</v>
      </c>
    </row>
    <row r="63" spans="4:8" x14ac:dyDescent="0.2">
      <c r="D63" s="27">
        <v>45873</v>
      </c>
      <c r="E63" s="14">
        <v>511</v>
      </c>
      <c r="F63" s="14">
        <v>390915</v>
      </c>
      <c r="G63" s="14">
        <v>301550</v>
      </c>
      <c r="H63" s="14">
        <v>89365</v>
      </c>
    </row>
    <row r="64" spans="4:8" x14ac:dyDescent="0.2">
      <c r="D64" s="51">
        <v>1910</v>
      </c>
      <c r="E64" s="14">
        <v>229</v>
      </c>
      <c r="F64" s="14">
        <v>175185</v>
      </c>
      <c r="G64" s="14"/>
      <c r="H64" s="14">
        <v>175185</v>
      </c>
    </row>
    <row r="65" spans="4:8" x14ac:dyDescent="0.2">
      <c r="D65" s="51">
        <v>6038</v>
      </c>
      <c r="E65" s="14">
        <v>282</v>
      </c>
      <c r="F65" s="14">
        <v>215730</v>
      </c>
      <c r="G65" s="14">
        <v>301550</v>
      </c>
      <c r="H65" s="14">
        <v>-85820</v>
      </c>
    </row>
    <row r="66" spans="4:8" x14ac:dyDescent="0.2">
      <c r="D66" s="27">
        <v>45876</v>
      </c>
      <c r="E66" s="14">
        <v>755</v>
      </c>
      <c r="F66" s="14">
        <v>577575</v>
      </c>
      <c r="G66" s="14">
        <v>375550</v>
      </c>
      <c r="H66" s="14">
        <v>202025</v>
      </c>
    </row>
    <row r="67" spans="4:8" x14ac:dyDescent="0.2">
      <c r="D67" s="51">
        <v>52</v>
      </c>
      <c r="E67" s="14">
        <v>283</v>
      </c>
      <c r="F67" s="14">
        <v>216495</v>
      </c>
      <c r="G67" s="14">
        <v>375550</v>
      </c>
      <c r="H67" s="14">
        <v>-159055</v>
      </c>
    </row>
    <row r="68" spans="4:8" x14ac:dyDescent="0.2">
      <c r="D68" s="51">
        <v>2727</v>
      </c>
      <c r="E68" s="14">
        <v>206</v>
      </c>
      <c r="F68" s="14">
        <v>157590</v>
      </c>
      <c r="G68" s="14"/>
      <c r="H68" s="14">
        <v>157590</v>
      </c>
    </row>
    <row r="69" spans="4:8" x14ac:dyDescent="0.2">
      <c r="D69" s="51">
        <v>2570</v>
      </c>
      <c r="E69" s="14">
        <v>266</v>
      </c>
      <c r="F69" s="14">
        <v>203490</v>
      </c>
      <c r="G69" s="14"/>
      <c r="H69" s="14">
        <v>203490</v>
      </c>
    </row>
    <row r="70" spans="4:8" x14ac:dyDescent="0.2">
      <c r="D70" s="27">
        <v>45877</v>
      </c>
      <c r="E70" s="14">
        <v>258</v>
      </c>
      <c r="F70" s="14">
        <v>197370</v>
      </c>
      <c r="G70" s="14">
        <v>50000</v>
      </c>
      <c r="H70" s="14">
        <v>147370</v>
      </c>
    </row>
    <row r="71" spans="4:8" x14ac:dyDescent="0.2">
      <c r="D71" s="51">
        <v>6851</v>
      </c>
      <c r="E71" s="14">
        <v>258</v>
      </c>
      <c r="F71" s="14">
        <v>197370</v>
      </c>
      <c r="G71" s="14">
        <v>50000</v>
      </c>
      <c r="H71" s="14">
        <v>147370</v>
      </c>
    </row>
    <row r="72" spans="4:8" x14ac:dyDescent="0.2">
      <c r="D72" s="27">
        <v>45878</v>
      </c>
      <c r="E72" s="14">
        <v>215</v>
      </c>
      <c r="F72" s="14">
        <v>164475</v>
      </c>
      <c r="G72" s="14">
        <v>255103</v>
      </c>
      <c r="H72" s="14">
        <v>-90628</v>
      </c>
    </row>
    <row r="73" spans="4:8" x14ac:dyDescent="0.2">
      <c r="D73" s="51">
        <v>3229</v>
      </c>
      <c r="E73" s="14">
        <v>215</v>
      </c>
      <c r="F73" s="14">
        <v>164475</v>
      </c>
      <c r="G73" s="14">
        <v>255103</v>
      </c>
      <c r="H73" s="14">
        <v>-90628</v>
      </c>
    </row>
    <row r="74" spans="4:8" x14ac:dyDescent="0.2">
      <c r="D74" s="27">
        <v>45879</v>
      </c>
      <c r="E74" s="14">
        <v>202</v>
      </c>
      <c r="F74" s="14">
        <v>154530</v>
      </c>
      <c r="G74" s="14">
        <v>35600</v>
      </c>
      <c r="H74" s="14">
        <v>118930</v>
      </c>
    </row>
    <row r="75" spans="4:8" x14ac:dyDescent="0.2">
      <c r="D75" s="51">
        <v>303</v>
      </c>
      <c r="E75" s="14">
        <v>202</v>
      </c>
      <c r="F75" s="14">
        <v>154530</v>
      </c>
      <c r="G75" s="14">
        <v>35600</v>
      </c>
      <c r="H75" s="14">
        <v>118930</v>
      </c>
    </row>
    <row r="76" spans="4:8" x14ac:dyDescent="0.2">
      <c r="D76" s="27">
        <v>45880</v>
      </c>
      <c r="E76" s="14">
        <v>486</v>
      </c>
      <c r="F76" s="14">
        <v>371790</v>
      </c>
      <c r="G76" s="14">
        <v>64300</v>
      </c>
      <c r="H76" s="14">
        <v>307490</v>
      </c>
    </row>
    <row r="77" spans="4:8" x14ac:dyDescent="0.2">
      <c r="D77" s="51">
        <v>5963</v>
      </c>
      <c r="E77" s="14">
        <v>218</v>
      </c>
      <c r="F77" s="14">
        <v>166770</v>
      </c>
      <c r="G77" s="14">
        <v>64300</v>
      </c>
      <c r="H77" s="14">
        <v>102470</v>
      </c>
    </row>
    <row r="78" spans="4:8" x14ac:dyDescent="0.2">
      <c r="D78" s="51">
        <v>1671</v>
      </c>
      <c r="E78" s="14">
        <v>268</v>
      </c>
      <c r="F78" s="14">
        <v>205020</v>
      </c>
      <c r="G78" s="14"/>
      <c r="H78" s="14">
        <v>205020</v>
      </c>
    </row>
    <row r="79" spans="4:8" x14ac:dyDescent="0.2">
      <c r="D79" s="27">
        <v>45881</v>
      </c>
      <c r="E79" s="14"/>
      <c r="F79" s="14">
        <v>0</v>
      </c>
      <c r="G79" s="14">
        <v>250600</v>
      </c>
      <c r="H79" s="14">
        <v>-250600</v>
      </c>
    </row>
    <row r="80" spans="4:8" x14ac:dyDescent="0.2">
      <c r="D80" s="51" t="s">
        <v>94</v>
      </c>
      <c r="E80" s="14"/>
      <c r="F80" s="14">
        <v>0</v>
      </c>
      <c r="G80" s="14">
        <v>250600</v>
      </c>
      <c r="H80" s="14">
        <v>-250600</v>
      </c>
    </row>
    <row r="81" spans="4:8" x14ac:dyDescent="0.2">
      <c r="D81" s="27">
        <v>45882</v>
      </c>
      <c r="E81" s="14">
        <v>264</v>
      </c>
      <c r="F81" s="14">
        <v>201960</v>
      </c>
      <c r="G81" s="14">
        <v>228000</v>
      </c>
      <c r="H81" s="14">
        <v>-26040</v>
      </c>
    </row>
    <row r="82" spans="4:8" x14ac:dyDescent="0.2">
      <c r="D82" s="51">
        <v>1972</v>
      </c>
      <c r="E82" s="14">
        <v>264</v>
      </c>
      <c r="F82" s="14">
        <v>201960</v>
      </c>
      <c r="G82" s="14">
        <v>228000</v>
      </c>
      <c r="H82" s="14">
        <v>-26040</v>
      </c>
    </row>
    <row r="83" spans="4:8" x14ac:dyDescent="0.2">
      <c r="D83" s="27">
        <v>45884</v>
      </c>
      <c r="E83" s="14"/>
      <c r="F83" s="14">
        <v>0</v>
      </c>
      <c r="G83" s="14">
        <v>269120</v>
      </c>
      <c r="H83" s="14">
        <v>-269120</v>
      </c>
    </row>
    <row r="84" spans="4:8" x14ac:dyDescent="0.2">
      <c r="D84" s="51" t="s">
        <v>94</v>
      </c>
      <c r="E84" s="14"/>
      <c r="F84" s="14">
        <v>0</v>
      </c>
      <c r="G84" s="14">
        <v>269120</v>
      </c>
      <c r="H84" s="14">
        <v>-269120</v>
      </c>
    </row>
    <row r="85" spans="4:8" x14ac:dyDescent="0.2">
      <c r="D85" s="27">
        <v>45885</v>
      </c>
      <c r="E85" s="14"/>
      <c r="F85" s="14">
        <v>0</v>
      </c>
      <c r="G85" s="14">
        <v>240150</v>
      </c>
      <c r="H85" s="14">
        <v>-240150</v>
      </c>
    </row>
    <row r="86" spans="4:8" x14ac:dyDescent="0.2">
      <c r="D86" s="51" t="s">
        <v>94</v>
      </c>
      <c r="E86" s="14"/>
      <c r="F86" s="14">
        <v>0</v>
      </c>
      <c r="G86" s="14">
        <v>240150</v>
      </c>
      <c r="H86" s="14">
        <v>-240150</v>
      </c>
    </row>
    <row r="87" spans="4:8" x14ac:dyDescent="0.2">
      <c r="D87" s="27">
        <v>45886</v>
      </c>
      <c r="E87" s="14"/>
      <c r="F87" s="14">
        <v>0</v>
      </c>
      <c r="G87" s="14"/>
      <c r="H87" s="14">
        <v>0</v>
      </c>
    </row>
    <row r="88" spans="4:8" x14ac:dyDescent="0.2">
      <c r="D88" s="51" t="s">
        <v>94</v>
      </c>
      <c r="E88" s="14"/>
      <c r="F88" s="14">
        <v>0</v>
      </c>
      <c r="G88" s="14"/>
      <c r="H88" s="14">
        <v>0</v>
      </c>
    </row>
    <row r="89" spans="4:8" x14ac:dyDescent="0.2">
      <c r="D89" s="27" t="s">
        <v>18</v>
      </c>
      <c r="E89" s="14">
        <v>4868</v>
      </c>
      <c r="F89" s="14">
        <v>3713070</v>
      </c>
      <c r="G89" s="14">
        <v>2460223</v>
      </c>
      <c r="H89" s="14">
        <v>1252847</v>
      </c>
    </row>
  </sheetData>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R202"/>
  <sheetViews>
    <sheetView tabSelected="1" zoomScale="98" workbookViewId="0">
      <selection activeCell="E228" sqref="E228"/>
    </sheetView>
  </sheetViews>
  <sheetFormatPr defaultRowHeight="15" x14ac:dyDescent="0.2"/>
  <cols>
    <col min="1" max="1" width="10.76171875" customWidth="1"/>
    <col min="2" max="2" width="11.8359375" bestFit="1" customWidth="1"/>
    <col min="3" max="3" width="14.66015625" bestFit="1" customWidth="1"/>
    <col min="4" max="4" width="13.046875" bestFit="1" customWidth="1"/>
    <col min="5" max="5" width="14.9296875" customWidth="1"/>
    <col min="6" max="6" width="13.31640625" bestFit="1" customWidth="1"/>
    <col min="7" max="7" width="14.66015625" bestFit="1" customWidth="1"/>
    <col min="8" max="8" width="10.4921875" customWidth="1"/>
    <col min="9" max="9" width="14.390625" bestFit="1" customWidth="1"/>
    <col min="10" max="10" width="15.33203125" bestFit="1" customWidth="1"/>
    <col min="11" max="11" width="12.375" bestFit="1" customWidth="1"/>
    <col min="12" max="12" width="11.56640625" bestFit="1" customWidth="1"/>
    <col min="13" max="13" width="11.1640625" customWidth="1"/>
    <col min="15" max="15" width="12.5078125" customWidth="1"/>
    <col min="18" max="18" width="11.56640625" customWidth="1"/>
  </cols>
  <sheetData>
    <row r="1" spans="1:18" x14ac:dyDescent="0.2">
      <c r="A1" t="s">
        <v>21</v>
      </c>
      <c r="B1" t="s">
        <v>22</v>
      </c>
      <c r="C1" t="s">
        <v>23</v>
      </c>
      <c r="D1" t="s">
        <v>24</v>
      </c>
      <c r="E1" t="s">
        <v>25</v>
      </c>
      <c r="F1" t="s">
        <v>143</v>
      </c>
      <c r="G1" t="s">
        <v>149</v>
      </c>
    </row>
    <row r="2" spans="1:18" hidden="1" x14ac:dyDescent="0.2">
      <c r="A2" s="1">
        <v>45858</v>
      </c>
      <c r="B2" t="s">
        <v>14</v>
      </c>
      <c r="C2" s="11"/>
      <c r="D2" s="11">
        <v>5000</v>
      </c>
      <c r="E2" t="s">
        <v>26</v>
      </c>
      <c r="F2" s="54" t="s">
        <v>26</v>
      </c>
    </row>
    <row r="3" spans="1:18" hidden="1" x14ac:dyDescent="0.2">
      <c r="A3" s="1">
        <v>45862</v>
      </c>
      <c r="B3" t="s">
        <v>14</v>
      </c>
      <c r="C3" s="11"/>
      <c r="D3" s="11">
        <v>97650</v>
      </c>
      <c r="E3" t="s">
        <v>29</v>
      </c>
      <c r="F3" s="54" t="s">
        <v>26</v>
      </c>
    </row>
    <row r="4" spans="1:18" hidden="1" x14ac:dyDescent="0.2">
      <c r="A4" s="45">
        <v>45862</v>
      </c>
      <c r="B4" t="s">
        <v>30</v>
      </c>
      <c r="C4" s="11">
        <v>97650</v>
      </c>
      <c r="D4" s="11"/>
      <c r="E4" t="s">
        <v>29</v>
      </c>
      <c r="F4" s="54" t="s">
        <v>26</v>
      </c>
    </row>
    <row r="5" spans="1:18" hidden="1" x14ac:dyDescent="0.2">
      <c r="A5" s="1">
        <v>45863</v>
      </c>
      <c r="B5" t="s">
        <v>14</v>
      </c>
      <c r="C5" s="11"/>
      <c r="D5" s="11">
        <v>48300</v>
      </c>
      <c r="E5" t="s">
        <v>32</v>
      </c>
      <c r="F5" s="54" t="s">
        <v>26</v>
      </c>
    </row>
    <row r="6" spans="1:18" hidden="1" x14ac:dyDescent="0.2">
      <c r="A6" s="45">
        <v>45863</v>
      </c>
      <c r="B6" t="s">
        <v>34</v>
      </c>
      <c r="C6" s="11">
        <v>48300</v>
      </c>
      <c r="D6" s="11"/>
      <c r="E6" t="s">
        <v>32</v>
      </c>
      <c r="F6" s="54" t="s">
        <v>26</v>
      </c>
    </row>
    <row r="7" spans="1:18" hidden="1" x14ac:dyDescent="0.2">
      <c r="A7" s="1">
        <v>45866</v>
      </c>
      <c r="B7" t="s">
        <v>14</v>
      </c>
      <c r="C7" s="11"/>
      <c r="D7" s="11">
        <v>48800</v>
      </c>
      <c r="E7" t="s">
        <v>32</v>
      </c>
      <c r="F7" s="54" t="s">
        <v>26</v>
      </c>
    </row>
    <row r="8" spans="1:18" hidden="1" x14ac:dyDescent="0.2">
      <c r="A8" s="45">
        <v>45866</v>
      </c>
      <c r="B8" t="s">
        <v>34</v>
      </c>
      <c r="C8" s="11">
        <v>48800</v>
      </c>
      <c r="D8" s="11"/>
      <c r="E8" t="s">
        <v>32</v>
      </c>
      <c r="F8" s="54" t="s">
        <v>26</v>
      </c>
      <c r="N8" s="57" t="s">
        <v>55</v>
      </c>
      <c r="O8" s="40" t="s">
        <v>56</v>
      </c>
      <c r="Q8" s="57" t="s">
        <v>55</v>
      </c>
      <c r="R8" s="60" t="s">
        <v>148</v>
      </c>
    </row>
    <row r="9" spans="1:18" hidden="1" x14ac:dyDescent="0.2">
      <c r="A9" s="1">
        <v>45866</v>
      </c>
      <c r="B9" t="s">
        <v>14</v>
      </c>
      <c r="C9" s="11"/>
      <c r="D9" s="11">
        <v>100000</v>
      </c>
      <c r="E9" t="s">
        <v>36</v>
      </c>
      <c r="F9" s="54" t="s">
        <v>26</v>
      </c>
      <c r="N9" s="55" t="s">
        <v>23</v>
      </c>
      <c r="O9" s="56">
        <f>Table14[[#Totals],[Debit]]</f>
        <v>0</v>
      </c>
      <c r="Q9" s="55" t="s">
        <v>146</v>
      </c>
      <c r="R9" s="61">
        <f>SUMIFS(Table14[Withdrawal],Table14[Party],"Cash",Table14[Mode],"Transfer")</f>
        <v>147004</v>
      </c>
    </row>
    <row r="10" spans="1:18" hidden="1" x14ac:dyDescent="0.2">
      <c r="A10" s="45">
        <v>45866</v>
      </c>
      <c r="B10" t="s">
        <v>33</v>
      </c>
      <c r="C10" s="11">
        <v>100000</v>
      </c>
      <c r="D10" s="11"/>
      <c r="E10" t="s">
        <v>36</v>
      </c>
      <c r="F10" s="54" t="s">
        <v>26</v>
      </c>
      <c r="J10" s="3" t="s">
        <v>5</v>
      </c>
      <c r="K10" t="s">
        <v>28</v>
      </c>
      <c r="L10" t="s">
        <v>27</v>
      </c>
      <c r="N10" s="55" t="s">
        <v>24</v>
      </c>
      <c r="O10" s="56">
        <f>Table14[[#Totals],[Credit]]</f>
        <v>300000</v>
      </c>
      <c r="Q10" s="55" t="s">
        <v>26</v>
      </c>
      <c r="R10" s="56">
        <f>SUMIFS(Table14[Credit],Table14[Mode],"Bank")-SUMIFS(Table14[Debit],Table14[Mode],"Bank")-SUMIFS(Table14[Withdrawal],Table14[Mode],"Transfer")</f>
        <v>-145318</v>
      </c>
    </row>
    <row r="11" spans="1:18" hidden="1" x14ac:dyDescent="0.2">
      <c r="A11" s="1">
        <v>45869</v>
      </c>
      <c r="B11" t="s">
        <v>14</v>
      </c>
      <c r="C11" s="11"/>
      <c r="D11" s="11">
        <v>25250</v>
      </c>
      <c r="E11" t="s">
        <v>31</v>
      </c>
      <c r="F11" s="54" t="s">
        <v>26</v>
      </c>
      <c r="J11" s="4" t="s">
        <v>128</v>
      </c>
      <c r="K11" s="14"/>
      <c r="L11" s="14">
        <v>281500</v>
      </c>
      <c r="N11" s="62" t="s">
        <v>147</v>
      </c>
      <c r="O11" s="63">
        <f>O10-O9</f>
        <v>300000</v>
      </c>
      <c r="Q11" s="55" t="s">
        <v>141</v>
      </c>
      <c r="R11" s="56">
        <f>(SUMIFS(Table14[Credit],Table14[Mode],"Cash")-SUMIFS(Table14[Debit],Table14[Mode],"Cash"))+SUMIFS(Table14[Withdrawal],Table14[Party],"Cash",Table14[Mode],"Transfer")</f>
        <v>-716401</v>
      </c>
    </row>
    <row r="12" spans="1:18" hidden="1" x14ac:dyDescent="0.2">
      <c r="A12" s="45">
        <v>45869</v>
      </c>
      <c r="B12" t="s">
        <v>31</v>
      </c>
      <c r="C12" s="11">
        <v>25250</v>
      </c>
      <c r="D12" s="11"/>
      <c r="E12" t="s">
        <v>38</v>
      </c>
      <c r="F12" s="54" t="s">
        <v>26</v>
      </c>
      <c r="J12" s="4" t="s">
        <v>12</v>
      </c>
      <c r="K12" s="14">
        <v>100000</v>
      </c>
      <c r="L12" s="14"/>
      <c r="Q12" s="58" t="s">
        <v>4</v>
      </c>
      <c r="R12" s="59">
        <f>SUM(R10:R11)</f>
        <v>-861719</v>
      </c>
    </row>
    <row r="13" spans="1:18" hidden="1" x14ac:dyDescent="0.2">
      <c r="A13" s="1">
        <v>45869</v>
      </c>
      <c r="B13" t="s">
        <v>14</v>
      </c>
      <c r="C13" s="11"/>
      <c r="D13" s="11">
        <v>225000</v>
      </c>
      <c r="E13" t="s">
        <v>0</v>
      </c>
      <c r="F13" s="54" t="s">
        <v>26</v>
      </c>
      <c r="J13" s="4" t="s">
        <v>14</v>
      </c>
      <c r="K13" s="14">
        <v>3828838</v>
      </c>
      <c r="L13" s="14"/>
    </row>
    <row r="14" spans="1:18" hidden="1" x14ac:dyDescent="0.2">
      <c r="A14" s="1">
        <v>45869</v>
      </c>
      <c r="B14" t="s">
        <v>31</v>
      </c>
      <c r="C14" s="11">
        <v>165000</v>
      </c>
      <c r="D14" s="11"/>
      <c r="E14" t="s">
        <v>38</v>
      </c>
      <c r="F14" s="54" t="s">
        <v>26</v>
      </c>
      <c r="J14" s="4" t="s">
        <v>141</v>
      </c>
      <c r="K14" s="14"/>
      <c r="L14" s="14"/>
    </row>
    <row r="15" spans="1:18" hidden="1" x14ac:dyDescent="0.2">
      <c r="A15" s="1">
        <v>45869</v>
      </c>
      <c r="B15" t="s">
        <v>33</v>
      </c>
      <c r="C15" s="11">
        <v>50000</v>
      </c>
      <c r="D15" s="11"/>
      <c r="E15" t="s">
        <v>41</v>
      </c>
      <c r="F15" s="54" t="s">
        <v>26</v>
      </c>
      <c r="J15" s="4" t="s">
        <v>30</v>
      </c>
      <c r="K15" s="14"/>
      <c r="L15" s="14">
        <v>436370</v>
      </c>
    </row>
    <row r="16" spans="1:18" hidden="1" x14ac:dyDescent="0.2">
      <c r="A16" s="1">
        <v>45869</v>
      </c>
      <c r="B16" t="s">
        <v>35</v>
      </c>
      <c r="C16" s="11">
        <v>4820</v>
      </c>
      <c r="D16" s="11"/>
      <c r="E16" t="s">
        <v>42</v>
      </c>
      <c r="F16" s="54" t="s">
        <v>26</v>
      </c>
      <c r="J16" s="4" t="s">
        <v>34</v>
      </c>
      <c r="K16" s="14"/>
      <c r="L16" s="14">
        <v>431650</v>
      </c>
    </row>
    <row r="17" spans="1:12" hidden="1" x14ac:dyDescent="0.2">
      <c r="A17" s="43">
        <v>45862</v>
      </c>
      <c r="B17" t="s">
        <v>14</v>
      </c>
      <c r="C17" s="11"/>
      <c r="D17" s="11">
        <v>3000</v>
      </c>
      <c r="E17" t="s">
        <v>43</v>
      </c>
      <c r="F17" s="54" t="s">
        <v>26</v>
      </c>
      <c r="J17" s="4" t="s">
        <v>31</v>
      </c>
      <c r="K17" s="14"/>
      <c r="L17" s="14">
        <v>2460223</v>
      </c>
    </row>
    <row r="18" spans="1:12" hidden="1" x14ac:dyDescent="0.2">
      <c r="A18" s="43">
        <v>45862</v>
      </c>
      <c r="B18" t="s">
        <v>33</v>
      </c>
      <c r="C18" s="11">
        <v>3000</v>
      </c>
      <c r="D18" s="11"/>
      <c r="E18" t="s">
        <v>44</v>
      </c>
      <c r="F18" s="54" t="s">
        <v>26</v>
      </c>
      <c r="J18" s="4" t="s">
        <v>37</v>
      </c>
      <c r="K18" s="14"/>
      <c r="L18" s="14">
        <v>12000</v>
      </c>
    </row>
    <row r="19" spans="1:12" hidden="1" x14ac:dyDescent="0.2">
      <c r="A19" s="45">
        <v>45862</v>
      </c>
      <c r="B19" t="s">
        <v>14</v>
      </c>
      <c r="C19" s="11"/>
      <c r="D19" s="11">
        <v>2500</v>
      </c>
      <c r="E19" t="s">
        <v>35</v>
      </c>
      <c r="F19" s="54" t="s">
        <v>26</v>
      </c>
      <c r="J19" s="4" t="s">
        <v>40</v>
      </c>
      <c r="K19" s="14"/>
      <c r="L19" s="14">
        <v>320480</v>
      </c>
    </row>
    <row r="20" spans="1:12" hidden="1" x14ac:dyDescent="0.2">
      <c r="A20" s="45">
        <v>45862</v>
      </c>
      <c r="B20" t="s">
        <v>35</v>
      </c>
      <c r="C20" s="11">
        <v>2500</v>
      </c>
      <c r="D20" s="11"/>
      <c r="F20" s="54" t="s">
        <v>26</v>
      </c>
      <c r="J20" s="4" t="s">
        <v>39</v>
      </c>
      <c r="K20" s="14"/>
      <c r="L20" s="14">
        <v>52435</v>
      </c>
    </row>
    <row r="21" spans="1:12" hidden="1" x14ac:dyDescent="0.2">
      <c r="A21" s="45">
        <v>45862</v>
      </c>
      <c r="B21" t="s">
        <v>14</v>
      </c>
      <c r="C21" s="11"/>
      <c r="D21" s="11">
        <v>700</v>
      </c>
      <c r="E21" t="s">
        <v>37</v>
      </c>
      <c r="F21" s="54" t="s">
        <v>26</v>
      </c>
      <c r="J21" s="4" t="s">
        <v>33</v>
      </c>
      <c r="K21" s="14"/>
      <c r="L21" s="14">
        <v>955144</v>
      </c>
    </row>
    <row r="22" spans="1:12" hidden="1" x14ac:dyDescent="0.2">
      <c r="A22" s="44">
        <v>45862</v>
      </c>
      <c r="B22" t="s">
        <v>37</v>
      </c>
      <c r="C22" s="11">
        <v>700</v>
      </c>
      <c r="D22" s="11"/>
      <c r="F22" s="54" t="s">
        <v>26</v>
      </c>
      <c r="J22" s="4" t="s">
        <v>139</v>
      </c>
      <c r="K22" s="14">
        <v>960</v>
      </c>
      <c r="L22" s="14">
        <v>800</v>
      </c>
    </row>
    <row r="23" spans="1:12" hidden="1" x14ac:dyDescent="0.2">
      <c r="A23" s="44">
        <v>45871</v>
      </c>
      <c r="B23" t="s">
        <v>14</v>
      </c>
      <c r="C23" s="11"/>
      <c r="D23" s="11">
        <v>354398</v>
      </c>
      <c r="F23" s="54" t="s">
        <v>26</v>
      </c>
      <c r="J23" s="4" t="s">
        <v>16</v>
      </c>
      <c r="K23" s="14">
        <v>350000</v>
      </c>
      <c r="L23" s="14"/>
    </row>
    <row r="24" spans="1:12" hidden="1" x14ac:dyDescent="0.2">
      <c r="A24" s="45">
        <v>45871</v>
      </c>
      <c r="B24" t="s">
        <v>141</v>
      </c>
      <c r="C24" s="11"/>
      <c r="D24" s="11"/>
      <c r="F24" s="54" t="s">
        <v>145</v>
      </c>
      <c r="G24" s="11">
        <v>25004</v>
      </c>
      <c r="J24" s="4" t="s">
        <v>35</v>
      </c>
      <c r="K24" s="14">
        <v>21000</v>
      </c>
      <c r="L24" s="14">
        <v>85575</v>
      </c>
    </row>
    <row r="25" spans="1:12" hidden="1" x14ac:dyDescent="0.2">
      <c r="A25" s="45">
        <v>45871</v>
      </c>
      <c r="B25" t="s">
        <v>34</v>
      </c>
      <c r="C25" s="11">
        <v>48300</v>
      </c>
      <c r="D25" s="11"/>
      <c r="E25" t="s">
        <v>32</v>
      </c>
      <c r="F25" s="54" t="s">
        <v>26</v>
      </c>
      <c r="J25" s="4" t="s">
        <v>113</v>
      </c>
      <c r="K25" s="14"/>
      <c r="L25" s="14">
        <v>130000</v>
      </c>
    </row>
    <row r="26" spans="1:12" hidden="1" x14ac:dyDescent="0.2">
      <c r="A26" s="44">
        <v>45871</v>
      </c>
      <c r="B26" t="s">
        <v>35</v>
      </c>
      <c r="C26" s="11">
        <v>6430</v>
      </c>
      <c r="D26" s="11"/>
      <c r="E26" t="s">
        <v>42</v>
      </c>
      <c r="F26" s="54" t="s">
        <v>26</v>
      </c>
      <c r="J26" s="4" t="s">
        <v>87</v>
      </c>
      <c r="K26" s="14"/>
      <c r="L26" s="14">
        <v>110000</v>
      </c>
    </row>
    <row r="27" spans="1:12" hidden="1" x14ac:dyDescent="0.2">
      <c r="A27" s="45">
        <v>45871</v>
      </c>
      <c r="B27" t="s">
        <v>128</v>
      </c>
      <c r="C27" s="11">
        <v>10000</v>
      </c>
      <c r="D27" s="49"/>
      <c r="E27" t="s">
        <v>144</v>
      </c>
      <c r="F27" s="54" t="s">
        <v>141</v>
      </c>
      <c r="J27" s="4" t="s">
        <v>206</v>
      </c>
      <c r="K27" s="14">
        <v>2500</v>
      </c>
      <c r="L27" s="14">
        <v>1500</v>
      </c>
    </row>
    <row r="28" spans="1:12" hidden="1" x14ac:dyDescent="0.2">
      <c r="A28" s="44">
        <v>45871</v>
      </c>
      <c r="B28" t="s">
        <v>31</v>
      </c>
      <c r="C28" s="11">
        <v>200000</v>
      </c>
      <c r="D28" s="11"/>
      <c r="E28" t="s">
        <v>38</v>
      </c>
      <c r="F28" s="54" t="s">
        <v>26</v>
      </c>
      <c r="J28" s="4" t="s">
        <v>215</v>
      </c>
      <c r="K28" s="14">
        <v>70000</v>
      </c>
      <c r="L28" s="14">
        <v>70000</v>
      </c>
    </row>
    <row r="29" spans="1:12" hidden="1" x14ac:dyDescent="0.2">
      <c r="A29" s="45">
        <v>45871</v>
      </c>
      <c r="B29" t="s">
        <v>16</v>
      </c>
      <c r="C29" s="11"/>
      <c r="D29" s="11">
        <v>50000</v>
      </c>
      <c r="E29" t="s">
        <v>45</v>
      </c>
      <c r="F29" s="54" t="s">
        <v>26</v>
      </c>
      <c r="J29" s="4" t="s">
        <v>15</v>
      </c>
      <c r="K29" s="14">
        <v>200000</v>
      </c>
      <c r="L29" s="14"/>
    </row>
    <row r="30" spans="1:12" hidden="1" x14ac:dyDescent="0.2">
      <c r="A30" s="44">
        <v>45871</v>
      </c>
      <c r="B30" t="s">
        <v>37</v>
      </c>
      <c r="C30" s="49">
        <v>1740</v>
      </c>
      <c r="D30" s="49"/>
      <c r="E30" t="s">
        <v>46</v>
      </c>
      <c r="F30" s="54" t="s">
        <v>26</v>
      </c>
      <c r="J30" s="4" t="s">
        <v>201</v>
      </c>
      <c r="K30" s="14">
        <v>300000</v>
      </c>
      <c r="L30" s="14"/>
    </row>
    <row r="31" spans="1:12" hidden="1" x14ac:dyDescent="0.2">
      <c r="A31" s="45">
        <v>45872</v>
      </c>
      <c r="B31" t="s">
        <v>12</v>
      </c>
      <c r="C31" s="11"/>
      <c r="D31" s="11">
        <v>100000</v>
      </c>
      <c r="E31" t="s">
        <v>47</v>
      </c>
      <c r="F31" s="54" t="s">
        <v>26</v>
      </c>
      <c r="J31" s="4" t="s">
        <v>229</v>
      </c>
      <c r="K31" s="14"/>
      <c r="L31" s="14">
        <v>13000</v>
      </c>
    </row>
    <row r="32" spans="1:12" hidden="1" x14ac:dyDescent="0.2">
      <c r="A32" s="45">
        <v>45873</v>
      </c>
      <c r="B32" t="s">
        <v>31</v>
      </c>
      <c r="C32" s="11">
        <v>101550</v>
      </c>
      <c r="D32" s="11"/>
      <c r="E32" t="s">
        <v>38</v>
      </c>
      <c r="F32" s="54" t="s">
        <v>26</v>
      </c>
      <c r="J32" s="4" t="s">
        <v>17</v>
      </c>
      <c r="K32" s="14">
        <v>300000</v>
      </c>
      <c r="L32" s="14"/>
    </row>
    <row r="33" spans="1:12" hidden="1" x14ac:dyDescent="0.2">
      <c r="A33" s="44">
        <v>45873</v>
      </c>
      <c r="B33" t="s">
        <v>31</v>
      </c>
      <c r="C33" s="49">
        <v>200000</v>
      </c>
      <c r="D33" s="49"/>
      <c r="E33" t="s">
        <v>38</v>
      </c>
      <c r="F33" s="54" t="s">
        <v>26</v>
      </c>
      <c r="J33" s="4" t="s">
        <v>219</v>
      </c>
      <c r="K33" s="14">
        <v>100000</v>
      </c>
      <c r="L33" s="14"/>
    </row>
    <row r="34" spans="1:12" hidden="1" x14ac:dyDescent="0.2">
      <c r="A34" s="45">
        <v>45873</v>
      </c>
      <c r="B34" t="s">
        <v>14</v>
      </c>
      <c r="C34" s="11"/>
      <c r="D34" s="11">
        <v>200000</v>
      </c>
      <c r="F34" s="54" t="s">
        <v>26</v>
      </c>
      <c r="J34" s="4" t="s">
        <v>241</v>
      </c>
      <c r="K34" s="14"/>
      <c r="L34" s="14">
        <v>1000</v>
      </c>
    </row>
    <row r="35" spans="1:12" hidden="1" x14ac:dyDescent="0.2">
      <c r="A35" s="44">
        <v>45873</v>
      </c>
      <c r="B35" t="s">
        <v>34</v>
      </c>
      <c r="C35" s="49">
        <v>69200</v>
      </c>
      <c r="D35" s="49"/>
      <c r="E35" t="s">
        <v>32</v>
      </c>
      <c r="F35" s="54" t="s">
        <v>26</v>
      </c>
      <c r="J35" s="4" t="s">
        <v>18</v>
      </c>
      <c r="K35" s="14">
        <v>5273298</v>
      </c>
      <c r="L35" s="14">
        <v>5361677</v>
      </c>
    </row>
    <row r="36" spans="1:12" hidden="1" x14ac:dyDescent="0.2">
      <c r="A36" s="45">
        <v>45873</v>
      </c>
      <c r="B36" t="s">
        <v>35</v>
      </c>
      <c r="C36" s="11">
        <v>3840</v>
      </c>
      <c r="D36" s="11"/>
      <c r="E36" t="s">
        <v>42</v>
      </c>
      <c r="F36" s="54" t="s">
        <v>26</v>
      </c>
    </row>
    <row r="37" spans="1:12" hidden="1" x14ac:dyDescent="0.2">
      <c r="A37" s="45">
        <v>45873</v>
      </c>
      <c r="B37" t="s">
        <v>33</v>
      </c>
      <c r="C37" s="11">
        <v>2664</v>
      </c>
      <c r="D37" s="11"/>
      <c r="E37" t="s">
        <v>48</v>
      </c>
      <c r="F37" s="54" t="s">
        <v>141</v>
      </c>
    </row>
    <row r="38" spans="1:12" hidden="1" x14ac:dyDescent="0.2">
      <c r="A38" s="45">
        <v>45873</v>
      </c>
      <c r="B38" t="s">
        <v>49</v>
      </c>
      <c r="C38" s="11">
        <v>200</v>
      </c>
      <c r="D38" s="11"/>
      <c r="E38" t="s">
        <v>50</v>
      </c>
      <c r="F38" s="54" t="s">
        <v>26</v>
      </c>
    </row>
    <row r="39" spans="1:12" hidden="1" x14ac:dyDescent="0.2">
      <c r="A39" s="44">
        <v>45873</v>
      </c>
      <c r="B39" t="s">
        <v>39</v>
      </c>
      <c r="C39" s="49">
        <v>1840</v>
      </c>
      <c r="D39" s="49"/>
      <c r="E39" t="s">
        <v>39</v>
      </c>
      <c r="F39" s="54" t="s">
        <v>26</v>
      </c>
    </row>
    <row r="40" spans="1:12" hidden="1" x14ac:dyDescent="0.2">
      <c r="A40" s="45">
        <v>45873</v>
      </c>
      <c r="B40" t="s">
        <v>39</v>
      </c>
      <c r="C40" s="11">
        <v>1050</v>
      </c>
      <c r="D40" s="11"/>
      <c r="E40" t="s">
        <v>51</v>
      </c>
      <c r="F40" s="54" t="s">
        <v>26</v>
      </c>
    </row>
    <row r="41" spans="1:12" hidden="1" x14ac:dyDescent="0.2">
      <c r="A41" s="44">
        <v>45873</v>
      </c>
      <c r="B41" t="s">
        <v>14</v>
      </c>
      <c r="C41" s="49"/>
      <c r="D41" s="49">
        <v>7400</v>
      </c>
      <c r="E41" t="s">
        <v>52</v>
      </c>
      <c r="F41" s="54" t="s">
        <v>26</v>
      </c>
    </row>
    <row r="42" spans="1:12" hidden="1" x14ac:dyDescent="0.2">
      <c r="A42" s="44">
        <v>45873</v>
      </c>
      <c r="B42" t="s">
        <v>40</v>
      </c>
      <c r="C42" s="49">
        <v>7400</v>
      </c>
      <c r="D42" s="49"/>
      <c r="E42" t="s">
        <v>53</v>
      </c>
      <c r="F42" s="54" t="s">
        <v>26</v>
      </c>
    </row>
    <row r="43" spans="1:12" hidden="1" x14ac:dyDescent="0.2">
      <c r="A43" s="44">
        <v>45874</v>
      </c>
      <c r="B43" t="s">
        <v>39</v>
      </c>
      <c r="C43" s="49">
        <v>13000</v>
      </c>
      <c r="D43" s="49"/>
      <c r="F43" s="54" t="s">
        <v>26</v>
      </c>
    </row>
    <row r="44" spans="1:12" hidden="1" x14ac:dyDescent="0.2">
      <c r="A44" s="45">
        <v>45874</v>
      </c>
      <c r="B44" t="s">
        <v>39</v>
      </c>
      <c r="C44" s="11">
        <v>2170</v>
      </c>
      <c r="D44" s="11"/>
      <c r="F44" s="54" t="s">
        <v>26</v>
      </c>
    </row>
    <row r="45" spans="1:12" hidden="1" x14ac:dyDescent="0.2">
      <c r="A45" s="44">
        <v>45874</v>
      </c>
      <c r="B45" t="s">
        <v>40</v>
      </c>
      <c r="C45" s="11">
        <v>4380</v>
      </c>
      <c r="D45" s="11"/>
      <c r="F45" s="54" t="s">
        <v>26</v>
      </c>
    </row>
    <row r="46" spans="1:12" hidden="1" x14ac:dyDescent="0.2">
      <c r="A46" s="45">
        <v>45874</v>
      </c>
      <c r="B46" t="s">
        <v>14</v>
      </c>
      <c r="C46" s="11"/>
      <c r="D46" s="11">
        <v>150000</v>
      </c>
      <c r="F46" s="54" t="s">
        <v>26</v>
      </c>
    </row>
    <row r="47" spans="1:12" hidden="1" x14ac:dyDescent="0.2">
      <c r="A47" s="44">
        <v>45874</v>
      </c>
      <c r="B47" t="s">
        <v>14</v>
      </c>
      <c r="C47" s="11"/>
      <c r="D47" s="11">
        <v>67300</v>
      </c>
      <c r="F47" s="54" t="s">
        <v>26</v>
      </c>
    </row>
    <row r="48" spans="1:12" hidden="1" x14ac:dyDescent="0.2">
      <c r="A48" s="45">
        <v>45874</v>
      </c>
      <c r="B48" t="s">
        <v>30</v>
      </c>
      <c r="C48" s="11">
        <v>67300</v>
      </c>
      <c r="D48" s="11"/>
      <c r="E48" t="s">
        <v>29</v>
      </c>
      <c r="F48" s="54" t="s">
        <v>26</v>
      </c>
    </row>
    <row r="49" spans="1:6" hidden="1" x14ac:dyDescent="0.2">
      <c r="A49" s="45">
        <v>45874</v>
      </c>
      <c r="B49" t="s">
        <v>128</v>
      </c>
      <c r="C49" s="11">
        <v>20000</v>
      </c>
      <c r="D49" s="11"/>
      <c r="E49" t="s">
        <v>129</v>
      </c>
      <c r="F49" s="54" t="s">
        <v>26</v>
      </c>
    </row>
    <row r="50" spans="1:6" hidden="1" x14ac:dyDescent="0.2">
      <c r="A50" s="44">
        <v>45874</v>
      </c>
      <c r="B50" t="s">
        <v>128</v>
      </c>
      <c r="C50" s="49">
        <v>5000</v>
      </c>
      <c r="D50" s="49"/>
      <c r="E50" t="s">
        <v>129</v>
      </c>
      <c r="F50" s="54" t="s">
        <v>26</v>
      </c>
    </row>
    <row r="51" spans="1:6" hidden="1" x14ac:dyDescent="0.2">
      <c r="A51" s="45">
        <v>45875</v>
      </c>
      <c r="B51" t="s">
        <v>35</v>
      </c>
      <c r="C51" s="11">
        <v>5600</v>
      </c>
      <c r="D51" s="11"/>
      <c r="E51" t="s">
        <v>42</v>
      </c>
      <c r="F51" s="54" t="s">
        <v>26</v>
      </c>
    </row>
    <row r="52" spans="1:6" hidden="1" x14ac:dyDescent="0.2">
      <c r="A52" s="45">
        <v>45875</v>
      </c>
      <c r="B52" t="s">
        <v>128</v>
      </c>
      <c r="C52" s="11">
        <v>25000</v>
      </c>
      <c r="D52" s="11"/>
      <c r="E52" t="s">
        <v>134</v>
      </c>
      <c r="F52" s="54" t="s">
        <v>141</v>
      </c>
    </row>
    <row r="53" spans="1:6" hidden="1" x14ac:dyDescent="0.2">
      <c r="A53" s="45">
        <v>45875</v>
      </c>
      <c r="B53" t="s">
        <v>14</v>
      </c>
      <c r="C53" s="11"/>
      <c r="D53" s="11">
        <v>30300</v>
      </c>
      <c r="F53" s="54" t="s">
        <v>141</v>
      </c>
    </row>
    <row r="54" spans="1:6" hidden="1" x14ac:dyDescent="0.2">
      <c r="A54" s="45">
        <v>45875</v>
      </c>
      <c r="B54" t="s">
        <v>40</v>
      </c>
      <c r="C54" s="49">
        <v>9300</v>
      </c>
      <c r="D54" s="49"/>
      <c r="F54" s="54" t="s">
        <v>141</v>
      </c>
    </row>
    <row r="55" spans="1:6" hidden="1" x14ac:dyDescent="0.2">
      <c r="A55" s="45">
        <v>45875</v>
      </c>
      <c r="B55" t="s">
        <v>35</v>
      </c>
      <c r="C55" s="11">
        <v>1000</v>
      </c>
      <c r="D55" s="11"/>
      <c r="E55" t="s">
        <v>135</v>
      </c>
      <c r="F55" s="54" t="s">
        <v>141</v>
      </c>
    </row>
    <row r="56" spans="1:6" hidden="1" x14ac:dyDescent="0.2">
      <c r="A56" s="45">
        <v>45875</v>
      </c>
      <c r="B56" t="s">
        <v>35</v>
      </c>
      <c r="C56" s="11">
        <v>3500</v>
      </c>
      <c r="D56" s="11"/>
      <c r="E56" t="s">
        <v>136</v>
      </c>
      <c r="F56" s="54" t="s">
        <v>141</v>
      </c>
    </row>
    <row r="57" spans="1:6" hidden="1" x14ac:dyDescent="0.2">
      <c r="A57" s="45">
        <v>45875</v>
      </c>
      <c r="B57" t="s">
        <v>35</v>
      </c>
      <c r="C57" s="11">
        <v>2015</v>
      </c>
      <c r="D57" s="11"/>
      <c r="E57" t="s">
        <v>137</v>
      </c>
      <c r="F57" s="54" t="s">
        <v>141</v>
      </c>
    </row>
    <row r="58" spans="1:6" hidden="1" x14ac:dyDescent="0.2">
      <c r="A58" s="45">
        <v>45875</v>
      </c>
      <c r="B58" t="s">
        <v>40</v>
      </c>
      <c r="C58" s="11">
        <v>1180</v>
      </c>
      <c r="D58" s="11"/>
      <c r="F58" s="54" t="s">
        <v>141</v>
      </c>
    </row>
    <row r="59" spans="1:6" hidden="1" x14ac:dyDescent="0.2">
      <c r="A59" s="45">
        <v>45875</v>
      </c>
      <c r="B59" t="s">
        <v>37</v>
      </c>
      <c r="C59" s="11">
        <v>500</v>
      </c>
      <c r="D59" s="11"/>
      <c r="F59" s="54" t="s">
        <v>141</v>
      </c>
    </row>
    <row r="60" spans="1:6" hidden="1" x14ac:dyDescent="0.2">
      <c r="A60" s="45">
        <v>45875</v>
      </c>
      <c r="B60" t="s">
        <v>128</v>
      </c>
      <c r="C60" s="11">
        <v>20000</v>
      </c>
      <c r="D60" s="11"/>
      <c r="E60" t="s">
        <v>138</v>
      </c>
      <c r="F60" s="54" t="s">
        <v>26</v>
      </c>
    </row>
    <row r="61" spans="1:6" hidden="1" x14ac:dyDescent="0.2">
      <c r="A61" s="45">
        <v>45875</v>
      </c>
      <c r="B61" t="s">
        <v>139</v>
      </c>
      <c r="C61" s="11"/>
      <c r="D61" s="11">
        <v>160</v>
      </c>
      <c r="E61" t="s">
        <v>140</v>
      </c>
      <c r="F61" s="54" t="s">
        <v>141</v>
      </c>
    </row>
    <row r="62" spans="1:6" hidden="1" x14ac:dyDescent="0.2">
      <c r="A62" s="44">
        <v>45875</v>
      </c>
      <c r="B62" t="s">
        <v>35</v>
      </c>
      <c r="C62" s="49">
        <v>5316</v>
      </c>
      <c r="D62" s="49"/>
      <c r="E62" t="s">
        <v>142</v>
      </c>
      <c r="F62" s="54" t="s">
        <v>26</v>
      </c>
    </row>
    <row r="63" spans="1:6" hidden="1" x14ac:dyDescent="0.2">
      <c r="A63" s="45">
        <v>45876</v>
      </c>
      <c r="B63" t="s">
        <v>39</v>
      </c>
      <c r="C63" s="11">
        <v>1940</v>
      </c>
      <c r="D63" s="11"/>
      <c r="E63" s="54" t="s">
        <v>150</v>
      </c>
      <c r="F63" s="54" t="s">
        <v>26</v>
      </c>
    </row>
    <row r="64" spans="1:6" hidden="1" x14ac:dyDescent="0.2">
      <c r="A64" s="45">
        <v>45876</v>
      </c>
      <c r="B64" t="s">
        <v>31</v>
      </c>
      <c r="C64" s="11">
        <v>28550</v>
      </c>
      <c r="D64" s="11"/>
      <c r="E64" s="54" t="s">
        <v>151</v>
      </c>
      <c r="F64" s="54" t="s">
        <v>26</v>
      </c>
    </row>
    <row r="65" spans="1:6" hidden="1" x14ac:dyDescent="0.2">
      <c r="A65" s="45">
        <v>45876</v>
      </c>
      <c r="B65" t="s">
        <v>31</v>
      </c>
      <c r="C65" s="11">
        <v>82000</v>
      </c>
      <c r="D65" s="11"/>
      <c r="E65" s="54" t="s">
        <v>151</v>
      </c>
      <c r="F65" s="54" t="s">
        <v>26</v>
      </c>
    </row>
    <row r="66" spans="1:6" hidden="1" x14ac:dyDescent="0.2">
      <c r="A66" s="45">
        <v>45876</v>
      </c>
      <c r="B66" t="s">
        <v>35</v>
      </c>
      <c r="C66" s="49">
        <v>3820</v>
      </c>
      <c r="D66" s="49"/>
      <c r="E66" s="54" t="s">
        <v>42</v>
      </c>
      <c r="F66" s="54" t="s">
        <v>26</v>
      </c>
    </row>
    <row r="67" spans="1:6" hidden="1" x14ac:dyDescent="0.2">
      <c r="A67" s="45">
        <v>45876</v>
      </c>
      <c r="B67" t="s">
        <v>14</v>
      </c>
      <c r="C67" s="11"/>
      <c r="D67" s="11">
        <v>2170</v>
      </c>
      <c r="E67" s="54" t="s">
        <v>39</v>
      </c>
      <c r="F67" s="54" t="s">
        <v>26</v>
      </c>
    </row>
    <row r="68" spans="1:6" hidden="1" x14ac:dyDescent="0.2">
      <c r="A68" s="45">
        <v>45876</v>
      </c>
      <c r="B68" t="s">
        <v>39</v>
      </c>
      <c r="C68" s="11">
        <v>1680</v>
      </c>
      <c r="D68" s="11"/>
      <c r="E68" s="54"/>
      <c r="F68" s="54" t="s">
        <v>26</v>
      </c>
    </row>
    <row r="69" spans="1:6" hidden="1" x14ac:dyDescent="0.2">
      <c r="A69" s="45">
        <v>45876</v>
      </c>
      <c r="B69" t="s">
        <v>37</v>
      </c>
      <c r="C69" s="11">
        <v>560</v>
      </c>
      <c r="D69" s="11"/>
      <c r="E69" s="54" t="s">
        <v>159</v>
      </c>
      <c r="F69" s="54" t="s">
        <v>26</v>
      </c>
    </row>
    <row r="70" spans="1:6" hidden="1" x14ac:dyDescent="0.2">
      <c r="A70" s="45">
        <v>45876</v>
      </c>
      <c r="B70" t="s">
        <v>14</v>
      </c>
      <c r="C70" s="11"/>
      <c r="D70" s="11">
        <v>285000</v>
      </c>
      <c r="E70" s="54"/>
      <c r="F70" s="54" t="s">
        <v>26</v>
      </c>
    </row>
    <row r="71" spans="1:6" hidden="1" x14ac:dyDescent="0.2">
      <c r="A71" s="45">
        <v>45876</v>
      </c>
      <c r="B71" t="s">
        <v>31</v>
      </c>
      <c r="C71" s="11">
        <v>265000</v>
      </c>
      <c r="D71" s="11"/>
      <c r="E71" s="54" t="s">
        <v>38</v>
      </c>
      <c r="F71" s="54" t="s">
        <v>26</v>
      </c>
    </row>
    <row r="72" spans="1:6" hidden="1" x14ac:dyDescent="0.2">
      <c r="A72" s="45">
        <v>45876</v>
      </c>
      <c r="B72" t="s">
        <v>128</v>
      </c>
      <c r="C72" s="11">
        <v>16000</v>
      </c>
      <c r="D72" s="11"/>
      <c r="E72" s="54" t="s">
        <v>152</v>
      </c>
      <c r="F72" s="54" t="s">
        <v>26</v>
      </c>
    </row>
    <row r="73" spans="1:6" hidden="1" x14ac:dyDescent="0.2">
      <c r="A73" s="45">
        <v>45876</v>
      </c>
      <c r="B73" t="s">
        <v>40</v>
      </c>
      <c r="C73" s="11">
        <v>1100</v>
      </c>
      <c r="D73" s="11"/>
      <c r="E73" s="54" t="s">
        <v>153</v>
      </c>
      <c r="F73" s="54" t="s">
        <v>26</v>
      </c>
    </row>
    <row r="74" spans="1:6" hidden="1" x14ac:dyDescent="0.2">
      <c r="A74" s="45">
        <v>45876</v>
      </c>
      <c r="B74" t="s">
        <v>37</v>
      </c>
      <c r="C74" s="11">
        <v>570</v>
      </c>
      <c r="D74" s="11"/>
      <c r="E74" s="54" t="s">
        <v>154</v>
      </c>
      <c r="F74" s="54" t="s">
        <v>26</v>
      </c>
    </row>
    <row r="75" spans="1:6" hidden="1" x14ac:dyDescent="0.2">
      <c r="A75" s="45">
        <v>45876</v>
      </c>
      <c r="B75" t="s">
        <v>37</v>
      </c>
      <c r="C75" s="11">
        <v>200</v>
      </c>
      <c r="D75" s="11"/>
      <c r="E75" s="54" t="s">
        <v>155</v>
      </c>
      <c r="F75" s="54" t="s">
        <v>26</v>
      </c>
    </row>
    <row r="76" spans="1:6" hidden="1" x14ac:dyDescent="0.2">
      <c r="A76" s="45">
        <v>45876</v>
      </c>
      <c r="B76" t="s">
        <v>37</v>
      </c>
      <c r="C76" s="11">
        <v>350</v>
      </c>
      <c r="D76" s="11"/>
      <c r="E76" s="54" t="s">
        <v>156</v>
      </c>
      <c r="F76" s="54" t="s">
        <v>26</v>
      </c>
    </row>
    <row r="77" spans="1:6" hidden="1" x14ac:dyDescent="0.2">
      <c r="A77" s="45">
        <v>45876</v>
      </c>
      <c r="B77" t="s">
        <v>35</v>
      </c>
      <c r="C77" s="11"/>
      <c r="D77" s="11">
        <v>21000</v>
      </c>
      <c r="E77" s="54" t="s">
        <v>151</v>
      </c>
      <c r="F77" s="54" t="s">
        <v>26</v>
      </c>
    </row>
    <row r="78" spans="1:6" hidden="1" x14ac:dyDescent="0.2">
      <c r="A78" s="45">
        <v>45876</v>
      </c>
      <c r="B78" t="s">
        <v>40</v>
      </c>
      <c r="C78" s="11">
        <v>8560</v>
      </c>
      <c r="D78" s="11"/>
      <c r="E78" s="54" t="s">
        <v>158</v>
      </c>
      <c r="F78" s="54" t="s">
        <v>26</v>
      </c>
    </row>
    <row r="79" spans="1:6" hidden="1" x14ac:dyDescent="0.2">
      <c r="A79" s="45">
        <v>45876</v>
      </c>
      <c r="B79" t="s">
        <v>40</v>
      </c>
      <c r="C79" s="11">
        <v>24150</v>
      </c>
      <c r="D79" s="11"/>
      <c r="E79" s="54" t="s">
        <v>157</v>
      </c>
      <c r="F79" s="54" t="s">
        <v>26</v>
      </c>
    </row>
    <row r="80" spans="1:6" hidden="1" x14ac:dyDescent="0.2">
      <c r="A80" s="45">
        <v>45877</v>
      </c>
      <c r="B80" t="s">
        <v>14</v>
      </c>
      <c r="C80" s="11"/>
      <c r="D80" s="11">
        <v>120000</v>
      </c>
      <c r="F80" s="54" t="s">
        <v>26</v>
      </c>
    </row>
    <row r="81" spans="1:7" hidden="1" x14ac:dyDescent="0.2">
      <c r="A81" s="45">
        <v>45877</v>
      </c>
      <c r="B81" t="s">
        <v>128</v>
      </c>
      <c r="C81" s="11">
        <v>30000</v>
      </c>
      <c r="D81" s="11"/>
      <c r="E81" t="s">
        <v>41</v>
      </c>
      <c r="F81" s="54" t="s">
        <v>26</v>
      </c>
    </row>
    <row r="82" spans="1:7" hidden="1" x14ac:dyDescent="0.2">
      <c r="A82" s="45">
        <v>45877</v>
      </c>
      <c r="B82" t="s">
        <v>141</v>
      </c>
      <c r="C82" s="11"/>
      <c r="D82" s="11"/>
      <c r="E82" s="66" t="s">
        <v>164</v>
      </c>
      <c r="F82" s="54" t="s">
        <v>145</v>
      </c>
      <c r="G82">
        <v>35000</v>
      </c>
    </row>
    <row r="83" spans="1:7" hidden="1" x14ac:dyDescent="0.2">
      <c r="A83" s="45">
        <v>45877</v>
      </c>
      <c r="B83" t="s">
        <v>39</v>
      </c>
      <c r="C83" s="11">
        <v>1620</v>
      </c>
      <c r="D83" s="11"/>
      <c r="E83" s="54"/>
      <c r="F83" s="54" t="s">
        <v>26</v>
      </c>
    </row>
    <row r="84" spans="1:7" hidden="1" x14ac:dyDescent="0.2">
      <c r="A84" s="45">
        <v>45877</v>
      </c>
      <c r="B84" t="s">
        <v>35</v>
      </c>
      <c r="C84" s="11">
        <v>5316</v>
      </c>
      <c r="D84" s="11"/>
      <c r="E84" s="54" t="s">
        <v>162</v>
      </c>
      <c r="F84" s="54" t="s">
        <v>26</v>
      </c>
    </row>
    <row r="85" spans="1:7" hidden="1" x14ac:dyDescent="0.2">
      <c r="A85" s="45">
        <v>45877</v>
      </c>
      <c r="B85" t="s">
        <v>31</v>
      </c>
      <c r="C85" s="11">
        <v>50000</v>
      </c>
      <c r="D85" s="11"/>
      <c r="E85" s="54" t="s">
        <v>163</v>
      </c>
      <c r="F85" s="54" t="s">
        <v>26</v>
      </c>
    </row>
    <row r="86" spans="1:7" hidden="1" x14ac:dyDescent="0.2">
      <c r="A86" s="44">
        <v>45877</v>
      </c>
      <c r="B86" t="s">
        <v>40</v>
      </c>
      <c r="C86" s="49">
        <v>1250</v>
      </c>
      <c r="D86" s="49"/>
      <c r="F86" s="54" t="s">
        <v>26</v>
      </c>
    </row>
    <row r="87" spans="1:7" hidden="1" x14ac:dyDescent="0.2">
      <c r="A87" s="44">
        <v>45878</v>
      </c>
      <c r="B87" t="s">
        <v>14</v>
      </c>
      <c r="C87" s="11"/>
      <c r="D87" s="11">
        <v>300000</v>
      </c>
      <c r="E87" t="s">
        <v>0</v>
      </c>
      <c r="F87" s="54" t="s">
        <v>26</v>
      </c>
    </row>
    <row r="88" spans="1:7" hidden="1" x14ac:dyDescent="0.2">
      <c r="A88" s="44">
        <v>45878</v>
      </c>
      <c r="B88" t="s">
        <v>31</v>
      </c>
      <c r="C88" s="11">
        <v>200103</v>
      </c>
      <c r="D88" s="11"/>
      <c r="E88" t="s">
        <v>38</v>
      </c>
      <c r="F88" s="54" t="s">
        <v>26</v>
      </c>
    </row>
    <row r="89" spans="1:7" hidden="1" x14ac:dyDescent="0.2">
      <c r="A89" s="44">
        <v>45878</v>
      </c>
      <c r="B89" t="s">
        <v>31</v>
      </c>
      <c r="C89" s="11">
        <v>35000</v>
      </c>
      <c r="D89" s="11"/>
      <c r="E89" t="s">
        <v>171</v>
      </c>
      <c r="F89" s="54" t="s">
        <v>26</v>
      </c>
    </row>
    <row r="90" spans="1:7" hidden="1" x14ac:dyDescent="0.2">
      <c r="A90" s="44">
        <v>45878</v>
      </c>
      <c r="B90" t="s">
        <v>39</v>
      </c>
      <c r="C90" s="11">
        <v>1790</v>
      </c>
      <c r="D90" s="11"/>
      <c r="F90" s="54" t="s">
        <v>26</v>
      </c>
    </row>
    <row r="91" spans="1:7" hidden="1" x14ac:dyDescent="0.2">
      <c r="A91" s="44">
        <v>45878</v>
      </c>
      <c r="B91" t="s">
        <v>40</v>
      </c>
      <c r="C91" s="49">
        <v>8610</v>
      </c>
      <c r="D91" s="49"/>
      <c r="E91" t="s">
        <v>172</v>
      </c>
      <c r="F91" s="54" t="s">
        <v>26</v>
      </c>
    </row>
    <row r="92" spans="1:7" hidden="1" x14ac:dyDescent="0.2">
      <c r="A92" s="44">
        <v>45878</v>
      </c>
      <c r="B92" t="s">
        <v>14</v>
      </c>
      <c r="C92" s="11"/>
      <c r="D92" s="11">
        <v>147000</v>
      </c>
      <c r="E92" t="s">
        <v>47</v>
      </c>
      <c r="F92" s="54" t="s">
        <v>26</v>
      </c>
    </row>
    <row r="93" spans="1:7" hidden="1" x14ac:dyDescent="0.2">
      <c r="A93" s="44">
        <v>45878</v>
      </c>
      <c r="B93" t="s">
        <v>34</v>
      </c>
      <c r="C93" s="11">
        <f>69200</f>
        <v>69200</v>
      </c>
      <c r="D93" s="11"/>
      <c r="E93" t="s">
        <v>32</v>
      </c>
      <c r="F93" s="54" t="s">
        <v>26</v>
      </c>
    </row>
    <row r="94" spans="1:7" hidden="1" x14ac:dyDescent="0.2">
      <c r="A94" s="44">
        <v>45878</v>
      </c>
      <c r="B94" t="s">
        <v>113</v>
      </c>
      <c r="C94" s="11">
        <v>125000</v>
      </c>
      <c r="D94" s="11"/>
      <c r="E94" t="s">
        <v>114</v>
      </c>
      <c r="F94" s="54" t="s">
        <v>26</v>
      </c>
    </row>
    <row r="95" spans="1:7" hidden="1" x14ac:dyDescent="0.2">
      <c r="A95" s="44">
        <v>45878</v>
      </c>
      <c r="B95" t="s">
        <v>128</v>
      </c>
      <c r="C95" s="11">
        <v>5000</v>
      </c>
      <c r="D95" s="11"/>
      <c r="E95" t="s">
        <v>168</v>
      </c>
      <c r="F95" s="54" t="s">
        <v>141</v>
      </c>
    </row>
    <row r="96" spans="1:7" hidden="1" x14ac:dyDescent="0.2">
      <c r="A96" s="44">
        <v>45878</v>
      </c>
      <c r="B96" t="s">
        <v>35</v>
      </c>
      <c r="C96" s="11">
        <v>1000</v>
      </c>
      <c r="D96" s="11"/>
      <c r="E96" t="s">
        <v>169</v>
      </c>
      <c r="F96" s="54" t="s">
        <v>141</v>
      </c>
    </row>
    <row r="97" spans="1:7" hidden="1" x14ac:dyDescent="0.2">
      <c r="A97" s="44">
        <v>45878</v>
      </c>
      <c r="B97" t="s">
        <v>31</v>
      </c>
      <c r="C97" s="11">
        <v>20000</v>
      </c>
      <c r="D97" s="11"/>
      <c r="E97" t="s">
        <v>170</v>
      </c>
      <c r="F97" s="54" t="s">
        <v>141</v>
      </c>
    </row>
    <row r="98" spans="1:7" hidden="1" x14ac:dyDescent="0.2">
      <c r="A98" s="44">
        <v>45878</v>
      </c>
      <c r="B98" t="s">
        <v>14</v>
      </c>
      <c r="C98" s="11"/>
      <c r="D98" s="11">
        <v>40000</v>
      </c>
      <c r="F98" s="54" t="s">
        <v>26</v>
      </c>
    </row>
    <row r="99" spans="1:7" hidden="1" x14ac:dyDescent="0.2">
      <c r="A99" s="44">
        <v>45878</v>
      </c>
      <c r="B99" t="s">
        <v>87</v>
      </c>
      <c r="C99" s="11">
        <v>40000</v>
      </c>
      <c r="D99" s="11"/>
      <c r="E99" t="s">
        <v>38</v>
      </c>
      <c r="F99" s="54" t="s">
        <v>26</v>
      </c>
    </row>
    <row r="100" spans="1:7" hidden="1" x14ac:dyDescent="0.2">
      <c r="A100" s="44">
        <v>45878</v>
      </c>
      <c r="B100" t="s">
        <v>35</v>
      </c>
      <c r="C100" s="49">
        <v>600</v>
      </c>
      <c r="D100" s="49"/>
      <c r="E100" t="s">
        <v>32</v>
      </c>
      <c r="F100" s="54" t="s">
        <v>141</v>
      </c>
    </row>
    <row r="101" spans="1:7" hidden="1" x14ac:dyDescent="0.2">
      <c r="A101" s="44">
        <v>45878</v>
      </c>
      <c r="B101" t="s">
        <v>35</v>
      </c>
      <c r="C101" s="49">
        <v>4512</v>
      </c>
      <c r="D101" s="49"/>
      <c r="E101" t="s">
        <v>42</v>
      </c>
      <c r="F101" s="54" t="s">
        <v>26</v>
      </c>
    </row>
    <row r="102" spans="1:7" hidden="1" x14ac:dyDescent="0.2">
      <c r="A102" s="44">
        <v>45878</v>
      </c>
      <c r="B102" t="s">
        <v>139</v>
      </c>
      <c r="C102" s="49">
        <v>800</v>
      </c>
      <c r="D102" s="49"/>
      <c r="F102" s="54" t="s">
        <v>141</v>
      </c>
    </row>
    <row r="103" spans="1:7" hidden="1" x14ac:dyDescent="0.2">
      <c r="A103" s="44">
        <v>45878</v>
      </c>
      <c r="B103" t="s">
        <v>139</v>
      </c>
      <c r="C103" s="11"/>
      <c r="D103" s="11">
        <v>800</v>
      </c>
      <c r="F103" s="54" t="s">
        <v>26</v>
      </c>
    </row>
    <row r="104" spans="1:7" hidden="1" x14ac:dyDescent="0.2">
      <c r="A104" s="45">
        <v>45878</v>
      </c>
      <c r="B104" t="s">
        <v>14</v>
      </c>
      <c r="C104" s="11"/>
      <c r="D104" s="11">
        <v>175000</v>
      </c>
      <c r="F104" s="54" t="s">
        <v>141</v>
      </c>
    </row>
    <row r="105" spans="1:7" hidden="1" x14ac:dyDescent="0.2">
      <c r="A105" s="44">
        <v>45879</v>
      </c>
      <c r="B105" t="s">
        <v>14</v>
      </c>
      <c r="C105" s="49"/>
      <c r="D105" s="49">
        <v>50000</v>
      </c>
      <c r="F105" s="54" t="s">
        <v>26</v>
      </c>
    </row>
    <row r="106" spans="1:7" hidden="1" x14ac:dyDescent="0.2">
      <c r="A106" s="45">
        <v>45879</v>
      </c>
      <c r="B106" t="s">
        <v>128</v>
      </c>
      <c r="C106" s="11">
        <v>50000</v>
      </c>
      <c r="D106" s="11"/>
      <c r="E106" t="s">
        <v>186</v>
      </c>
      <c r="F106" s="54" t="s">
        <v>26</v>
      </c>
    </row>
    <row r="107" spans="1:7" hidden="1" x14ac:dyDescent="0.2">
      <c r="A107" s="44">
        <v>45879</v>
      </c>
      <c r="B107" t="s">
        <v>14</v>
      </c>
      <c r="C107" s="49"/>
      <c r="D107" s="49">
        <v>100000</v>
      </c>
      <c r="F107" s="54" t="s">
        <v>26</v>
      </c>
    </row>
    <row r="108" spans="1:7" hidden="1" x14ac:dyDescent="0.2">
      <c r="A108" s="45">
        <v>45879</v>
      </c>
      <c r="B108" t="s">
        <v>31</v>
      </c>
      <c r="C108" s="49">
        <v>35600</v>
      </c>
      <c r="D108" s="49"/>
      <c r="E108" t="s">
        <v>187</v>
      </c>
      <c r="F108" s="54" t="s">
        <v>26</v>
      </c>
    </row>
    <row r="109" spans="1:7" hidden="1" x14ac:dyDescent="0.2">
      <c r="A109" s="45">
        <v>45879</v>
      </c>
      <c r="B109" t="s">
        <v>35</v>
      </c>
      <c r="C109" s="11">
        <v>3500</v>
      </c>
      <c r="D109" s="11"/>
      <c r="E109" t="s">
        <v>42</v>
      </c>
      <c r="F109" s="54" t="s">
        <v>26</v>
      </c>
    </row>
    <row r="110" spans="1:7" hidden="1" x14ac:dyDescent="0.2">
      <c r="A110" s="44">
        <v>45879</v>
      </c>
      <c r="B110" t="s">
        <v>35</v>
      </c>
      <c r="C110" s="49">
        <v>1100</v>
      </c>
      <c r="D110" s="49"/>
      <c r="E110" t="s">
        <v>188</v>
      </c>
      <c r="F110" s="54" t="s">
        <v>26</v>
      </c>
    </row>
    <row r="111" spans="1:7" hidden="1" x14ac:dyDescent="0.2">
      <c r="A111" s="44">
        <v>45879</v>
      </c>
      <c r="B111" t="s">
        <v>39</v>
      </c>
      <c r="C111" s="49">
        <v>1750</v>
      </c>
      <c r="D111" s="49"/>
      <c r="F111" s="54" t="s">
        <v>26</v>
      </c>
    </row>
    <row r="112" spans="1:7" hidden="1" x14ac:dyDescent="0.2">
      <c r="A112" s="90">
        <v>45879</v>
      </c>
      <c r="B112" s="91" t="s">
        <v>206</v>
      </c>
      <c r="C112" s="92"/>
      <c r="D112" s="92">
        <v>500</v>
      </c>
      <c r="E112" s="91" t="s">
        <v>200</v>
      </c>
      <c r="F112" s="93" t="s">
        <v>26</v>
      </c>
      <c r="G112" s="91"/>
    </row>
    <row r="113" spans="1:6" hidden="1" x14ac:dyDescent="0.2">
      <c r="A113" s="45">
        <v>45880</v>
      </c>
      <c r="B113" t="s">
        <v>14</v>
      </c>
      <c r="C113" s="11"/>
      <c r="D113" s="11">
        <v>500000</v>
      </c>
      <c r="F113" s="54" t="s">
        <v>141</v>
      </c>
    </row>
    <row r="114" spans="1:6" hidden="1" x14ac:dyDescent="0.2">
      <c r="A114" s="44">
        <v>45880</v>
      </c>
      <c r="B114" t="s">
        <v>31</v>
      </c>
      <c r="C114" s="49">
        <v>36000</v>
      </c>
      <c r="D114" s="49"/>
      <c r="E114" t="s">
        <v>194</v>
      </c>
      <c r="F114" s="54" t="s">
        <v>26</v>
      </c>
    </row>
    <row r="115" spans="1:6" hidden="1" x14ac:dyDescent="0.2">
      <c r="A115" s="45">
        <v>45880</v>
      </c>
      <c r="B115" t="s">
        <v>31</v>
      </c>
      <c r="C115" s="11">
        <v>28300</v>
      </c>
      <c r="D115" s="11"/>
      <c r="E115" t="s">
        <v>195</v>
      </c>
      <c r="F115" s="54" t="s">
        <v>141</v>
      </c>
    </row>
    <row r="116" spans="1:6" hidden="1" x14ac:dyDescent="0.2">
      <c r="A116" s="44">
        <v>45880</v>
      </c>
      <c r="B116" t="s">
        <v>35</v>
      </c>
      <c r="C116" s="11">
        <v>1000</v>
      </c>
      <c r="D116" s="11"/>
      <c r="E116" t="s">
        <v>135</v>
      </c>
      <c r="F116" s="54" t="s">
        <v>26</v>
      </c>
    </row>
    <row r="117" spans="1:6" hidden="1" x14ac:dyDescent="0.2">
      <c r="A117" s="45">
        <v>45880</v>
      </c>
      <c r="B117" t="s">
        <v>33</v>
      </c>
      <c r="C117" s="11">
        <v>598400</v>
      </c>
      <c r="D117" s="11"/>
      <c r="F117" s="54" t="s">
        <v>141</v>
      </c>
    </row>
    <row r="118" spans="1:6" hidden="1" x14ac:dyDescent="0.2">
      <c r="A118" s="44">
        <v>45880</v>
      </c>
      <c r="B118" t="s">
        <v>14</v>
      </c>
      <c r="C118" s="11"/>
      <c r="D118" s="11">
        <v>28750</v>
      </c>
      <c r="F118" s="54" t="s">
        <v>26</v>
      </c>
    </row>
    <row r="119" spans="1:6" hidden="1" x14ac:dyDescent="0.2">
      <c r="A119" s="45">
        <v>45880</v>
      </c>
      <c r="B119" t="s">
        <v>14</v>
      </c>
      <c r="C119" s="11"/>
      <c r="D119" s="11">
        <v>8000</v>
      </c>
      <c r="F119" s="54" t="s">
        <v>26</v>
      </c>
    </row>
    <row r="120" spans="1:6" hidden="1" x14ac:dyDescent="0.2">
      <c r="A120" s="44">
        <v>45880</v>
      </c>
      <c r="B120" t="s">
        <v>30</v>
      </c>
      <c r="C120" s="11">
        <v>28750</v>
      </c>
      <c r="D120" s="11"/>
      <c r="E120" t="s">
        <v>196</v>
      </c>
      <c r="F120" s="54" t="s">
        <v>26</v>
      </c>
    </row>
    <row r="121" spans="1:6" hidden="1" x14ac:dyDescent="0.2">
      <c r="A121" s="45">
        <v>45880</v>
      </c>
      <c r="B121" t="s">
        <v>34</v>
      </c>
      <c r="C121" s="11">
        <v>8000</v>
      </c>
      <c r="D121" s="11"/>
      <c r="E121" t="s">
        <v>197</v>
      </c>
      <c r="F121" s="54" t="s">
        <v>26</v>
      </c>
    </row>
    <row r="122" spans="1:6" hidden="1" x14ac:dyDescent="0.2">
      <c r="A122" s="44">
        <v>45880</v>
      </c>
      <c r="B122" t="s">
        <v>206</v>
      </c>
      <c r="C122" s="11"/>
      <c r="D122" s="11">
        <v>1000</v>
      </c>
      <c r="E122" t="s">
        <v>135</v>
      </c>
      <c r="F122" s="54" t="s">
        <v>141</v>
      </c>
    </row>
    <row r="123" spans="1:6" hidden="1" x14ac:dyDescent="0.2">
      <c r="A123" s="45">
        <v>45880</v>
      </c>
      <c r="B123" t="s">
        <v>14</v>
      </c>
      <c r="C123" s="11"/>
      <c r="D123" s="11">
        <v>10000</v>
      </c>
      <c r="E123" t="s">
        <v>198</v>
      </c>
      <c r="F123" s="54" t="s">
        <v>26</v>
      </c>
    </row>
    <row r="124" spans="1:6" hidden="1" x14ac:dyDescent="0.2">
      <c r="A124" s="44">
        <v>45880</v>
      </c>
      <c r="B124" t="s">
        <v>40</v>
      </c>
      <c r="C124" s="11">
        <v>10000</v>
      </c>
      <c r="D124" s="11"/>
      <c r="F124" s="54" t="s">
        <v>26</v>
      </c>
    </row>
    <row r="125" spans="1:6" hidden="1" x14ac:dyDescent="0.2">
      <c r="A125" s="45">
        <v>45880</v>
      </c>
      <c r="B125" t="s">
        <v>37</v>
      </c>
      <c r="C125" s="11">
        <v>580</v>
      </c>
      <c r="D125" s="11"/>
      <c r="E125" t="s">
        <v>50</v>
      </c>
      <c r="F125" s="54" t="s">
        <v>26</v>
      </c>
    </row>
    <row r="126" spans="1:6" hidden="1" x14ac:dyDescent="0.2">
      <c r="A126" s="44">
        <v>45880</v>
      </c>
      <c r="B126" t="s">
        <v>40</v>
      </c>
      <c r="C126" s="11">
        <v>50000</v>
      </c>
      <c r="D126" s="11"/>
      <c r="F126" s="54" t="s">
        <v>141</v>
      </c>
    </row>
    <row r="127" spans="1:6" hidden="1" x14ac:dyDescent="0.2">
      <c r="A127" s="45">
        <v>45880</v>
      </c>
      <c r="B127" t="s">
        <v>37</v>
      </c>
      <c r="C127" s="11">
        <v>200</v>
      </c>
      <c r="D127" s="11"/>
      <c r="E127" t="s">
        <v>199</v>
      </c>
      <c r="F127" s="54" t="s">
        <v>141</v>
      </c>
    </row>
    <row r="128" spans="1:6" hidden="1" x14ac:dyDescent="0.2">
      <c r="A128" s="44">
        <v>45880</v>
      </c>
      <c r="B128" t="s">
        <v>39</v>
      </c>
      <c r="C128" s="11">
        <v>2400</v>
      </c>
      <c r="D128" s="11"/>
      <c r="E128" t="s">
        <v>39</v>
      </c>
      <c r="F128" s="54" t="s">
        <v>26</v>
      </c>
    </row>
    <row r="129" spans="1:6" hidden="1" x14ac:dyDescent="0.2">
      <c r="A129" s="44">
        <v>45880</v>
      </c>
      <c r="B129" t="s">
        <v>35</v>
      </c>
      <c r="C129" s="11">
        <v>5316</v>
      </c>
      <c r="D129" s="11"/>
      <c r="E129" t="s">
        <v>142</v>
      </c>
      <c r="F129" s="54" t="s">
        <v>141</v>
      </c>
    </row>
    <row r="130" spans="1:6" hidden="1" x14ac:dyDescent="0.2">
      <c r="A130" s="45">
        <v>45881</v>
      </c>
      <c r="B130" t="s">
        <v>14</v>
      </c>
      <c r="C130" s="11"/>
      <c r="D130" s="11">
        <v>100000</v>
      </c>
      <c r="E130" t="s">
        <v>47</v>
      </c>
      <c r="F130" s="54" t="s">
        <v>141</v>
      </c>
    </row>
    <row r="131" spans="1:6" hidden="1" x14ac:dyDescent="0.2">
      <c r="A131" s="45">
        <v>45881</v>
      </c>
      <c r="B131" t="s">
        <v>31</v>
      </c>
      <c r="C131" s="11">
        <v>48600</v>
      </c>
      <c r="D131" s="11"/>
      <c r="E131" t="s">
        <v>207</v>
      </c>
      <c r="F131" s="54" t="s">
        <v>141</v>
      </c>
    </row>
    <row r="132" spans="1:6" hidden="1" x14ac:dyDescent="0.2">
      <c r="A132" s="44">
        <v>45881</v>
      </c>
      <c r="B132" t="s">
        <v>33</v>
      </c>
      <c r="C132" s="49">
        <v>32080</v>
      </c>
      <c r="D132" s="49"/>
      <c r="F132" s="54" t="s">
        <v>141</v>
      </c>
    </row>
    <row r="133" spans="1:6" hidden="1" x14ac:dyDescent="0.2">
      <c r="A133" s="44">
        <v>45881</v>
      </c>
      <c r="B133" t="s">
        <v>40</v>
      </c>
      <c r="C133" s="49">
        <v>7150</v>
      </c>
      <c r="D133" s="49"/>
      <c r="E133" t="s">
        <v>208</v>
      </c>
      <c r="F133" s="54" t="s">
        <v>141</v>
      </c>
    </row>
    <row r="134" spans="1:6" hidden="1" x14ac:dyDescent="0.2">
      <c r="A134" s="44">
        <v>45881</v>
      </c>
      <c r="B134" t="s">
        <v>206</v>
      </c>
      <c r="C134" s="49">
        <v>1500</v>
      </c>
      <c r="D134" s="49"/>
      <c r="E134" t="s">
        <v>209</v>
      </c>
      <c r="F134" s="54" t="s">
        <v>210</v>
      </c>
    </row>
    <row r="135" spans="1:6" hidden="1" x14ac:dyDescent="0.2">
      <c r="A135" s="45">
        <v>45881</v>
      </c>
      <c r="B135" t="s">
        <v>14</v>
      </c>
      <c r="C135" s="11"/>
      <c r="D135" s="11">
        <v>49650</v>
      </c>
      <c r="E135" t="s">
        <v>0</v>
      </c>
      <c r="F135" s="54" t="s">
        <v>26</v>
      </c>
    </row>
    <row r="136" spans="1:6" hidden="1" x14ac:dyDescent="0.2">
      <c r="A136" s="44">
        <v>45881</v>
      </c>
      <c r="B136" t="s">
        <v>37</v>
      </c>
      <c r="C136" s="49">
        <v>1000</v>
      </c>
      <c r="D136" s="49"/>
      <c r="E136" t="s">
        <v>211</v>
      </c>
      <c r="F136" s="54" t="s">
        <v>141</v>
      </c>
    </row>
    <row r="137" spans="1:6" hidden="1" x14ac:dyDescent="0.2">
      <c r="A137" s="45">
        <v>45881</v>
      </c>
      <c r="B137" t="s">
        <v>37</v>
      </c>
      <c r="C137" s="11">
        <v>2000</v>
      </c>
      <c r="D137" s="11"/>
      <c r="E137" t="s">
        <v>212</v>
      </c>
      <c r="F137" s="54" t="s">
        <v>210</v>
      </c>
    </row>
    <row r="138" spans="1:6" hidden="1" x14ac:dyDescent="0.2">
      <c r="A138" s="44">
        <v>45881</v>
      </c>
      <c r="B138" t="s">
        <v>14</v>
      </c>
      <c r="C138" s="49"/>
      <c r="D138" s="49">
        <v>25000</v>
      </c>
      <c r="E138" t="s">
        <v>213</v>
      </c>
      <c r="F138" s="54" t="s">
        <v>26</v>
      </c>
    </row>
    <row r="139" spans="1:6" hidden="1" x14ac:dyDescent="0.2">
      <c r="A139" s="44">
        <v>45881</v>
      </c>
      <c r="B139" t="s">
        <v>113</v>
      </c>
      <c r="C139" s="49">
        <v>5000</v>
      </c>
      <c r="D139" s="49"/>
      <c r="F139" s="54" t="s">
        <v>214</v>
      </c>
    </row>
    <row r="140" spans="1:6" hidden="1" x14ac:dyDescent="0.2">
      <c r="A140" s="45">
        <v>45881</v>
      </c>
      <c r="B140" t="s">
        <v>215</v>
      </c>
      <c r="C140" s="11"/>
      <c r="D140" s="11">
        <v>70000</v>
      </c>
      <c r="E140" t="s">
        <v>216</v>
      </c>
      <c r="F140" s="54" t="s">
        <v>214</v>
      </c>
    </row>
    <row r="141" spans="1:6" hidden="1" x14ac:dyDescent="0.2">
      <c r="A141" s="44">
        <v>45881</v>
      </c>
      <c r="B141" t="s">
        <v>40</v>
      </c>
      <c r="C141" s="49">
        <v>70000</v>
      </c>
      <c r="D141" s="49"/>
      <c r="E141" t="s">
        <v>217</v>
      </c>
      <c r="F141" s="54" t="s">
        <v>214</v>
      </c>
    </row>
    <row r="142" spans="1:6" hidden="1" x14ac:dyDescent="0.2">
      <c r="A142" s="44">
        <v>45881</v>
      </c>
      <c r="B142" t="s">
        <v>33</v>
      </c>
      <c r="C142" s="49">
        <v>30000</v>
      </c>
      <c r="D142" s="49"/>
      <c r="E142" t="s">
        <v>218</v>
      </c>
      <c r="F142" s="54" t="s">
        <v>214</v>
      </c>
    </row>
    <row r="143" spans="1:6" hidden="1" x14ac:dyDescent="0.2">
      <c r="A143" s="45">
        <v>45881</v>
      </c>
      <c r="B143" t="s">
        <v>15</v>
      </c>
      <c r="C143" s="11"/>
      <c r="D143" s="11">
        <v>200000</v>
      </c>
      <c r="E143" t="s">
        <v>0</v>
      </c>
      <c r="F143" s="54" t="s">
        <v>214</v>
      </c>
    </row>
    <row r="144" spans="1:6" hidden="1" x14ac:dyDescent="0.2">
      <c r="A144" s="45">
        <v>45881</v>
      </c>
      <c r="B144" t="s">
        <v>31</v>
      </c>
      <c r="C144" s="11">
        <v>202000</v>
      </c>
      <c r="D144" s="11"/>
      <c r="E144" t="s">
        <v>38</v>
      </c>
      <c r="F144" s="54" t="s">
        <v>26</v>
      </c>
    </row>
    <row r="145" spans="1:6" hidden="1" x14ac:dyDescent="0.2">
      <c r="A145" s="44">
        <v>45881</v>
      </c>
      <c r="B145" t="s">
        <v>39</v>
      </c>
      <c r="C145" s="49">
        <v>1830</v>
      </c>
      <c r="D145" s="49"/>
      <c r="F145" s="54" t="s">
        <v>26</v>
      </c>
    </row>
    <row r="146" spans="1:6" hidden="1" x14ac:dyDescent="0.2">
      <c r="A146" s="45">
        <v>45881</v>
      </c>
      <c r="B146" t="s">
        <v>35</v>
      </c>
      <c r="C146" s="11">
        <v>4600</v>
      </c>
      <c r="D146" s="11"/>
      <c r="E146" t="s">
        <v>42</v>
      </c>
      <c r="F146" s="54" t="s">
        <v>26</v>
      </c>
    </row>
    <row r="147" spans="1:6" hidden="1" x14ac:dyDescent="0.2">
      <c r="A147" s="44">
        <v>45882</v>
      </c>
      <c r="B147" t="s">
        <v>201</v>
      </c>
      <c r="C147" s="49"/>
      <c r="D147" s="49">
        <v>300000</v>
      </c>
      <c r="E147" t="s">
        <v>0</v>
      </c>
      <c r="F147" s="54" t="s">
        <v>26</v>
      </c>
    </row>
    <row r="148" spans="1:6" hidden="1" x14ac:dyDescent="0.2">
      <c r="A148" s="44">
        <v>45882</v>
      </c>
      <c r="B148" t="s">
        <v>229</v>
      </c>
      <c r="C148" s="49">
        <v>12000</v>
      </c>
      <c r="D148" s="49"/>
      <c r="E148" t="s">
        <v>220</v>
      </c>
      <c r="F148" s="54" t="s">
        <v>26</v>
      </c>
    </row>
    <row r="149" spans="1:6" hidden="1" x14ac:dyDescent="0.2">
      <c r="A149" s="44">
        <v>45882</v>
      </c>
      <c r="B149" t="s">
        <v>128</v>
      </c>
      <c r="C149" s="11">
        <v>500</v>
      </c>
      <c r="D149" s="11"/>
      <c r="E149" t="s">
        <v>138</v>
      </c>
      <c r="F149" s="54" t="s">
        <v>141</v>
      </c>
    </row>
    <row r="150" spans="1:6" hidden="1" x14ac:dyDescent="0.2">
      <c r="A150" s="44">
        <v>45882</v>
      </c>
      <c r="B150" t="s">
        <v>31</v>
      </c>
      <c r="C150" s="11">
        <v>27500</v>
      </c>
      <c r="D150" s="11"/>
      <c r="E150" t="s">
        <v>221</v>
      </c>
      <c r="F150" s="54" t="s">
        <v>26</v>
      </c>
    </row>
    <row r="151" spans="1:6" hidden="1" x14ac:dyDescent="0.2">
      <c r="A151" s="44">
        <v>45882</v>
      </c>
      <c r="B151" t="s">
        <v>40</v>
      </c>
      <c r="C151" s="11">
        <v>27000</v>
      </c>
      <c r="D151" s="11"/>
      <c r="E151" t="s">
        <v>228</v>
      </c>
      <c r="F151" s="54" t="s">
        <v>26</v>
      </c>
    </row>
    <row r="152" spans="1:6" hidden="1" x14ac:dyDescent="0.2">
      <c r="A152" s="44">
        <v>45882</v>
      </c>
      <c r="B152" t="s">
        <v>40</v>
      </c>
      <c r="C152" s="11">
        <v>8400</v>
      </c>
      <c r="D152" s="11"/>
      <c r="E152" t="s">
        <v>222</v>
      </c>
      <c r="F152" s="54" t="s">
        <v>26</v>
      </c>
    </row>
    <row r="153" spans="1:6" hidden="1" x14ac:dyDescent="0.2">
      <c r="A153" s="44">
        <v>45882</v>
      </c>
      <c r="B153" t="s">
        <v>34</v>
      </c>
      <c r="C153" s="11">
        <f>69300</f>
        <v>69300</v>
      </c>
      <c r="D153" s="11"/>
      <c r="E153" t="s">
        <v>32</v>
      </c>
      <c r="F153" s="54" t="s">
        <v>26</v>
      </c>
    </row>
    <row r="154" spans="1:6" hidden="1" x14ac:dyDescent="0.2">
      <c r="A154" s="45">
        <v>45882</v>
      </c>
      <c r="B154" t="s">
        <v>34</v>
      </c>
      <c r="C154" s="11">
        <v>600</v>
      </c>
      <c r="D154" s="11"/>
      <c r="E154" t="s">
        <v>32</v>
      </c>
      <c r="F154" s="54" t="s">
        <v>141</v>
      </c>
    </row>
    <row r="155" spans="1:6" hidden="1" x14ac:dyDescent="0.2">
      <c r="A155" s="44">
        <v>45882</v>
      </c>
      <c r="B155" t="s">
        <v>35</v>
      </c>
      <c r="C155" s="11">
        <v>2500</v>
      </c>
      <c r="D155" s="11"/>
      <c r="E155" t="s">
        <v>223</v>
      </c>
      <c r="F155" s="54" t="s">
        <v>141</v>
      </c>
    </row>
    <row r="156" spans="1:6" hidden="1" x14ac:dyDescent="0.2">
      <c r="A156" s="44">
        <v>45882</v>
      </c>
      <c r="B156" t="s">
        <v>14</v>
      </c>
      <c r="C156" s="11"/>
      <c r="D156" s="11">
        <v>114250</v>
      </c>
      <c r="E156" t="s">
        <v>29</v>
      </c>
      <c r="F156" s="54" t="s">
        <v>26</v>
      </c>
    </row>
    <row r="157" spans="1:6" hidden="1" x14ac:dyDescent="0.2">
      <c r="A157" s="44">
        <v>45882</v>
      </c>
      <c r="B157" t="s">
        <v>30</v>
      </c>
      <c r="C157" s="11">
        <v>114250</v>
      </c>
      <c r="D157" s="11"/>
      <c r="F157" s="54" t="s">
        <v>26</v>
      </c>
    </row>
    <row r="158" spans="1:6" hidden="1" x14ac:dyDescent="0.2">
      <c r="A158" s="44">
        <v>45882</v>
      </c>
      <c r="B158" t="s">
        <v>40</v>
      </c>
      <c r="C158" s="11">
        <v>2000</v>
      </c>
      <c r="D158" s="11"/>
      <c r="E158" t="s">
        <v>224</v>
      </c>
      <c r="F158" s="54" t="s">
        <v>141</v>
      </c>
    </row>
    <row r="159" spans="1:6" hidden="1" x14ac:dyDescent="0.2">
      <c r="A159" s="44">
        <v>45882</v>
      </c>
      <c r="B159" t="s">
        <v>37</v>
      </c>
      <c r="C159" s="11">
        <v>1300</v>
      </c>
      <c r="D159" s="11"/>
      <c r="E159" t="s">
        <v>225</v>
      </c>
      <c r="F159" s="54" t="s">
        <v>26</v>
      </c>
    </row>
    <row r="160" spans="1:6" hidden="1" x14ac:dyDescent="0.2">
      <c r="A160" s="44">
        <v>45882</v>
      </c>
      <c r="B160" t="s">
        <v>16</v>
      </c>
      <c r="C160" s="11"/>
      <c r="D160" s="11">
        <v>300000</v>
      </c>
      <c r="E160" t="s">
        <v>0</v>
      </c>
      <c r="F160" s="54" t="s">
        <v>26</v>
      </c>
    </row>
    <row r="161" spans="1:7" hidden="1" x14ac:dyDescent="0.2">
      <c r="A161" s="45">
        <v>45882</v>
      </c>
      <c r="B161" t="s">
        <v>35</v>
      </c>
      <c r="C161" s="11">
        <v>3000</v>
      </c>
      <c r="D161" s="11"/>
      <c r="E161" t="s">
        <v>162</v>
      </c>
      <c r="F161" s="54" t="s">
        <v>141</v>
      </c>
    </row>
    <row r="162" spans="1:7" hidden="1" x14ac:dyDescent="0.2">
      <c r="A162" s="45">
        <v>45882</v>
      </c>
      <c r="B162" t="s">
        <v>31</v>
      </c>
      <c r="C162" s="11">
        <v>200500</v>
      </c>
      <c r="D162" s="11"/>
      <c r="E162" t="s">
        <v>38</v>
      </c>
      <c r="F162" s="54" t="s">
        <v>26</v>
      </c>
    </row>
    <row r="163" spans="1:7" hidden="1" x14ac:dyDescent="0.2">
      <c r="A163" s="45">
        <v>45882</v>
      </c>
      <c r="B163" t="s">
        <v>215</v>
      </c>
      <c r="C163" s="11">
        <v>70000</v>
      </c>
      <c r="D163" s="11"/>
      <c r="E163" t="s">
        <v>226</v>
      </c>
      <c r="F163" s="54" t="s">
        <v>26</v>
      </c>
    </row>
    <row r="164" spans="1:7" hidden="1" x14ac:dyDescent="0.2">
      <c r="A164" s="44">
        <v>45882</v>
      </c>
      <c r="B164" t="s">
        <v>33</v>
      </c>
      <c r="C164" s="49">
        <v>7000</v>
      </c>
      <c r="D164" s="49"/>
      <c r="E164" t="s">
        <v>227</v>
      </c>
      <c r="F164" s="54" t="s">
        <v>26</v>
      </c>
    </row>
    <row r="165" spans="1:7" hidden="1" x14ac:dyDescent="0.2">
      <c r="A165" s="44">
        <v>45882</v>
      </c>
      <c r="B165" t="s">
        <v>33</v>
      </c>
      <c r="C165" s="49">
        <v>20000</v>
      </c>
      <c r="D165" s="49"/>
      <c r="E165" t="s">
        <v>41</v>
      </c>
      <c r="F165" s="54" t="s">
        <v>26</v>
      </c>
    </row>
    <row r="166" spans="1:7" hidden="1" x14ac:dyDescent="0.2">
      <c r="A166" s="44">
        <v>45882</v>
      </c>
      <c r="B166" t="s">
        <v>39</v>
      </c>
      <c r="C166" s="49">
        <v>1430</v>
      </c>
      <c r="D166" s="49"/>
      <c r="E166" t="s">
        <v>39</v>
      </c>
      <c r="F166" s="54" t="s">
        <v>26</v>
      </c>
    </row>
    <row r="167" spans="1:7" hidden="1" x14ac:dyDescent="0.2">
      <c r="A167" s="45">
        <v>45883</v>
      </c>
      <c r="B167" t="s">
        <v>39</v>
      </c>
      <c r="C167" s="11">
        <v>2400</v>
      </c>
      <c r="D167" s="11"/>
      <c r="E167" t="s">
        <v>39</v>
      </c>
      <c r="F167" s="54" t="s">
        <v>26</v>
      </c>
    </row>
    <row r="168" spans="1:7" hidden="1" x14ac:dyDescent="0.2">
      <c r="A168" s="44">
        <v>45883</v>
      </c>
      <c r="B168" t="s">
        <v>87</v>
      </c>
      <c r="C168" s="49">
        <v>70000</v>
      </c>
      <c r="D168" s="49"/>
      <c r="E168" t="s">
        <v>38</v>
      </c>
      <c r="F168" s="54" t="s">
        <v>26</v>
      </c>
    </row>
    <row r="169" spans="1:7" hidden="1" x14ac:dyDescent="0.2">
      <c r="A169" s="45">
        <v>45884</v>
      </c>
      <c r="B169" t="s">
        <v>141</v>
      </c>
      <c r="C169" s="11"/>
      <c r="D169" s="11"/>
      <c r="F169" s="54" t="s">
        <v>145</v>
      </c>
      <c r="G169">
        <v>17000</v>
      </c>
    </row>
    <row r="170" spans="1:7" hidden="1" x14ac:dyDescent="0.2">
      <c r="A170" s="45">
        <v>45884</v>
      </c>
      <c r="B170" t="s">
        <v>141</v>
      </c>
      <c r="C170" s="11"/>
      <c r="D170" s="11"/>
      <c r="F170" s="54" t="s">
        <v>145</v>
      </c>
      <c r="G170">
        <v>70000</v>
      </c>
    </row>
    <row r="171" spans="1:7" hidden="1" x14ac:dyDescent="0.2">
      <c r="A171" s="45">
        <v>45884</v>
      </c>
      <c r="B171" t="s">
        <v>35</v>
      </c>
      <c r="C171" s="11">
        <v>2500</v>
      </c>
      <c r="D171" s="11"/>
      <c r="E171" t="s">
        <v>153</v>
      </c>
      <c r="F171" s="54" t="s">
        <v>141</v>
      </c>
    </row>
    <row r="172" spans="1:7" hidden="1" x14ac:dyDescent="0.2">
      <c r="A172" s="45">
        <v>45884</v>
      </c>
      <c r="B172" t="s">
        <v>37</v>
      </c>
      <c r="C172" s="49">
        <v>900</v>
      </c>
      <c r="D172" s="49"/>
      <c r="E172" t="s">
        <v>231</v>
      </c>
      <c r="F172" s="54" t="s">
        <v>26</v>
      </c>
    </row>
    <row r="173" spans="1:7" x14ac:dyDescent="0.2">
      <c r="A173" s="45">
        <v>45884</v>
      </c>
      <c r="B173" t="s">
        <v>17</v>
      </c>
      <c r="C173" s="11"/>
      <c r="D173" s="11">
        <v>300000</v>
      </c>
      <c r="E173" t="s">
        <v>47</v>
      </c>
      <c r="F173" s="54" t="s">
        <v>26</v>
      </c>
    </row>
    <row r="174" spans="1:7" hidden="1" x14ac:dyDescent="0.2">
      <c r="A174" s="45">
        <v>45884</v>
      </c>
      <c r="B174" t="s">
        <v>219</v>
      </c>
      <c r="C174" s="11"/>
      <c r="D174" s="11">
        <v>100000</v>
      </c>
      <c r="E174" t="s">
        <v>0</v>
      </c>
      <c r="F174" s="54" t="s">
        <v>26</v>
      </c>
    </row>
    <row r="175" spans="1:7" hidden="1" x14ac:dyDescent="0.2">
      <c r="A175" s="45">
        <v>45884</v>
      </c>
      <c r="B175" t="s">
        <v>33</v>
      </c>
      <c r="C175" s="11">
        <v>100000</v>
      </c>
      <c r="D175" s="11"/>
      <c r="E175" t="s">
        <v>186</v>
      </c>
      <c r="F175" s="54" t="s">
        <v>26</v>
      </c>
    </row>
    <row r="176" spans="1:7" hidden="1" x14ac:dyDescent="0.2">
      <c r="A176" s="45">
        <v>45884</v>
      </c>
      <c r="B176" t="s">
        <v>31</v>
      </c>
      <c r="C176" s="11">
        <v>205000</v>
      </c>
      <c r="D176" s="11"/>
      <c r="E176" t="s">
        <v>38</v>
      </c>
      <c r="F176" s="54" t="s">
        <v>26</v>
      </c>
    </row>
    <row r="177" spans="1:6" hidden="1" x14ac:dyDescent="0.2">
      <c r="A177" s="45">
        <v>45884</v>
      </c>
      <c r="B177" t="s">
        <v>39</v>
      </c>
      <c r="C177" s="11">
        <v>1620</v>
      </c>
      <c r="D177" s="11"/>
      <c r="F177" s="54" t="s">
        <v>26</v>
      </c>
    </row>
    <row r="178" spans="1:6" hidden="1" x14ac:dyDescent="0.2">
      <c r="A178" s="45">
        <v>45884</v>
      </c>
      <c r="B178" t="s">
        <v>31</v>
      </c>
      <c r="C178" s="11">
        <v>56120</v>
      </c>
      <c r="D178" s="11"/>
      <c r="E178" t="s">
        <v>233</v>
      </c>
      <c r="F178" s="54" t="s">
        <v>141</v>
      </c>
    </row>
    <row r="179" spans="1:6" hidden="1" x14ac:dyDescent="0.2">
      <c r="A179" s="45">
        <v>45884</v>
      </c>
      <c r="B179" t="s">
        <v>31</v>
      </c>
      <c r="C179" s="11">
        <v>8000</v>
      </c>
      <c r="D179" s="11"/>
      <c r="E179" t="s">
        <v>232</v>
      </c>
      <c r="F179" s="54" t="s">
        <v>141</v>
      </c>
    </row>
    <row r="180" spans="1:6" hidden="1" x14ac:dyDescent="0.2">
      <c r="A180" s="45">
        <v>45884</v>
      </c>
      <c r="B180" t="s">
        <v>37</v>
      </c>
      <c r="C180" s="11">
        <v>1200</v>
      </c>
      <c r="D180" s="11"/>
      <c r="E180" t="s">
        <v>234</v>
      </c>
      <c r="F180" s="54" t="s">
        <v>141</v>
      </c>
    </row>
    <row r="181" spans="1:6" hidden="1" x14ac:dyDescent="0.2">
      <c r="A181" s="45">
        <v>45884</v>
      </c>
      <c r="B181" t="s">
        <v>229</v>
      </c>
      <c r="C181" s="11">
        <v>1000</v>
      </c>
      <c r="D181" s="11"/>
      <c r="E181" t="s">
        <v>235</v>
      </c>
      <c r="F181" s="54" t="s">
        <v>141</v>
      </c>
    </row>
    <row r="182" spans="1:6" hidden="1" x14ac:dyDescent="0.2">
      <c r="A182" s="94">
        <v>45884</v>
      </c>
      <c r="B182" s="19" t="s">
        <v>39</v>
      </c>
      <c r="C182" s="20">
        <v>13000</v>
      </c>
      <c r="D182" s="20"/>
      <c r="E182" s="19" t="s">
        <v>51</v>
      </c>
      <c r="F182" s="95" t="s">
        <v>26</v>
      </c>
    </row>
    <row r="183" spans="1:6" hidden="1" x14ac:dyDescent="0.2">
      <c r="A183" s="45">
        <v>45884</v>
      </c>
      <c r="B183" t="s">
        <v>33</v>
      </c>
      <c r="C183" s="11">
        <v>12000</v>
      </c>
      <c r="D183" s="11"/>
      <c r="E183" t="s">
        <v>236</v>
      </c>
      <c r="F183" s="54" t="s">
        <v>141</v>
      </c>
    </row>
    <row r="184" spans="1:6" hidden="1" x14ac:dyDescent="0.2">
      <c r="A184" s="45">
        <v>45884</v>
      </c>
      <c r="B184" t="s">
        <v>35</v>
      </c>
      <c r="C184" s="11">
        <v>6480</v>
      </c>
      <c r="D184" s="11"/>
      <c r="E184" t="s">
        <v>42</v>
      </c>
      <c r="F184" s="54" t="s">
        <v>26</v>
      </c>
    </row>
    <row r="185" spans="1:6" hidden="1" x14ac:dyDescent="0.2">
      <c r="A185" s="45">
        <v>45885</v>
      </c>
      <c r="B185" t="s">
        <v>39</v>
      </c>
      <c r="C185" s="11">
        <v>2915</v>
      </c>
      <c r="D185" s="11"/>
      <c r="F185" s="54" t="s">
        <v>26</v>
      </c>
    </row>
    <row r="186" spans="1:6" hidden="1" x14ac:dyDescent="0.2">
      <c r="A186" s="45">
        <v>45885</v>
      </c>
      <c r="B186" t="s">
        <v>35</v>
      </c>
      <c r="C186" s="11">
        <v>5310</v>
      </c>
      <c r="D186" s="11"/>
      <c r="F186" s="54" t="s">
        <v>26</v>
      </c>
    </row>
    <row r="187" spans="1:6" hidden="1" x14ac:dyDescent="0.2">
      <c r="A187" s="45">
        <v>45885</v>
      </c>
      <c r="B187" t="s">
        <v>241</v>
      </c>
      <c r="C187" s="11">
        <v>1000</v>
      </c>
      <c r="D187" s="11"/>
      <c r="F187" s="54" t="s">
        <v>26</v>
      </c>
    </row>
    <row r="188" spans="1:6" hidden="1" x14ac:dyDescent="0.2">
      <c r="A188" s="45">
        <v>45885</v>
      </c>
      <c r="B188" t="s">
        <v>206</v>
      </c>
      <c r="C188" s="11"/>
      <c r="D188" s="11">
        <v>1000</v>
      </c>
      <c r="E188" t="s">
        <v>254</v>
      </c>
      <c r="F188" s="54" t="s">
        <v>26</v>
      </c>
    </row>
    <row r="189" spans="1:6" hidden="1" x14ac:dyDescent="0.2">
      <c r="A189" s="45">
        <v>45885</v>
      </c>
      <c r="B189" t="s">
        <v>31</v>
      </c>
      <c r="C189" s="11">
        <v>39000</v>
      </c>
      <c r="D189" s="11"/>
      <c r="E189" t="s">
        <v>171</v>
      </c>
      <c r="F189" s="54" t="s">
        <v>26</v>
      </c>
    </row>
    <row r="190" spans="1:6" hidden="1" x14ac:dyDescent="0.2">
      <c r="A190" s="45">
        <v>45885</v>
      </c>
      <c r="B190" t="s">
        <v>34</v>
      </c>
      <c r="C190" s="11">
        <f>69300+650</f>
        <v>69950</v>
      </c>
      <c r="D190" s="11"/>
      <c r="E190" t="s">
        <v>32</v>
      </c>
      <c r="F190" s="54" t="s">
        <v>26</v>
      </c>
    </row>
    <row r="191" spans="1:6" hidden="1" x14ac:dyDescent="0.2">
      <c r="A191" s="45">
        <v>45885</v>
      </c>
      <c r="B191" t="s">
        <v>40</v>
      </c>
      <c r="C191" s="11">
        <v>80000</v>
      </c>
      <c r="D191" s="11"/>
      <c r="E191" t="s">
        <v>222</v>
      </c>
      <c r="F191" s="54" t="s">
        <v>26</v>
      </c>
    </row>
    <row r="192" spans="1:6" hidden="1" x14ac:dyDescent="0.2">
      <c r="A192" s="45">
        <v>45885</v>
      </c>
      <c r="B192" t="s">
        <v>14</v>
      </c>
      <c r="C192" s="11"/>
      <c r="D192" s="11">
        <v>80000</v>
      </c>
      <c r="E192" t="s">
        <v>222</v>
      </c>
      <c r="F192" s="54" t="s">
        <v>26</v>
      </c>
    </row>
    <row r="193" spans="1:6" hidden="1" x14ac:dyDescent="0.2">
      <c r="A193" s="45">
        <v>45885</v>
      </c>
      <c r="B193" t="s">
        <v>14</v>
      </c>
      <c r="C193" s="11"/>
      <c r="D193" s="11">
        <f>3920+124500</f>
        <v>128420</v>
      </c>
      <c r="E193" t="s">
        <v>29</v>
      </c>
      <c r="F193" s="54" t="s">
        <v>26</v>
      </c>
    </row>
    <row r="194" spans="1:6" hidden="1" x14ac:dyDescent="0.2">
      <c r="A194" s="45">
        <v>45885</v>
      </c>
      <c r="B194" t="s">
        <v>30</v>
      </c>
      <c r="C194" s="11">
        <v>124500</v>
      </c>
      <c r="D194" s="11"/>
      <c r="F194" s="54" t="s">
        <v>26</v>
      </c>
    </row>
    <row r="195" spans="1:6" hidden="1" x14ac:dyDescent="0.2">
      <c r="A195" s="45">
        <v>45885</v>
      </c>
      <c r="B195" t="s">
        <v>30</v>
      </c>
      <c r="C195" s="11">
        <v>3920</v>
      </c>
      <c r="D195" s="11"/>
      <c r="F195" s="54" t="s">
        <v>26</v>
      </c>
    </row>
    <row r="196" spans="1:6" hidden="1" x14ac:dyDescent="0.2">
      <c r="A196" s="45">
        <v>45885</v>
      </c>
      <c r="B196" t="s">
        <v>31</v>
      </c>
      <c r="C196" s="11">
        <v>201150</v>
      </c>
      <c r="D196" s="11"/>
      <c r="E196" t="s">
        <v>38</v>
      </c>
      <c r="F196" s="54" t="s">
        <v>26</v>
      </c>
    </row>
    <row r="197" spans="1:6" hidden="1" x14ac:dyDescent="0.2">
      <c r="A197" s="45">
        <v>45885</v>
      </c>
      <c r="B197" t="s">
        <v>14</v>
      </c>
      <c r="C197" s="11"/>
      <c r="D197" s="11">
        <v>200000</v>
      </c>
      <c r="F197" s="54" t="s">
        <v>26</v>
      </c>
    </row>
    <row r="198" spans="1:6" hidden="1" x14ac:dyDescent="0.2">
      <c r="A198" s="44">
        <v>45887</v>
      </c>
      <c r="B198" t="s">
        <v>128</v>
      </c>
      <c r="C198" s="49">
        <v>100000</v>
      </c>
      <c r="D198" s="49"/>
      <c r="E198" t="s">
        <v>129</v>
      </c>
      <c r="F198" s="54" t="s">
        <v>26</v>
      </c>
    </row>
    <row r="199" spans="1:6" hidden="1" x14ac:dyDescent="0.2">
      <c r="A199" s="44">
        <v>45893</v>
      </c>
      <c r="B199" t="s">
        <v>33</v>
      </c>
      <c r="C199" s="49">
        <v>50000</v>
      </c>
      <c r="D199" s="49"/>
      <c r="E199" t="s">
        <v>256</v>
      </c>
      <c r="F199" s="54" t="s">
        <v>26</v>
      </c>
    </row>
    <row r="200" spans="1:6" hidden="1" x14ac:dyDescent="0.2">
      <c r="A200" s="44">
        <v>45894</v>
      </c>
      <c r="B200" t="s">
        <v>33</v>
      </c>
      <c r="C200" s="49">
        <v>723340</v>
      </c>
      <c r="D200" s="49"/>
      <c r="E200" t="s">
        <v>33</v>
      </c>
      <c r="F200" s="54" t="s">
        <v>141</v>
      </c>
    </row>
    <row r="201" spans="1:6" hidden="1" x14ac:dyDescent="0.2">
      <c r="A201" s="44"/>
      <c r="C201" s="49"/>
      <c r="D201" s="49"/>
      <c r="F201" s="54"/>
    </row>
    <row r="202" spans="1:6" x14ac:dyDescent="0.2">
      <c r="A202" s="44"/>
      <c r="C202" s="14">
        <f>SUBTOTAL(109,Table14[Debit])</f>
        <v>0</v>
      </c>
      <c r="D202" s="14">
        <f>SUBTOTAL(109,Table14[Credit])</f>
        <v>300000</v>
      </c>
      <c r="F202" s="64">
        <f>(Table14[[#Totals],[Credit]]-Table14[[#Totals],[Debit]])</f>
        <v>300000</v>
      </c>
    </row>
  </sheetData>
  <pageMargins left="0.7" right="0.7" top="0.75" bottom="0.75" header="0.3" footer="0.3"/>
  <pageSetup paperSize="12"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8"/>
  <sheetViews>
    <sheetView topLeftCell="A4" zoomScale="133" zoomScaleNormal="210" workbookViewId="0">
      <selection activeCell="I18" sqref="I18"/>
    </sheetView>
  </sheetViews>
  <sheetFormatPr defaultRowHeight="15" x14ac:dyDescent="0.2"/>
  <cols>
    <col min="1" max="1" width="11.1640625" customWidth="1"/>
    <col min="2" max="2" width="15.6015625" customWidth="1"/>
    <col min="3" max="3" width="11.56640625" customWidth="1"/>
    <col min="5" max="5" width="12.375" bestFit="1" customWidth="1"/>
    <col min="6" max="6" width="11.296875" bestFit="1" customWidth="1"/>
    <col min="7" max="7" width="10.35546875" bestFit="1" customWidth="1"/>
    <col min="8" max="8" width="12.375" bestFit="1" customWidth="1"/>
    <col min="9" max="9" width="11.296875" bestFit="1" customWidth="1"/>
    <col min="10" max="10" width="14.390625" bestFit="1" customWidth="1"/>
    <col min="11" max="11" width="12.375" bestFit="1" customWidth="1"/>
    <col min="12" max="12" width="11.296875" bestFit="1" customWidth="1"/>
    <col min="13" max="13" width="13.71875" bestFit="1" customWidth="1"/>
  </cols>
  <sheetData>
    <row r="1" spans="1:14" x14ac:dyDescent="0.2">
      <c r="A1" s="2" t="s">
        <v>21</v>
      </c>
      <c r="B1" s="2" t="s">
        <v>95</v>
      </c>
      <c r="C1" s="2" t="s">
        <v>96</v>
      </c>
      <c r="D1" s="8" t="s">
        <v>3</v>
      </c>
      <c r="E1" s="8" t="s">
        <v>97</v>
      </c>
      <c r="F1" s="8" t="s">
        <v>22</v>
      </c>
      <c r="G1" s="8" t="s">
        <v>85</v>
      </c>
      <c r="H1" s="8" t="s">
        <v>11</v>
      </c>
      <c r="I1" s="8" t="s">
        <v>126</v>
      </c>
    </row>
    <row r="2" spans="1:14" x14ac:dyDescent="0.2">
      <c r="A2" s="1">
        <v>45862</v>
      </c>
      <c r="B2" t="s">
        <v>98</v>
      </c>
      <c r="C2">
        <v>2</v>
      </c>
      <c r="E2">
        <v>47000</v>
      </c>
      <c r="G2">
        <f>Table8[[#This Row],[Price]]</f>
        <v>47000</v>
      </c>
      <c r="H2">
        <f>Table8[[#This Row],[Price]]-Table8[[#This Row],[Paid]]</f>
        <v>0</v>
      </c>
      <c r="K2" t="s">
        <v>21</v>
      </c>
      <c r="L2" t="s">
        <v>55</v>
      </c>
      <c r="M2" t="s">
        <v>25</v>
      </c>
      <c r="N2" t="s">
        <v>4</v>
      </c>
    </row>
    <row r="3" spans="1:14" x14ac:dyDescent="0.2">
      <c r="A3" s="1">
        <v>45862</v>
      </c>
      <c r="B3" t="s">
        <v>99</v>
      </c>
      <c r="C3">
        <v>1</v>
      </c>
      <c r="E3">
        <v>28750</v>
      </c>
      <c r="G3">
        <f>Table8[[#This Row],[Price]]</f>
        <v>28750</v>
      </c>
      <c r="H3">
        <f>Table8[[#This Row],[Price]]-Table8[[#This Row],[Paid]]</f>
        <v>0</v>
      </c>
      <c r="K3" s="1">
        <v>45862</v>
      </c>
      <c r="L3" t="s">
        <v>29</v>
      </c>
      <c r="N3" s="11">
        <f t="shared" ref="N3" si="0">47000+28750</f>
        <v>75750</v>
      </c>
    </row>
    <row r="4" spans="1:14" x14ac:dyDescent="0.2">
      <c r="A4" s="1">
        <v>45870</v>
      </c>
      <c r="B4" s="1" t="s">
        <v>98</v>
      </c>
      <c r="C4">
        <v>4</v>
      </c>
      <c r="D4">
        <v>940</v>
      </c>
      <c r="E4">
        <f>Table8[[#This Row],[Boxes]]*25*Table8[[#This Row],[Rate]]</f>
        <v>94000</v>
      </c>
      <c r="F4" t="s">
        <v>100</v>
      </c>
      <c r="G4">
        <v>0</v>
      </c>
      <c r="H4">
        <f>Table8[[#This Row],[Price]]-Table8[[#This Row],[Paid]]</f>
        <v>94000</v>
      </c>
      <c r="K4" s="1"/>
      <c r="N4" s="11"/>
    </row>
    <row r="5" spans="1:14" x14ac:dyDescent="0.2">
      <c r="A5" s="1">
        <v>45870</v>
      </c>
      <c r="B5" s="1" t="s">
        <v>99</v>
      </c>
      <c r="C5">
        <v>2</v>
      </c>
      <c r="D5">
        <v>1140</v>
      </c>
      <c r="E5">
        <f>Table8[[#This Row],[Boxes]]*25*Table8[[#This Row],[Rate]]</f>
        <v>57000</v>
      </c>
      <c r="F5" t="s">
        <v>100</v>
      </c>
      <c r="G5">
        <v>0</v>
      </c>
      <c r="H5">
        <f>Table8[[#This Row],[Price]]-Table8[[#This Row],[Paid]]</f>
        <v>57000</v>
      </c>
      <c r="K5" s="1"/>
      <c r="N5" s="14">
        <f>SUM(Table7[Total])</f>
        <v>75750</v>
      </c>
    </row>
    <row r="6" spans="1:14" x14ac:dyDescent="0.2">
      <c r="A6" s="1">
        <v>45870</v>
      </c>
      <c r="B6" s="1" t="s">
        <v>101</v>
      </c>
      <c r="C6">
        <v>2</v>
      </c>
      <c r="D6">
        <v>1300</v>
      </c>
      <c r="E6">
        <f>Table8[[#This Row],[Boxes]]*25*Table8[[#This Row],[Rate]]</f>
        <v>65000</v>
      </c>
      <c r="F6" t="s">
        <v>100</v>
      </c>
      <c r="G6">
        <v>0</v>
      </c>
      <c r="H6">
        <f>Table8[[#This Row],[Price]]-Table8[[#This Row],[Paid]]</f>
        <v>65000</v>
      </c>
    </row>
    <row r="7" spans="1:14" x14ac:dyDescent="0.2">
      <c r="A7" s="1">
        <v>45870</v>
      </c>
      <c r="B7" s="1" t="s">
        <v>102</v>
      </c>
      <c r="C7">
        <v>2</v>
      </c>
      <c r="D7">
        <v>1140</v>
      </c>
      <c r="E7">
        <f>Table8[[#This Row],[Boxes]]*25*Table8[[#This Row],[Rate]]</f>
        <v>57000</v>
      </c>
      <c r="F7" t="s">
        <v>100</v>
      </c>
      <c r="G7">
        <v>0</v>
      </c>
      <c r="H7">
        <f>Table8[[#This Row],[Price]]-Table8[[#This Row],[Paid]]</f>
        <v>57000</v>
      </c>
      <c r="K7" s="3" t="s">
        <v>22</v>
      </c>
      <c r="L7" t="s">
        <v>73</v>
      </c>
    </row>
    <row r="8" spans="1:14" x14ac:dyDescent="0.2">
      <c r="A8" s="1">
        <v>45870</v>
      </c>
      <c r="B8" s="1" t="s">
        <v>103</v>
      </c>
      <c r="C8">
        <v>2</v>
      </c>
      <c r="D8">
        <v>1140</v>
      </c>
      <c r="E8">
        <f>Table8[[#This Row],[Boxes]]*25*Table8[[#This Row],[Rate]]</f>
        <v>57000</v>
      </c>
      <c r="F8" t="s">
        <v>100</v>
      </c>
      <c r="G8">
        <v>0</v>
      </c>
      <c r="H8">
        <f>Table8[[#This Row],[Price]]-Table8[[#This Row],[Paid]]</f>
        <v>57000</v>
      </c>
    </row>
    <row r="9" spans="1:14" x14ac:dyDescent="0.2">
      <c r="A9" s="1">
        <v>45870</v>
      </c>
      <c r="B9" s="1" t="s">
        <v>104</v>
      </c>
      <c r="C9">
        <v>1</v>
      </c>
      <c r="D9">
        <v>1650</v>
      </c>
      <c r="E9">
        <f>Table8[[#This Row],[Boxes]]*25*Table8[[#This Row],[Rate]]</f>
        <v>41250</v>
      </c>
      <c r="F9" t="s">
        <v>100</v>
      </c>
      <c r="G9">
        <v>0</v>
      </c>
      <c r="H9">
        <f>Table8[[#This Row],[Price]]-Table8[[#This Row],[Paid]]</f>
        <v>41250</v>
      </c>
      <c r="K9" s="3" t="s">
        <v>5</v>
      </c>
      <c r="L9" t="s">
        <v>105</v>
      </c>
      <c r="M9" t="s">
        <v>106</v>
      </c>
    </row>
    <row r="10" spans="1:14" x14ac:dyDescent="0.2">
      <c r="A10" s="1">
        <v>45870</v>
      </c>
      <c r="B10" t="s">
        <v>107</v>
      </c>
      <c r="C10">
        <v>1</v>
      </c>
      <c r="D10">
        <v>1450</v>
      </c>
      <c r="E10">
        <f>Table8[[#This Row],[Boxes]]*25*Table8[[#This Row],[Rate]]</f>
        <v>36250</v>
      </c>
      <c r="F10" t="s">
        <v>100</v>
      </c>
      <c r="G10">
        <v>0</v>
      </c>
      <c r="H10">
        <f>Table8[[#This Row],[Price]]-Table8[[#This Row],[Paid]]</f>
        <v>36250</v>
      </c>
      <c r="K10" s="27">
        <v>45862</v>
      </c>
      <c r="L10">
        <v>75750</v>
      </c>
      <c r="M10">
        <v>0</v>
      </c>
    </row>
    <row r="11" spans="1:14" x14ac:dyDescent="0.2">
      <c r="A11" s="1">
        <v>45870</v>
      </c>
      <c r="B11" t="s">
        <v>108</v>
      </c>
      <c r="C11">
        <v>1</v>
      </c>
      <c r="D11">
        <v>1450</v>
      </c>
      <c r="E11">
        <f>Table8[[#This Row],[Boxes]]*25*Table8[[#This Row],[Rate]]</f>
        <v>36250</v>
      </c>
      <c r="F11" t="s">
        <v>100</v>
      </c>
      <c r="G11">
        <v>0</v>
      </c>
      <c r="H11">
        <f>Table8[[#This Row],[Price]]-Table8[[#This Row],[Paid]]</f>
        <v>36250</v>
      </c>
      <c r="K11" s="27">
        <v>45870</v>
      </c>
      <c r="L11">
        <v>567500</v>
      </c>
      <c r="M11">
        <v>567500</v>
      </c>
    </row>
    <row r="12" spans="1:14" x14ac:dyDescent="0.2">
      <c r="A12" s="1">
        <v>45870</v>
      </c>
      <c r="B12" t="s">
        <v>109</v>
      </c>
      <c r="C12">
        <v>1</v>
      </c>
      <c r="D12">
        <v>3100</v>
      </c>
      <c r="E12">
        <f>Table8[[#This Row],[Boxes]]*25*Table8[[#This Row],[Rate]]</f>
        <v>77500</v>
      </c>
      <c r="F12" t="s">
        <v>100</v>
      </c>
      <c r="G12">
        <v>0</v>
      </c>
      <c r="H12">
        <f>Table8[[#This Row],[Price]]-Table8[[#This Row],[Paid]]</f>
        <v>77500</v>
      </c>
      <c r="K12" s="27">
        <v>45874</v>
      </c>
      <c r="L12">
        <v>67300</v>
      </c>
      <c r="M12">
        <v>0</v>
      </c>
    </row>
    <row r="13" spans="1:14" x14ac:dyDescent="0.2">
      <c r="A13" s="1">
        <v>45870</v>
      </c>
      <c r="B13" t="s">
        <v>110</v>
      </c>
      <c r="C13">
        <v>1</v>
      </c>
      <c r="D13">
        <v>1850</v>
      </c>
      <c r="E13">
        <f>Table8[[#This Row],[Boxes]]*25*Table8[[#This Row],[Rate]]</f>
        <v>46250</v>
      </c>
      <c r="F13" t="s">
        <v>100</v>
      </c>
      <c r="G13">
        <v>0</v>
      </c>
      <c r="H13">
        <f>Table8[[#This Row],[Price]]-Table8[[#This Row],[Paid]]</f>
        <v>46250</v>
      </c>
      <c r="K13" s="27">
        <v>45880</v>
      </c>
      <c r="L13">
        <v>28750</v>
      </c>
      <c r="M13">
        <v>0</v>
      </c>
    </row>
    <row r="14" spans="1:14" x14ac:dyDescent="0.2">
      <c r="A14" s="1">
        <v>45874</v>
      </c>
      <c r="B14" t="s">
        <v>30</v>
      </c>
      <c r="C14">
        <v>1</v>
      </c>
      <c r="E14">
        <f>Cashbook!C48</f>
        <v>67300</v>
      </c>
      <c r="G14">
        <f>67300</f>
        <v>67300</v>
      </c>
      <c r="H14">
        <f>Table8[[#This Row],[Price]]-Table8[[#This Row],[Paid]]</f>
        <v>0</v>
      </c>
      <c r="I14" t="s">
        <v>127</v>
      </c>
      <c r="K14" s="27">
        <v>45882</v>
      </c>
      <c r="L14">
        <v>114250</v>
      </c>
      <c r="M14">
        <v>0</v>
      </c>
    </row>
    <row r="15" spans="1:14" x14ac:dyDescent="0.2">
      <c r="A15" s="1">
        <v>45880</v>
      </c>
      <c r="B15" t="s">
        <v>196</v>
      </c>
      <c r="C15">
        <v>1</v>
      </c>
      <c r="E15">
        <v>28750</v>
      </c>
      <c r="G15">
        <v>28750</v>
      </c>
      <c r="H15">
        <f>Table8[[#This Row],[Price]]-Table8[[#This Row],[Paid]]</f>
        <v>0</v>
      </c>
      <c r="K15" s="27">
        <v>45793</v>
      </c>
      <c r="L15">
        <v>114250</v>
      </c>
      <c r="M15">
        <v>0</v>
      </c>
    </row>
    <row r="16" spans="1:14" x14ac:dyDescent="0.2">
      <c r="A16" s="1">
        <v>45882</v>
      </c>
      <c r="B16" t="s">
        <v>30</v>
      </c>
      <c r="E16">
        <v>114250</v>
      </c>
      <c r="G16">
        <v>114250</v>
      </c>
      <c r="H16">
        <f>Table8[[#This Row],[Price]]-Table8[[#This Row],[Paid]]</f>
        <v>0</v>
      </c>
      <c r="I16" t="s">
        <v>230</v>
      </c>
      <c r="K16" s="4" t="s">
        <v>18</v>
      </c>
      <c r="L16">
        <v>967800</v>
      </c>
      <c r="M16">
        <v>567500</v>
      </c>
    </row>
    <row r="17" spans="1:9" x14ac:dyDescent="0.2">
      <c r="A17" s="1">
        <v>45793</v>
      </c>
      <c r="B17" t="s">
        <v>30</v>
      </c>
      <c r="E17">
        <v>114250</v>
      </c>
      <c r="G17">
        <v>114250</v>
      </c>
      <c r="H17">
        <f>Table8[[#This Row],[Price]]-Table8[[#This Row],[Paid]]</f>
        <v>0</v>
      </c>
      <c r="I17" t="s">
        <v>230</v>
      </c>
    </row>
    <row r="18" spans="1:9" x14ac:dyDescent="0.2">
      <c r="E18">
        <f>SUBTOTAL(109,Table8[Price])</f>
        <v>967800</v>
      </c>
    </row>
  </sheetData>
  <pageMargins left="0.7" right="0.7" top="0.75" bottom="0.75" header="0.3" footer="0.3"/>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23"/>
  <sheetViews>
    <sheetView workbookViewId="0">
      <selection activeCell="J20" sqref="J20"/>
    </sheetView>
  </sheetViews>
  <sheetFormatPr defaultRowHeight="15" x14ac:dyDescent="0.2"/>
  <cols>
    <col min="1" max="1" width="13.85546875" customWidth="1"/>
    <col min="2" max="2" width="14.125" customWidth="1"/>
    <col min="4" max="4" width="10.625" bestFit="1" customWidth="1"/>
    <col min="7" max="8" width="12.375" bestFit="1" customWidth="1"/>
    <col min="9" max="9" width="11.296875" bestFit="1" customWidth="1"/>
    <col min="10" max="10" width="12.64453125" bestFit="1" customWidth="1"/>
    <col min="11" max="11" width="11.296875" bestFit="1" customWidth="1"/>
    <col min="12" max="12" width="10.625" bestFit="1" customWidth="1"/>
    <col min="13" max="13" width="13.71875" bestFit="1" customWidth="1"/>
  </cols>
  <sheetData>
    <row r="4" spans="1:13" x14ac:dyDescent="0.2">
      <c r="A4" s="2" t="s">
        <v>21</v>
      </c>
      <c r="B4" s="8" t="s">
        <v>1</v>
      </c>
      <c r="C4" s="2" t="s">
        <v>173</v>
      </c>
      <c r="D4" s="2" t="s">
        <v>96</v>
      </c>
      <c r="E4" s="8" t="s">
        <v>111</v>
      </c>
      <c r="F4" s="8" t="s">
        <v>97</v>
      </c>
      <c r="G4" s="8" t="s">
        <v>85</v>
      </c>
      <c r="H4" s="8" t="s">
        <v>11</v>
      </c>
      <c r="J4" s="3" t="s">
        <v>5</v>
      </c>
      <c r="K4" t="s">
        <v>105</v>
      </c>
      <c r="L4" t="s">
        <v>92</v>
      </c>
      <c r="M4" t="s">
        <v>106</v>
      </c>
    </row>
    <row r="5" spans="1:13" x14ac:dyDescent="0.2">
      <c r="A5" s="1">
        <v>45862</v>
      </c>
      <c r="B5" t="s">
        <v>80</v>
      </c>
      <c r="C5" t="s">
        <v>112</v>
      </c>
      <c r="D5">
        <v>6</v>
      </c>
      <c r="E5">
        <v>0</v>
      </c>
      <c r="F5">
        <v>21900</v>
      </c>
      <c r="G5">
        <f>Table2[[#This Row],[Price]]</f>
        <v>21900</v>
      </c>
      <c r="H5">
        <f>Table2[[#This Row],[Price]]-Table2[[#This Row],[Paid]]</f>
        <v>0</v>
      </c>
      <c r="J5" s="4" t="s">
        <v>94</v>
      </c>
      <c r="M5">
        <v>0</v>
      </c>
    </row>
    <row r="6" spans="1:13" x14ac:dyDescent="0.2">
      <c r="A6" s="1">
        <v>45863</v>
      </c>
      <c r="B6" t="s">
        <v>80</v>
      </c>
      <c r="C6" t="s">
        <v>112</v>
      </c>
      <c r="D6">
        <v>14</v>
      </c>
      <c r="E6">
        <v>0</v>
      </c>
      <c r="F6">
        <v>48300</v>
      </c>
      <c r="G6">
        <f>SUMIFS(Table14[Debit], Table14[Date], Table2[[#This Row],[Date]], Table14[Description], Table2[[#This Row],[Item]])</f>
        <v>48300</v>
      </c>
      <c r="H6">
        <f>Table2[[#This Row],[Price]]-Table2[[#This Row],[Paid]]</f>
        <v>0</v>
      </c>
      <c r="J6" s="4" t="s">
        <v>113</v>
      </c>
      <c r="K6">
        <v>225000</v>
      </c>
      <c r="L6">
        <v>130000</v>
      </c>
      <c r="M6">
        <v>95000</v>
      </c>
    </row>
    <row r="7" spans="1:13" x14ac:dyDescent="0.2">
      <c r="A7" s="1">
        <v>45866</v>
      </c>
      <c r="B7" t="s">
        <v>80</v>
      </c>
      <c r="C7" s="1" t="s">
        <v>112</v>
      </c>
      <c r="D7">
        <v>14</v>
      </c>
      <c r="E7">
        <v>0</v>
      </c>
      <c r="F7">
        <v>48800</v>
      </c>
      <c r="G7">
        <f>SUMIFS(Table14[Debit], Table14[Date], Table2[[#This Row],[Date]], Table14[Description], Table2[[#This Row],[Item]])</f>
        <v>48800</v>
      </c>
      <c r="H7">
        <f>Table2[[#This Row],[Price]]-Table2[[#This Row],[Paid]]</f>
        <v>0</v>
      </c>
      <c r="J7" s="4" t="s">
        <v>80</v>
      </c>
      <c r="K7">
        <v>454150</v>
      </c>
      <c r="L7">
        <v>454150</v>
      </c>
      <c r="M7">
        <v>0</v>
      </c>
    </row>
    <row r="8" spans="1:13" x14ac:dyDescent="0.2">
      <c r="A8" s="1">
        <v>45866</v>
      </c>
      <c r="B8" t="s">
        <v>113</v>
      </c>
      <c r="C8" t="s">
        <v>114</v>
      </c>
      <c r="D8">
        <v>3</v>
      </c>
      <c r="E8">
        <v>125</v>
      </c>
      <c r="F8">
        <f>125*3*200</f>
        <v>75000</v>
      </c>
      <c r="G8">
        <f>SUMIFS(Table14[Debit], Table14[Date], Table2[[#This Row],[Date]], Table14[Description], Table2[[#This Row],[Item]])</f>
        <v>0</v>
      </c>
      <c r="H8">
        <f>Table2[[#This Row],[Price]]-Table2[[#This Row],[Paid]]</f>
        <v>75000</v>
      </c>
      <c r="J8" s="4" t="s">
        <v>18</v>
      </c>
      <c r="K8">
        <v>679150</v>
      </c>
      <c r="L8">
        <v>584150</v>
      </c>
      <c r="M8">
        <v>95000</v>
      </c>
    </row>
    <row r="9" spans="1:13" x14ac:dyDescent="0.2">
      <c r="A9" s="1">
        <v>45871</v>
      </c>
      <c r="B9" t="s">
        <v>80</v>
      </c>
      <c r="C9" t="s">
        <v>112</v>
      </c>
      <c r="D9">
        <v>14</v>
      </c>
      <c r="F9">
        <v>48300</v>
      </c>
      <c r="G9">
        <f>SUMIFS(Table14[Debit], Table14[Date], Table2[[#This Row],[Date]], Table14[Description], Table2[[#This Row],[Item]])</f>
        <v>48300</v>
      </c>
      <c r="H9">
        <f>Table2[[#This Row],[Price]]-Table2[[#This Row],[Paid]]</f>
        <v>0</v>
      </c>
    </row>
    <row r="10" spans="1:13" x14ac:dyDescent="0.2">
      <c r="A10" s="1">
        <v>45873</v>
      </c>
      <c r="B10" t="s">
        <v>80</v>
      </c>
      <c r="C10" t="s">
        <v>112</v>
      </c>
      <c r="D10">
        <v>10</v>
      </c>
      <c r="F10">
        <v>69200</v>
      </c>
      <c r="G10">
        <f>SUMIFS(Table14[Debit], Table14[Date], Table2[[#This Row],[Date]], Table14[Description], Table2[[#This Row],[Item]])</f>
        <v>69200</v>
      </c>
      <c r="H10">
        <f>Table2[[#This Row],[Price]]-Table2[[#This Row],[Paid]]</f>
        <v>0</v>
      </c>
    </row>
    <row r="11" spans="1:13" x14ac:dyDescent="0.2">
      <c r="A11" s="1">
        <v>45874</v>
      </c>
      <c r="B11" t="s">
        <v>113</v>
      </c>
      <c r="C11" t="s">
        <v>114</v>
      </c>
      <c r="D11">
        <v>1</v>
      </c>
      <c r="E11">
        <v>125</v>
      </c>
      <c r="F11">
        <f>Table2[[#This Row],[Quantity]]*Table2[[#This Row],[Boxes]]*200</f>
        <v>25000</v>
      </c>
      <c r="G11">
        <f>SUMIFS(Table14[Debit], Table14[Date], Table2[[#This Row],[Date]], Table14[Description], Table2[[#This Row],[Item]])</f>
        <v>0</v>
      </c>
      <c r="H11">
        <f>Table2[[#This Row],[Price]]-Table2[[#This Row],[Paid]]</f>
        <v>25000</v>
      </c>
    </row>
    <row r="12" spans="1:13" x14ac:dyDescent="0.2">
      <c r="A12" s="1">
        <v>45876</v>
      </c>
      <c r="B12" t="s">
        <v>113</v>
      </c>
      <c r="C12" t="s">
        <v>114</v>
      </c>
      <c r="D12">
        <v>2</v>
      </c>
      <c r="E12">
        <v>125</v>
      </c>
      <c r="F12">
        <f>Table2[[#This Row],[Boxes]]*Table2[[#This Row],[Quantity]]*200</f>
        <v>50000</v>
      </c>
      <c r="G12">
        <f>SUMIFS(Table14[Debit], Table14[Date], Table2[[#This Row],[Date]], Table14[Description], "Faysal Akraam")</f>
        <v>0</v>
      </c>
      <c r="H12">
        <f>Table2[[#This Row],[Price]]-Table2[[#This Row],[Paid]]</f>
        <v>50000</v>
      </c>
    </row>
    <row r="13" spans="1:13" x14ac:dyDescent="0.2">
      <c r="A13" s="1">
        <v>45878</v>
      </c>
      <c r="B13" t="s">
        <v>113</v>
      </c>
      <c r="C13" t="s">
        <v>114</v>
      </c>
      <c r="D13">
        <v>1</v>
      </c>
      <c r="E13">
        <v>125</v>
      </c>
      <c r="F13">
        <f>Table2[[#This Row],[Quantity]]*Table2[[#This Row],[Boxes]]*200</f>
        <v>25000</v>
      </c>
      <c r="G13">
        <f>SUMIFS(Table14[Debit], Table14[Date], Table2[[#This Row],[Date]], Table14[Party], "Faysal Akraam")</f>
        <v>125000</v>
      </c>
      <c r="H13">
        <f>Table2[[#This Row],[Price]]-Table2[[#This Row],[Paid]]</f>
        <v>-100000</v>
      </c>
    </row>
    <row r="14" spans="1:13" x14ac:dyDescent="0.2">
      <c r="A14" s="1">
        <v>45878</v>
      </c>
      <c r="B14" s="1" t="s">
        <v>80</v>
      </c>
      <c r="C14" t="s">
        <v>112</v>
      </c>
      <c r="D14">
        <v>10</v>
      </c>
      <c r="F14">
        <v>69800</v>
      </c>
      <c r="G14">
        <f>SUMIFS(Table14[Debit], Table14[Date], Table2[[#This Row],[Date]], Table14[Description], Table2[[#This Row],[Item]])</f>
        <v>69800</v>
      </c>
      <c r="H14">
        <f>Table2[[#This Row],[Price]]-Table2[[#This Row],[Paid]]</f>
        <v>0</v>
      </c>
    </row>
    <row r="15" spans="1:13" x14ac:dyDescent="0.2">
      <c r="A15" s="1">
        <v>45880</v>
      </c>
      <c r="B15" s="1" t="s">
        <v>80</v>
      </c>
      <c r="C15" t="s">
        <v>197</v>
      </c>
      <c r="D15">
        <v>1</v>
      </c>
      <c r="F15">
        <v>8000</v>
      </c>
      <c r="G15">
        <f>SUMIFS(Table14[Debit], Table14[Date], Table2[[#This Row],[Date]],Table14[Description],Table2[[#This Row],[Item]])</f>
        <v>8000</v>
      </c>
      <c r="H15">
        <f>Table2[[#This Row],[Price]]-Table2[[#This Row],[Paid]]</f>
        <v>0</v>
      </c>
    </row>
    <row r="16" spans="1:13" x14ac:dyDescent="0.2">
      <c r="A16" s="1">
        <v>45881</v>
      </c>
      <c r="B16" s="1" t="s">
        <v>113</v>
      </c>
      <c r="C16" t="s">
        <v>114</v>
      </c>
      <c r="D16">
        <v>2</v>
      </c>
      <c r="E16">
        <v>125</v>
      </c>
      <c r="F16">
        <f>Table2[[#This Row],[Quantity]]*Table2[[#This Row],[Boxes]]*200</f>
        <v>50000</v>
      </c>
      <c r="G16">
        <f>SUMIFS(Table14[Debit], Table14[Date], Table2[[#This Row],[Date]], Table14[Party], "Faysal Akraam")</f>
        <v>5000</v>
      </c>
      <c r="H16">
        <f>Table2[[#This Row],[Price]]-Table2[[#This Row],[Paid]]</f>
        <v>45000</v>
      </c>
    </row>
    <row r="17" spans="1:8" x14ac:dyDescent="0.2">
      <c r="A17" s="1">
        <v>45882</v>
      </c>
      <c r="B17" s="1" t="s">
        <v>80</v>
      </c>
      <c r="C17" t="s">
        <v>112</v>
      </c>
      <c r="D17">
        <v>10</v>
      </c>
      <c r="F17">
        <v>69900</v>
      </c>
      <c r="G17">
        <f>SUMIFS(Table14[Debit], Table14[Date], Table2[[#This Row],[Date]], Table14[Description], Table2[[#This Row],[Item]])</f>
        <v>69900</v>
      </c>
      <c r="H17">
        <f>Table2[[#This Row],[Price]]-Table2[[#This Row],[Paid]]</f>
        <v>0</v>
      </c>
    </row>
    <row r="18" spans="1:8" x14ac:dyDescent="0.2">
      <c r="A18" s="1">
        <v>45885</v>
      </c>
      <c r="B18" s="1" t="s">
        <v>80</v>
      </c>
      <c r="C18" t="s">
        <v>112</v>
      </c>
      <c r="D18">
        <v>10</v>
      </c>
      <c r="F18">
        <v>69950</v>
      </c>
      <c r="G18">
        <f>SUMIFS(Table14[Debit], Table14[Date], Table2[[#This Row],[Date]], Table14[Description], Table2[[#This Row],[Item]])</f>
        <v>69950</v>
      </c>
      <c r="H18">
        <f>Table2[[#This Row],[Price]]-Table2[[#This Row],[Paid]]</f>
        <v>0</v>
      </c>
    </row>
    <row r="19" spans="1:8" x14ac:dyDescent="0.2">
      <c r="A19" s="1"/>
      <c r="B19" s="1"/>
      <c r="H19">
        <f>Table2[[#This Row],[Price]]-Table2[[#This Row],[Paid]]</f>
        <v>0</v>
      </c>
    </row>
    <row r="20" spans="1:8" x14ac:dyDescent="0.2">
      <c r="A20" s="1"/>
      <c r="B20" s="1"/>
      <c r="H20">
        <f>Table2[[#This Row],[Price]]-Table2[[#This Row],[Paid]]</f>
        <v>0</v>
      </c>
    </row>
    <row r="21" spans="1:8" x14ac:dyDescent="0.2">
      <c r="A21" s="1"/>
      <c r="B21" s="1"/>
      <c r="H21">
        <f>Table2[[#This Row],[Price]]-Table2[[#This Row],[Paid]]</f>
        <v>0</v>
      </c>
    </row>
    <row r="22" spans="1:8" x14ac:dyDescent="0.2">
      <c r="A22" s="1"/>
      <c r="B22" s="1"/>
      <c r="H22">
        <f>Table2[[#This Row],[Price]]-Table2[[#This Row],[Paid]]</f>
        <v>0</v>
      </c>
    </row>
    <row r="23" spans="1:8" x14ac:dyDescent="0.2">
      <c r="A23" s="1"/>
      <c r="F23">
        <f>SUBTOTAL(109,Table2[Price])</f>
        <v>679150</v>
      </c>
      <c r="G23">
        <f>SUBTOTAL(109,Table2[Paid])</f>
        <v>584150</v>
      </c>
      <c r="H23">
        <f>SUBTOTAL(109,Table2[Balance])</f>
        <v>95000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5" x14ac:dyDescent="0.2"/>
  <cols>
    <col min="3" max="3" width="12.375" customWidth="1"/>
    <col min="5" max="5" width="11.43359375" bestFit="1" customWidth="1"/>
  </cols>
  <sheetData>
    <row r="2" spans="2:5" x14ac:dyDescent="0.2">
      <c r="B2" t="s">
        <v>21</v>
      </c>
      <c r="C2" t="s">
        <v>115</v>
      </c>
      <c r="D2" t="s">
        <v>116</v>
      </c>
      <c r="E2" t="s">
        <v>4</v>
      </c>
    </row>
    <row r="3" spans="2:5" x14ac:dyDescent="0.2">
      <c r="B3" s="19" t="s">
        <v>117</v>
      </c>
      <c r="C3" s="19" t="s">
        <v>80</v>
      </c>
      <c r="D3" s="19" t="s">
        <v>80</v>
      </c>
      <c r="E3" s="20">
        <v>827438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D3" sqref="D3"/>
    </sheetView>
  </sheetViews>
  <sheetFormatPr defaultRowHeight="15" x14ac:dyDescent="0.2"/>
  <cols>
    <col min="2" max="2" width="16.27734375" customWidth="1"/>
    <col min="3" max="3" width="12.5078125" customWidth="1"/>
    <col min="4" max="4" width="13.31640625" customWidth="1"/>
    <col min="5" max="5" width="15.6015625" customWidth="1"/>
  </cols>
  <sheetData>
    <row r="2" spans="2:5" x14ac:dyDescent="0.2">
      <c r="B2" t="s">
        <v>21</v>
      </c>
      <c r="C2" t="s">
        <v>55</v>
      </c>
      <c r="D2" t="s">
        <v>56</v>
      </c>
      <c r="E2" t="s">
        <v>62</v>
      </c>
    </row>
    <row r="3" spans="2:5" x14ac:dyDescent="0.2">
      <c r="B3" s="1">
        <v>45863</v>
      </c>
      <c r="C3" t="s">
        <v>118</v>
      </c>
      <c r="D3" s="11">
        <v>700</v>
      </c>
    </row>
    <row r="4" spans="2:5" x14ac:dyDescent="0.2">
      <c r="D4" s="11"/>
    </row>
    <row r="5" spans="2:5" x14ac:dyDescent="0.2">
      <c r="D5" s="11"/>
    </row>
    <row r="6" spans="2:5" x14ac:dyDescent="0.2">
      <c r="B6" t="s">
        <v>4</v>
      </c>
      <c r="D6" s="14">
        <f>SUBTOTAL(109,Table210[Amount])</f>
        <v>700</v>
      </c>
      <c r="E6">
        <f>SUBTOTAL(103,Table210[Column1])</f>
        <v>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14"/>
  <sheetViews>
    <sheetView topLeftCell="F1" zoomScale="138" workbookViewId="0">
      <selection activeCell="D13" sqref="D13"/>
    </sheetView>
  </sheetViews>
  <sheetFormatPr defaultRowHeight="15" x14ac:dyDescent="0.2"/>
  <cols>
    <col min="2" max="2" width="10.4921875" bestFit="1" customWidth="1"/>
    <col min="3" max="3" width="11.296875" customWidth="1"/>
    <col min="4" max="4" width="10.4921875" bestFit="1" customWidth="1"/>
    <col min="8" max="8" width="10.4921875" bestFit="1" customWidth="1"/>
    <col min="9" max="9" width="9.953125" customWidth="1"/>
    <col min="10" max="10" width="13.31640625" customWidth="1"/>
  </cols>
  <sheetData>
    <row r="2" spans="2:10" x14ac:dyDescent="0.2">
      <c r="B2" t="s">
        <v>21</v>
      </c>
      <c r="C2" t="s">
        <v>56</v>
      </c>
      <c r="D2" t="s">
        <v>62</v>
      </c>
      <c r="E2" t="s">
        <v>63</v>
      </c>
      <c r="H2" t="s">
        <v>21</v>
      </c>
      <c r="I2" t="s">
        <v>130</v>
      </c>
      <c r="J2" t="s">
        <v>131</v>
      </c>
    </row>
    <row r="3" spans="2:10" x14ac:dyDescent="0.2">
      <c r="B3" s="1">
        <v>45869</v>
      </c>
      <c r="C3" s="20">
        <f>SUMIFS(Table14[Debit], Table14[Date], Table11[[#This Row],[Date]], Table14[Party],"Salary", Table14[Description],Table11[[#This Row],[Column1]])</f>
        <v>50000</v>
      </c>
      <c r="D3" t="s">
        <v>119</v>
      </c>
      <c r="H3" s="1">
        <v>45874</v>
      </c>
      <c r="I3">
        <f>SUMIFS(Table14[Debit], Table14[Date], Table16[[#This Row],[Date]], Table14[Party], "Advance Salary", Table14[Description], Table16[[#This Row],[Person]] )</f>
        <v>25000</v>
      </c>
      <c r="J3" t="s">
        <v>129</v>
      </c>
    </row>
    <row r="4" spans="2:10" x14ac:dyDescent="0.2">
      <c r="B4" s="1">
        <v>45862</v>
      </c>
      <c r="C4" s="20">
        <f>SUMIFS(Table14[Debit], Table14[Date], Table11[[#This Row],[Date]], Table14[Party],"Salary", Table14[Description],Table11[[#This Row],[Column1]])</f>
        <v>3000</v>
      </c>
      <c r="D4" s="1" t="s">
        <v>44</v>
      </c>
      <c r="H4" s="1">
        <v>45875</v>
      </c>
      <c r="I4">
        <f>SUMIFS(Table14[Debit], Table14[Date], Table16[[#This Row],[Date]], Table14[Party], "Advance Salary", Table14[Description], Table16[[#This Row],[Person]] )</f>
        <v>25000</v>
      </c>
      <c r="J4" t="s">
        <v>134</v>
      </c>
    </row>
    <row r="5" spans="2:10" x14ac:dyDescent="0.2">
      <c r="B5" s="1">
        <v>45866</v>
      </c>
      <c r="C5" s="20">
        <f>SUMIFS(Table14[Debit], Table14[Date], Table11[[#This Row],[Date]], Table14[Party],"Salary", Table14[Description],Table11[[#This Row],[Column1]])</f>
        <v>100000</v>
      </c>
      <c r="D5" t="s">
        <v>36</v>
      </c>
      <c r="H5" s="1">
        <v>45871</v>
      </c>
      <c r="I5">
        <f>SUMIFS(Table14[Debit], Table14[Date], Table16[[#This Row],[Date]], Table14[Party], "Advance Salary", Table14[Description], Table16[[#This Row],[Person]] )</f>
        <v>10000</v>
      </c>
      <c r="J5" t="s">
        <v>144</v>
      </c>
    </row>
    <row r="6" spans="2:10" x14ac:dyDescent="0.2">
      <c r="B6" s="1">
        <v>45873</v>
      </c>
      <c r="C6" s="20">
        <f>SUMIFS(Table14[Debit], Table14[Date], Table11[[#This Row],[Date]], Table14[Party],"Salary", Table14[Party],Table11[[#This Row],[Column1]])</f>
        <v>2664</v>
      </c>
      <c r="D6" t="s">
        <v>33</v>
      </c>
      <c r="H6" s="1">
        <v>45876</v>
      </c>
      <c r="I6">
        <f>SUMIFS(Table14[Debit], Table14[Date], Table16[[#This Row],[Date]], Table14[Party], "Advance Salary", Table14[Description], Table16[[#This Row],[Person]] )</f>
        <v>16000</v>
      </c>
      <c r="J6" t="s">
        <v>152</v>
      </c>
    </row>
    <row r="7" spans="2:10" x14ac:dyDescent="0.2">
      <c r="B7" s="1">
        <v>45880</v>
      </c>
      <c r="C7" s="20">
        <f>SUMIFS(Table14[Debit], Table14[Date], Table11[[#This Row],[Date]], Table14[Party],"Salary", Table14[Party],Table11[[#This Row],[Column1]])</f>
        <v>598400</v>
      </c>
      <c r="D7" t="s">
        <v>33</v>
      </c>
      <c r="H7" s="1">
        <v>45878</v>
      </c>
      <c r="I7">
        <f>SUMIFS(Table14[Debit], Table14[Date], Table16[[#This Row],[Date]], Table14[Party], "Advance Salary", Table14[Description], Table16[[#This Row],[Person]] )</f>
        <v>5000</v>
      </c>
      <c r="J7" t="s">
        <v>168</v>
      </c>
    </row>
    <row r="8" spans="2:10" x14ac:dyDescent="0.2">
      <c r="B8" s="1">
        <v>45881</v>
      </c>
      <c r="C8" s="20">
        <f>SUMIFS(Table14[Debit], Table14[Date], Table11[[#This Row],[Date]], Table14[Party],"Salary", Table14[Party],Table11[[#This Row],[Column1]])</f>
        <v>62080</v>
      </c>
      <c r="D8" t="s">
        <v>33</v>
      </c>
      <c r="H8" s="1">
        <v>45879</v>
      </c>
      <c r="I8">
        <f>SUMIFS(Table14[Debit], Table14[Date], Table16[[#This Row],[Date]], Table14[Party], "Advance Salary", Table14[Description], Table16[[#This Row],[Person]] )</f>
        <v>50000</v>
      </c>
      <c r="J8" t="s">
        <v>186</v>
      </c>
    </row>
    <row r="9" spans="2:10" x14ac:dyDescent="0.2">
      <c r="B9" s="1">
        <v>45882</v>
      </c>
      <c r="C9" s="20">
        <f>SUMIFS(Table14[Debit], Table14[Date], Table11[[#This Row],[Date]], Table14[Party],"Salary", Table14[Description],Table11[[#This Row],[Column1]])</f>
        <v>20000</v>
      </c>
      <c r="D9" t="s">
        <v>119</v>
      </c>
      <c r="H9" s="1">
        <v>45877</v>
      </c>
      <c r="I9">
        <f>SUMIFS(Table14[Debit], Table14[Date], Table16[[#This Row],[Date]], Table14[Party], "Advance Salary", Table14[Description], Table16[[#This Row],[Person]] )</f>
        <v>30000</v>
      </c>
      <c r="J9" t="s">
        <v>41</v>
      </c>
    </row>
    <row r="10" spans="2:10" x14ac:dyDescent="0.2">
      <c r="B10" s="1">
        <v>45882</v>
      </c>
      <c r="C10" s="20">
        <f>SUMIFS(Table14[Debit], Table14[Date], Table11[[#This Row],[Date]], Table14[Party],"Salary", Table14[Description],Table11[[#This Row],[Column1]])</f>
        <v>7000</v>
      </c>
      <c r="D10" t="s">
        <v>227</v>
      </c>
      <c r="H10" s="1">
        <v>45875</v>
      </c>
      <c r="I10">
        <f>SUMIFS(Table14[Debit], Table14[Date], Table16[[#This Row],[Date]], Table14[Party], "Advance Salary", Table14[Description], Table16[[#This Row],[Person]] )</f>
        <v>20000</v>
      </c>
      <c r="J10" t="s">
        <v>138</v>
      </c>
    </row>
    <row r="11" spans="2:10" x14ac:dyDescent="0.2">
      <c r="B11" s="1">
        <v>45884</v>
      </c>
      <c r="C11" s="20">
        <f>SUMIFS(Table14[Debit], Table14[Date], Table11[[#This Row],[Date]], Table14[Party],"Salary", Table14[Party],Table11[[#This Row],[Column1]])</f>
        <v>112000</v>
      </c>
      <c r="D11" t="s">
        <v>33</v>
      </c>
      <c r="E11" t="s">
        <v>237</v>
      </c>
      <c r="H11" s="1">
        <v>45882</v>
      </c>
      <c r="I11">
        <f>SUMIFS(Table14[Debit], Table14[Date], Table16[[#This Row],[Date]], Table14[Party], "Advance Salary", Table14[Description], Table16[[#This Row],[Person]] )</f>
        <v>500</v>
      </c>
      <c r="J11" t="s">
        <v>138</v>
      </c>
    </row>
    <row r="12" spans="2:10" x14ac:dyDescent="0.2">
      <c r="B12" s="1">
        <v>45893</v>
      </c>
      <c r="C12" s="20">
        <f>SUMIFS(Table14[Debit], Table14[Date], Table11[[#This Row],[Date]], Table14[Party],"Salary", Table14[Description],Table11[[#This Row],[Column1]])</f>
        <v>50000</v>
      </c>
      <c r="D12" t="s">
        <v>256</v>
      </c>
      <c r="H12" s="1">
        <v>45887</v>
      </c>
      <c r="I12">
        <f>SUMIFS(Table14[Debit], Table14[Date], Table16[[#This Row],[Date]], Table14[Party], "Advance Salary", Table14[Description], Table16[[#This Row],[Person]] )</f>
        <v>100000</v>
      </c>
      <c r="J12" t="s">
        <v>129</v>
      </c>
    </row>
    <row r="13" spans="2:10" x14ac:dyDescent="0.2">
      <c r="B13" s="1">
        <v>45894</v>
      </c>
      <c r="C13" s="20">
        <f>SUMIFS(Table14[Debit], Table14[Date], Table11[[#This Row],[Date]], Table14[Party],"Salary", Table14[Description],Table11[[#This Row],[Column1]])</f>
        <v>723340</v>
      </c>
      <c r="D13" t="s">
        <v>33</v>
      </c>
      <c r="H13" s="1"/>
      <c r="I13">
        <f>SUBTOTAL(109,Table16[Advance])</f>
        <v>281500</v>
      </c>
    </row>
    <row r="14" spans="2:10" x14ac:dyDescent="0.2">
      <c r="B14" s="1"/>
      <c r="C14" s="26">
        <f>SUM(Table11[Amount])</f>
        <v>1728484</v>
      </c>
    </row>
  </sheetData>
  <phoneticPr fontId="4" type="noConversion"/>
  <pageMargins left="0.7" right="0.7" top="0.75" bottom="0.75" header="0.3" footer="0.3"/>
  <pageSetup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E26" zoomScale="90" workbookViewId="0">
      <selection activeCell="C41" sqref="C41"/>
    </sheetView>
  </sheetViews>
  <sheetFormatPr defaultRowHeight="15" x14ac:dyDescent="0.2"/>
  <cols>
    <col min="1" max="1" width="17.62109375" bestFit="1" customWidth="1"/>
    <col min="2" max="2" width="17.890625" bestFit="1" customWidth="1"/>
    <col min="3" max="3" width="17.3515625" bestFit="1" customWidth="1"/>
    <col min="4" max="4" width="17.08203125" bestFit="1" customWidth="1"/>
    <col min="5" max="5" width="16.27734375" customWidth="1"/>
    <col min="6" max="6" width="16.94921875" customWidth="1"/>
    <col min="7" max="7" width="8.609375" customWidth="1"/>
    <col min="8" max="8" width="12.375" customWidth="1"/>
    <col min="9" max="9" width="13.71875" customWidth="1"/>
    <col min="10" max="10" width="15.33203125" customWidth="1"/>
    <col min="11" max="11" width="13.5859375" bestFit="1" customWidth="1"/>
  </cols>
  <sheetData>
    <row r="1" spans="1:12" x14ac:dyDescent="0.2">
      <c r="A1" s="53" t="s">
        <v>1</v>
      </c>
      <c r="B1" s="14" t="s">
        <v>73</v>
      </c>
      <c r="C1" s="14"/>
    </row>
    <row r="2" spans="1:12" x14ac:dyDescent="0.2">
      <c r="A2" s="36" t="s">
        <v>18</v>
      </c>
      <c r="B2" s="38">
        <f ca="1">SUM(B4:INDEX(B:B, MATCH(1E+100, B:B)-1))</f>
        <v>1027609.8800292611</v>
      </c>
      <c r="C2" s="37">
        <f>GETPIVOTDATA("Sum of Tiyaar/gaz",$A$3)</f>
        <v>1070855</v>
      </c>
      <c r="D2" s="36">
        <f ca="1">((B2*48)+((C2/1.0936)*10))/C2</f>
        <v>55.205692117358161</v>
      </c>
      <c r="J2">
        <v>48</v>
      </c>
    </row>
    <row r="3" spans="1:12" x14ac:dyDescent="0.2">
      <c r="A3" s="39" t="s">
        <v>120</v>
      </c>
      <c r="B3" s="40" t="s">
        <v>121</v>
      </c>
      <c r="C3" s="41" t="s">
        <v>76</v>
      </c>
      <c r="D3" s="37" t="s">
        <v>122</v>
      </c>
      <c r="E3" s="11" t="s">
        <v>123</v>
      </c>
      <c r="F3" s="11" t="str">
        <f t="shared" ref="F3:F38" si="0">C3</f>
        <v>Sum of Tiyaar/gaz</v>
      </c>
      <c r="G3" s="88" t="s">
        <v>71</v>
      </c>
      <c r="H3" s="11" t="s">
        <v>124</v>
      </c>
      <c r="I3" s="34" t="s">
        <v>125</v>
      </c>
    </row>
    <row r="4" spans="1:12" x14ac:dyDescent="0.2">
      <c r="A4" s="16">
        <v>1593</v>
      </c>
      <c r="B4" s="14">
        <v>33269</v>
      </c>
      <c r="C4" s="14">
        <v>1826</v>
      </c>
      <c r="D4" s="33">
        <f>I4</f>
        <v>883.68518457683899</v>
      </c>
      <c r="E4" s="11">
        <f>B4 * 1.0936</f>
        <v>36382.9784</v>
      </c>
      <c r="F4" s="11">
        <f t="shared" si="0"/>
        <v>1826</v>
      </c>
      <c r="G4" s="89">
        <f>100- (F4/E4 *100)</f>
        <v>94.981169546031452</v>
      </c>
      <c r="H4" s="33">
        <f>F4/1.0936</f>
        <v>1669.7147037307975</v>
      </c>
      <c r="I4" s="33">
        <f>((B4*48)+(H4*10))/C4</f>
        <v>883.68518457683899</v>
      </c>
      <c r="J4" s="33"/>
      <c r="K4" s="33"/>
      <c r="L4" s="33"/>
    </row>
    <row r="5" spans="1:12" x14ac:dyDescent="0.2">
      <c r="A5" s="16">
        <v>1595</v>
      </c>
      <c r="B5" s="14">
        <v>30352</v>
      </c>
      <c r="C5" s="14">
        <v>21904</v>
      </c>
      <c r="D5" s="33">
        <f t="shared" ref="D5:D38" si="1">I5</f>
        <v>75.656894245715691</v>
      </c>
      <c r="E5" s="11">
        <f t="shared" ref="E5:E38" si="2">B5 * 1.0936</f>
        <v>33192.947199999995</v>
      </c>
      <c r="F5" s="11">
        <f t="shared" si="0"/>
        <v>21904</v>
      </c>
      <c r="G5" s="89">
        <f>100- (F5/E5 *100)</f>
        <v>34.010077899922052</v>
      </c>
      <c r="H5" s="33">
        <f t="shared" ref="H5:H38" si="3">F5/1.0936</f>
        <v>20029.261155815657</v>
      </c>
      <c r="I5" s="33">
        <f>((B5*48)+(H5*10))/C5</f>
        <v>75.656894245715691</v>
      </c>
      <c r="J5" s="33"/>
      <c r="K5" s="33"/>
      <c r="L5" s="33"/>
    </row>
    <row r="6" spans="1:12" x14ac:dyDescent="0.2">
      <c r="A6" s="16">
        <v>1601</v>
      </c>
      <c r="B6" s="14">
        <v>34595</v>
      </c>
      <c r="C6" s="14">
        <v>37023</v>
      </c>
      <c r="D6" s="33">
        <f t="shared" si="1"/>
        <v>53.996230145475323</v>
      </c>
      <c r="E6" s="11">
        <f t="shared" si="2"/>
        <v>37833.091999999997</v>
      </c>
      <c r="F6" s="11">
        <f t="shared" si="0"/>
        <v>37023</v>
      </c>
      <c r="G6" s="89">
        <f t="shared" ref="G6:G18" si="4">100- (F6/E6 *100)</f>
        <v>2.1412259933710942</v>
      </c>
      <c r="H6" s="33">
        <f t="shared" si="3"/>
        <v>33854.242867593275</v>
      </c>
      <c r="I6" s="33">
        <f>((B6*48)+(H6*10))/C6</f>
        <v>53.996230145475323</v>
      </c>
      <c r="J6" s="33"/>
      <c r="K6" s="33"/>
      <c r="L6" s="33"/>
    </row>
    <row r="7" spans="1:12" x14ac:dyDescent="0.2">
      <c r="A7" s="16">
        <v>1599</v>
      </c>
      <c r="B7" s="14">
        <v>24261</v>
      </c>
      <c r="C7" s="14">
        <v>25821</v>
      </c>
      <c r="D7" s="33">
        <f t="shared" si="1"/>
        <v>54.244146047742397</v>
      </c>
      <c r="E7" s="11">
        <f t="shared" si="2"/>
        <v>26531.829599999997</v>
      </c>
      <c r="F7" s="11">
        <f t="shared" si="0"/>
        <v>25821</v>
      </c>
      <c r="G7" s="89">
        <f t="shared" si="4"/>
        <v>2.6791578670473513</v>
      </c>
      <c r="H7" s="33">
        <f t="shared" si="3"/>
        <v>23611.009509875643</v>
      </c>
      <c r="I7" s="33">
        <f>((B7*48)+(H7*10))/C7</f>
        <v>54.244146047742397</v>
      </c>
      <c r="J7" s="33"/>
      <c r="K7" s="33"/>
      <c r="L7" s="33"/>
    </row>
    <row r="8" spans="1:12" x14ac:dyDescent="0.2">
      <c r="A8" s="16">
        <v>1597</v>
      </c>
      <c r="B8" s="14">
        <v>22149</v>
      </c>
      <c r="C8" s="14">
        <v>23975</v>
      </c>
      <c r="D8" s="33">
        <f t="shared" si="1"/>
        <v>53.488303058919726</v>
      </c>
      <c r="E8" s="11">
        <f t="shared" si="2"/>
        <v>24222.146399999998</v>
      </c>
      <c r="F8" s="11">
        <f t="shared" si="0"/>
        <v>23975</v>
      </c>
      <c r="G8" s="89">
        <f t="shared" si="4"/>
        <v>1.0203323682330563</v>
      </c>
      <c r="H8" s="33">
        <f t="shared" si="3"/>
        <v>21923.00658376006</v>
      </c>
      <c r="I8" s="33">
        <f t="shared" ref="I8:I38" si="5">((B8*48)+(H8*10))/C8</f>
        <v>53.488303058919726</v>
      </c>
      <c r="J8" s="33"/>
      <c r="K8" s="33"/>
      <c r="L8" s="33"/>
    </row>
    <row r="9" spans="1:12" x14ac:dyDescent="0.2">
      <c r="A9" s="16">
        <v>1600</v>
      </c>
      <c r="B9" s="14">
        <v>17757</v>
      </c>
      <c r="C9" s="14">
        <v>19284</v>
      </c>
      <c r="D9" s="33">
        <f t="shared" si="1"/>
        <v>53.343240003842006</v>
      </c>
      <c r="E9" s="11">
        <f t="shared" si="2"/>
        <v>19419.055199999999</v>
      </c>
      <c r="F9" s="11">
        <f t="shared" si="0"/>
        <v>19284</v>
      </c>
      <c r="G9" s="89">
        <f t="shared" si="4"/>
        <v>0.69547770789590402</v>
      </c>
      <c r="H9" s="33">
        <f t="shared" si="3"/>
        <v>17633.504023408925</v>
      </c>
      <c r="I9" s="33">
        <f t="shared" si="5"/>
        <v>53.343240003842006</v>
      </c>
      <c r="J9" s="33"/>
      <c r="K9" s="33"/>
      <c r="L9" s="33"/>
    </row>
    <row r="10" spans="1:12" x14ac:dyDescent="0.2">
      <c r="A10" s="16">
        <v>1602</v>
      </c>
      <c r="B10" s="14">
        <v>100721</v>
      </c>
      <c r="C10" s="14">
        <v>111353</v>
      </c>
      <c r="D10" s="33">
        <f t="shared" si="1"/>
        <v>52.561064485073935</v>
      </c>
      <c r="E10" s="11">
        <f t="shared" si="2"/>
        <v>110148.48559999999</v>
      </c>
      <c r="F10" s="11">
        <f t="shared" si="0"/>
        <v>111353</v>
      </c>
      <c r="G10" s="89">
        <f t="shared" si="4"/>
        <v>-1.0935369591681621</v>
      </c>
      <c r="H10" s="33">
        <f t="shared" si="3"/>
        <v>101822.42136064376</v>
      </c>
      <c r="I10" s="33">
        <f t="shared" si="5"/>
        <v>52.561064485073935</v>
      </c>
      <c r="J10" s="33"/>
      <c r="K10" s="33"/>
      <c r="L10" s="33"/>
    </row>
    <row r="11" spans="1:12" x14ac:dyDescent="0.2">
      <c r="A11" s="16" t="s">
        <v>79</v>
      </c>
      <c r="B11" s="14">
        <v>0</v>
      </c>
      <c r="C11" s="14">
        <v>6925</v>
      </c>
      <c r="D11" s="33"/>
      <c r="E11" s="11">
        <f t="shared" si="2"/>
        <v>0</v>
      </c>
      <c r="F11" s="11">
        <f t="shared" si="0"/>
        <v>6925</v>
      </c>
      <c r="G11" s="89" t="e">
        <f t="shared" si="4"/>
        <v>#DIV/0!</v>
      </c>
      <c r="H11" s="33">
        <f t="shared" si="3"/>
        <v>6332.2970007315298</v>
      </c>
      <c r="I11" s="33">
        <f t="shared" si="5"/>
        <v>9.144111192392101</v>
      </c>
      <c r="J11" s="33"/>
      <c r="K11" s="33"/>
      <c r="L11" s="33"/>
    </row>
    <row r="12" spans="1:12" x14ac:dyDescent="0.2">
      <c r="A12" s="16">
        <v>1558</v>
      </c>
      <c r="B12" s="14">
        <v>27931</v>
      </c>
      <c r="C12" s="14">
        <v>29944</v>
      </c>
      <c r="D12" s="33">
        <f t="shared" si="1"/>
        <v>53.917287788705224</v>
      </c>
      <c r="E12" s="11">
        <f t="shared" si="2"/>
        <v>30545.341599999996</v>
      </c>
      <c r="F12" s="11">
        <f t="shared" si="0"/>
        <v>29944</v>
      </c>
      <c r="G12" s="89">
        <f t="shared" si="4"/>
        <v>1.9686851365905085</v>
      </c>
      <c r="H12" s="33">
        <f t="shared" si="3"/>
        <v>27381.126554498904</v>
      </c>
      <c r="I12" s="33">
        <f t="shared" si="5"/>
        <v>53.917287788705224</v>
      </c>
    </row>
    <row r="13" spans="1:12" x14ac:dyDescent="0.2">
      <c r="A13" s="16">
        <v>1603</v>
      </c>
      <c r="B13" s="14">
        <v>34026</v>
      </c>
      <c r="C13" s="14">
        <v>36424</v>
      </c>
      <c r="D13" s="33">
        <f t="shared" si="1"/>
        <v>53.983996981981385</v>
      </c>
      <c r="E13" s="11">
        <f t="shared" si="2"/>
        <v>37210.833599999998</v>
      </c>
      <c r="F13" s="11">
        <f t="shared" si="0"/>
        <v>36424</v>
      </c>
      <c r="G13" s="89">
        <f t="shared" si="4"/>
        <v>2.1145282808176518</v>
      </c>
      <c r="H13" s="33">
        <f t="shared" si="3"/>
        <v>33306.510607168988</v>
      </c>
      <c r="I13" s="33">
        <f t="shared" si="5"/>
        <v>53.983996981981385</v>
      </c>
    </row>
    <row r="14" spans="1:12" x14ac:dyDescent="0.2">
      <c r="A14" s="16">
        <v>1619</v>
      </c>
      <c r="B14" s="14">
        <v>1859</v>
      </c>
      <c r="C14" s="14">
        <v>2036</v>
      </c>
      <c r="D14" s="33">
        <f t="shared" si="1"/>
        <v>52.971223176675011</v>
      </c>
      <c r="E14" s="11">
        <f t="shared" si="2"/>
        <v>2033.0023999999999</v>
      </c>
      <c r="F14" s="11">
        <f t="shared" si="0"/>
        <v>2036</v>
      </c>
      <c r="G14" s="89">
        <f t="shared" si="4"/>
        <v>-0.14744694841482442</v>
      </c>
      <c r="H14" s="33">
        <f t="shared" si="3"/>
        <v>1861.7410387710315</v>
      </c>
      <c r="I14" s="33">
        <f t="shared" si="5"/>
        <v>52.971223176675011</v>
      </c>
    </row>
    <row r="15" spans="1:12" x14ac:dyDescent="0.2">
      <c r="A15" s="16">
        <v>1621</v>
      </c>
      <c r="B15" s="14">
        <v>29483</v>
      </c>
      <c r="C15" s="14">
        <v>32201</v>
      </c>
      <c r="D15" s="33">
        <f t="shared" si="1"/>
        <v>53.092559998329804</v>
      </c>
      <c r="E15" s="11">
        <f>B15 * 1.0936</f>
        <v>32242.608799999998</v>
      </c>
      <c r="F15" s="11">
        <f t="shared" si="0"/>
        <v>32201</v>
      </c>
      <c r="G15" s="89">
        <f t="shared" si="4"/>
        <v>0.12904911093917804</v>
      </c>
      <c r="H15" s="33">
        <f t="shared" si="3"/>
        <v>29444.9524506218</v>
      </c>
      <c r="I15" s="33">
        <f>((B15*48)+(H15*10))/C15</f>
        <v>53.092559998329804</v>
      </c>
    </row>
    <row r="16" spans="1:12" x14ac:dyDescent="0.2">
      <c r="A16" s="16">
        <v>1606</v>
      </c>
      <c r="B16" s="14">
        <v>15311</v>
      </c>
      <c r="C16" s="14">
        <v>16753</v>
      </c>
      <c r="D16" s="33">
        <f t="shared" si="1"/>
        <v>53.012552665561088</v>
      </c>
      <c r="E16" s="11">
        <f t="shared" si="2"/>
        <v>16744.1096</v>
      </c>
      <c r="F16" s="11">
        <f t="shared" si="0"/>
        <v>16753</v>
      </c>
      <c r="G16" s="89">
        <f t="shared" si="4"/>
        <v>-5.3095686855769486E-2</v>
      </c>
      <c r="H16" s="33">
        <f t="shared" si="3"/>
        <v>15319.129480614485</v>
      </c>
      <c r="I16" s="33">
        <f>((B16*48)+(H16*10))/C16</f>
        <v>53.012552665561088</v>
      </c>
    </row>
    <row r="17" spans="1:9" x14ac:dyDescent="0.2">
      <c r="A17" s="16">
        <v>1613</v>
      </c>
      <c r="B17" s="14">
        <v>28459</v>
      </c>
      <c r="C17" s="14">
        <v>30503</v>
      </c>
      <c r="D17" s="33">
        <f t="shared" si="1"/>
        <v>53.927640681294832</v>
      </c>
      <c r="E17" s="11">
        <f t="shared" si="2"/>
        <v>31122.762399999996</v>
      </c>
      <c r="F17" s="11">
        <f t="shared" si="0"/>
        <v>30503</v>
      </c>
      <c r="G17" s="89">
        <f t="shared" si="4"/>
        <v>1.9913476574945577</v>
      </c>
      <c r="H17" s="33">
        <f t="shared" si="3"/>
        <v>27892.282370153622</v>
      </c>
      <c r="I17" s="33">
        <f>((B17*48)+(H17*10))/C17</f>
        <v>53.927640681294832</v>
      </c>
    </row>
    <row r="18" spans="1:9" x14ac:dyDescent="0.2">
      <c r="A18" s="16">
        <v>1609</v>
      </c>
      <c r="B18" s="14">
        <v>23028</v>
      </c>
      <c r="C18" s="14">
        <v>24699</v>
      </c>
      <c r="D18" s="33">
        <f t="shared" si="1"/>
        <v>53.896692268549032</v>
      </c>
      <c r="E18" s="11">
        <f t="shared" si="2"/>
        <v>25183.420799999996</v>
      </c>
      <c r="F18" s="11">
        <f t="shared" si="0"/>
        <v>24699</v>
      </c>
      <c r="G18" s="89">
        <f t="shared" si="4"/>
        <v>1.9235702879570482</v>
      </c>
      <c r="H18" s="33">
        <f t="shared" si="3"/>
        <v>22585.040234089247</v>
      </c>
      <c r="I18" s="33">
        <f>((B18*48)+(H18*10))/C18</f>
        <v>53.896692268549032</v>
      </c>
    </row>
    <row r="19" spans="1:9" x14ac:dyDescent="0.2">
      <c r="A19" s="16" t="s">
        <v>75</v>
      </c>
      <c r="B19" s="14">
        <v>34595</v>
      </c>
      <c r="C19" s="14">
        <v>37588</v>
      </c>
      <c r="D19" s="33">
        <f t="shared" si="1"/>
        <v>53.322040318709014</v>
      </c>
      <c r="E19" s="11">
        <f t="shared" si="2"/>
        <v>37833.091999999997</v>
      </c>
      <c r="F19" s="11">
        <f t="shared" si="0"/>
        <v>37588</v>
      </c>
      <c r="G19" s="89">
        <f t="shared" ref="G19:G38" si="6">100- (F19/E19 *100)</f>
        <v>0.64782439669481562</v>
      </c>
      <c r="H19" s="33">
        <f t="shared" si="3"/>
        <v>34370.885149963426</v>
      </c>
      <c r="I19" s="33">
        <f t="shared" si="5"/>
        <v>53.322040318709014</v>
      </c>
    </row>
    <row r="20" spans="1:9" x14ac:dyDescent="0.2">
      <c r="A20" s="16">
        <v>1614</v>
      </c>
      <c r="B20" s="14">
        <v>30158</v>
      </c>
      <c r="C20" s="14">
        <v>32625</v>
      </c>
      <c r="D20" s="33">
        <f t="shared" si="1"/>
        <v>53.5145019969898</v>
      </c>
      <c r="E20" s="11">
        <f>B20 * 1.0936</f>
        <v>32980.788799999995</v>
      </c>
      <c r="F20" s="11">
        <f t="shared" si="0"/>
        <v>32625</v>
      </c>
      <c r="G20" s="89">
        <f t="shared" si="6"/>
        <v>1.0787758963484748</v>
      </c>
      <c r="H20" s="33">
        <f t="shared" si="3"/>
        <v>29832.662765179226</v>
      </c>
      <c r="I20" s="33">
        <f t="shared" si="5"/>
        <v>53.5145019969898</v>
      </c>
    </row>
    <row r="21" spans="1:9" x14ac:dyDescent="0.2">
      <c r="A21" s="16">
        <v>1623</v>
      </c>
      <c r="B21" s="14">
        <v>20247</v>
      </c>
      <c r="C21" s="14">
        <v>21841</v>
      </c>
      <c r="D21" s="33">
        <f t="shared" si="1"/>
        <v>53.64097488910928</v>
      </c>
      <c r="E21" s="11">
        <f t="shared" si="2"/>
        <v>22142.119199999997</v>
      </c>
      <c r="F21" s="11">
        <f t="shared" si="0"/>
        <v>21841</v>
      </c>
      <c r="G21" s="89">
        <f t="shared" si="6"/>
        <v>1.3599384832143784</v>
      </c>
      <c r="H21" s="33">
        <f t="shared" si="3"/>
        <v>19971.653255303587</v>
      </c>
      <c r="I21" s="33">
        <f t="shared" si="5"/>
        <v>53.64097488910928</v>
      </c>
    </row>
    <row r="22" spans="1:9" x14ac:dyDescent="0.2">
      <c r="A22" s="16">
        <v>1610</v>
      </c>
      <c r="B22" s="14">
        <v>6777</v>
      </c>
      <c r="C22" s="14">
        <v>7252</v>
      </c>
      <c r="D22" s="33">
        <f t="shared" si="1"/>
        <v>54.000150905574671</v>
      </c>
      <c r="E22" s="11">
        <f t="shared" si="2"/>
        <v>7411.3271999999997</v>
      </c>
      <c r="F22" s="11">
        <f t="shared" si="0"/>
        <v>7252</v>
      </c>
      <c r="G22" s="89">
        <f t="shared" si="6"/>
        <v>2.1497795968311806</v>
      </c>
      <c r="H22" s="33">
        <f t="shared" si="3"/>
        <v>6631.3094367227513</v>
      </c>
      <c r="I22" s="33">
        <f t="shared" si="5"/>
        <v>54.000150905574671</v>
      </c>
    </row>
    <row r="23" spans="1:9" x14ac:dyDescent="0.2">
      <c r="A23" s="16">
        <v>1620</v>
      </c>
      <c r="B23" s="14">
        <v>9567.4835405998547</v>
      </c>
      <c r="C23" s="14">
        <v>10359</v>
      </c>
      <c r="D23" s="33">
        <f t="shared" si="1"/>
        <v>53.476499448864054</v>
      </c>
      <c r="E23" s="11">
        <f t="shared" si="2"/>
        <v>10463</v>
      </c>
      <c r="F23" s="11">
        <f t="shared" si="0"/>
        <v>10359</v>
      </c>
      <c r="G23" s="89">
        <f t="shared" si="6"/>
        <v>0.99397878237599002</v>
      </c>
      <c r="H23" s="33">
        <f t="shared" si="3"/>
        <v>9472.3847841989773</v>
      </c>
      <c r="I23" s="33">
        <f t="shared" si="5"/>
        <v>53.476499448864054</v>
      </c>
    </row>
    <row r="24" spans="1:9" x14ac:dyDescent="0.2">
      <c r="A24" s="16">
        <v>1608</v>
      </c>
      <c r="B24" s="14">
        <v>15648.317483540601</v>
      </c>
      <c r="C24" s="14">
        <v>16890</v>
      </c>
      <c r="D24" s="33">
        <f t="shared" si="1"/>
        <v>53.615350932471955</v>
      </c>
      <c r="E24" s="11">
        <f t="shared" si="2"/>
        <v>17113</v>
      </c>
      <c r="F24" s="11">
        <f t="shared" si="0"/>
        <v>16890</v>
      </c>
      <c r="G24" s="89">
        <f t="shared" si="6"/>
        <v>1.3031029042248576</v>
      </c>
      <c r="H24" s="33">
        <f t="shared" si="3"/>
        <v>15444.403803950257</v>
      </c>
      <c r="I24" s="33">
        <f t="shared" si="5"/>
        <v>53.615350932471955</v>
      </c>
    </row>
    <row r="25" spans="1:9" x14ac:dyDescent="0.2">
      <c r="A25" s="16">
        <v>1624</v>
      </c>
      <c r="B25" s="14">
        <v>30782</v>
      </c>
      <c r="C25" s="14">
        <v>32958</v>
      </c>
      <c r="D25" s="33">
        <f t="shared" si="1"/>
        <v>53.974986852322921</v>
      </c>
      <c r="E25" s="11">
        <f t="shared" si="2"/>
        <v>33663.195199999995</v>
      </c>
      <c r="F25" s="11">
        <f t="shared" si="0"/>
        <v>32958</v>
      </c>
      <c r="G25" s="89">
        <f t="shared" si="6"/>
        <v>2.0948552144568708</v>
      </c>
      <c r="H25" s="33">
        <f t="shared" si="3"/>
        <v>30137.161667885885</v>
      </c>
      <c r="I25" s="33">
        <f t="shared" si="5"/>
        <v>53.974986852322921</v>
      </c>
    </row>
    <row r="26" spans="1:9" x14ac:dyDescent="0.2">
      <c r="A26" s="16">
        <v>1625</v>
      </c>
      <c r="B26" s="14">
        <v>82148</v>
      </c>
      <c r="C26" s="14">
        <v>88903</v>
      </c>
      <c r="D26" s="33">
        <f t="shared" si="1"/>
        <v>53.496990172853955</v>
      </c>
      <c r="E26" s="11">
        <f t="shared" si="2"/>
        <v>89837.05279999999</v>
      </c>
      <c r="F26" s="11">
        <f t="shared" si="0"/>
        <v>88903</v>
      </c>
      <c r="G26" s="89">
        <f t="shared" si="6"/>
        <v>1.0397188808936448</v>
      </c>
      <c r="H26" s="33">
        <f t="shared" si="3"/>
        <v>81293.891733723489</v>
      </c>
      <c r="I26" s="33">
        <f t="shared" si="5"/>
        <v>53.496990172853955</v>
      </c>
    </row>
    <row r="27" spans="1:9" x14ac:dyDescent="0.2">
      <c r="A27" s="16">
        <v>1618</v>
      </c>
      <c r="B27" s="14">
        <v>8417</v>
      </c>
      <c r="C27" s="14">
        <v>9090</v>
      </c>
      <c r="D27" s="33">
        <f t="shared" si="1"/>
        <v>53.590315812854143</v>
      </c>
      <c r="E27" s="11">
        <f t="shared" si="2"/>
        <v>9204.8311999999987</v>
      </c>
      <c r="F27" s="11">
        <f t="shared" si="0"/>
        <v>9090</v>
      </c>
      <c r="G27" s="89">
        <f t="shared" si="6"/>
        <v>1.2475101118638463</v>
      </c>
      <c r="H27" s="33">
        <f t="shared" si="3"/>
        <v>8311.9970738844186</v>
      </c>
      <c r="I27" s="33">
        <f t="shared" si="5"/>
        <v>53.590315812854143</v>
      </c>
    </row>
    <row r="28" spans="1:9" x14ac:dyDescent="0.2">
      <c r="A28" s="16">
        <v>1611</v>
      </c>
      <c r="B28" s="14">
        <v>11690</v>
      </c>
      <c r="C28" s="14">
        <v>12873</v>
      </c>
      <c r="D28" s="33">
        <f t="shared" si="1"/>
        <v>52.733018207073989</v>
      </c>
      <c r="E28" s="11">
        <f t="shared" si="2"/>
        <v>12784.183999999999</v>
      </c>
      <c r="F28" s="11">
        <f t="shared" si="0"/>
        <v>12873</v>
      </c>
      <c r="G28" s="89">
        <f t="shared" si="6"/>
        <v>-0.69473342999444299</v>
      </c>
      <c r="H28" s="33">
        <f t="shared" si="3"/>
        <v>11771.21433796635</v>
      </c>
      <c r="I28" s="33">
        <f t="shared" si="5"/>
        <v>52.733018207073989</v>
      </c>
    </row>
    <row r="29" spans="1:9" x14ac:dyDescent="0.2">
      <c r="A29" s="16">
        <v>1629</v>
      </c>
      <c r="B29" s="14">
        <v>29868</v>
      </c>
      <c r="C29" s="14">
        <v>32842</v>
      </c>
      <c r="D29" s="33">
        <f t="shared" si="1"/>
        <v>52.797481876272499</v>
      </c>
      <c r="E29" s="11">
        <f t="shared" si="2"/>
        <v>32663.644799999998</v>
      </c>
      <c r="F29" s="11">
        <f t="shared" si="0"/>
        <v>32842</v>
      </c>
      <c r="G29" s="89">
        <f t="shared" si="6"/>
        <v>-0.54603581777867305</v>
      </c>
      <c r="H29" s="33">
        <f t="shared" si="3"/>
        <v>30031.089978054137</v>
      </c>
      <c r="I29" s="33">
        <f t="shared" si="5"/>
        <v>52.797481876272499</v>
      </c>
    </row>
    <row r="30" spans="1:9" x14ac:dyDescent="0.2">
      <c r="A30" s="16">
        <v>1631</v>
      </c>
      <c r="B30" s="14">
        <v>62156</v>
      </c>
      <c r="C30" s="14">
        <v>66730</v>
      </c>
      <c r="D30" s="33">
        <f t="shared" si="1"/>
        <v>53.853956839027802</v>
      </c>
      <c r="E30" s="11">
        <f t="shared" si="2"/>
        <v>67973.801599999992</v>
      </c>
      <c r="F30" s="11">
        <f t="shared" si="0"/>
        <v>66730</v>
      </c>
      <c r="G30" s="89">
        <f t="shared" si="6"/>
        <v>1.8298249777455311</v>
      </c>
      <c r="H30" s="33">
        <f t="shared" si="3"/>
        <v>61018.653986832483</v>
      </c>
      <c r="I30" s="33">
        <f t="shared" si="5"/>
        <v>53.853956839027802</v>
      </c>
    </row>
    <row r="31" spans="1:9" x14ac:dyDescent="0.2">
      <c r="A31" s="16">
        <v>1604</v>
      </c>
      <c r="B31" s="14">
        <v>24286</v>
      </c>
      <c r="C31" s="14">
        <v>23897</v>
      </c>
      <c r="D31" s="33">
        <f t="shared" si="1"/>
        <v>57.925464500338705</v>
      </c>
      <c r="E31" s="11">
        <f t="shared" si="2"/>
        <v>26559.169599999997</v>
      </c>
      <c r="F31" s="11">
        <f t="shared" si="0"/>
        <v>23897</v>
      </c>
      <c r="G31" s="89">
        <f t="shared" si="6"/>
        <v>10.023542302316557</v>
      </c>
      <c r="H31" s="33">
        <f t="shared" si="3"/>
        <v>21851.682516459401</v>
      </c>
      <c r="I31" s="33">
        <f t="shared" si="5"/>
        <v>57.925464500338705</v>
      </c>
    </row>
    <row r="32" spans="1:9" x14ac:dyDescent="0.2">
      <c r="A32" s="16">
        <v>1627</v>
      </c>
      <c r="B32" s="14">
        <v>20316</v>
      </c>
      <c r="C32" s="14">
        <v>21807</v>
      </c>
      <c r="D32" s="33">
        <f t="shared" si="1"/>
        <v>53.862229227885294</v>
      </c>
      <c r="E32" s="11">
        <f t="shared" si="2"/>
        <v>22217.577599999997</v>
      </c>
      <c r="F32" s="11">
        <f t="shared" si="0"/>
        <v>21807</v>
      </c>
      <c r="G32" s="89">
        <f t="shared" si="6"/>
        <v>1.8479854437416066</v>
      </c>
      <c r="H32" s="33">
        <f t="shared" si="3"/>
        <v>19940.563277249454</v>
      </c>
      <c r="I32" s="33">
        <f t="shared" si="5"/>
        <v>53.862229227885294</v>
      </c>
    </row>
    <row r="33" spans="1:9" x14ac:dyDescent="0.2">
      <c r="A33" s="16">
        <v>1615</v>
      </c>
      <c r="B33" s="14">
        <v>11826.079005120704</v>
      </c>
      <c r="C33" s="14">
        <v>13044</v>
      </c>
      <c r="D33" s="33">
        <f t="shared" ref="D33:D37" si="7">I33</f>
        <v>52.662341202035911</v>
      </c>
      <c r="E33" s="11">
        <f t="shared" ref="E33:E37" si="8">B33 * 1.0936</f>
        <v>12933</v>
      </c>
      <c r="F33" s="11">
        <f t="shared" ref="F33:F37" si="9">C33</f>
        <v>13044</v>
      </c>
      <c r="G33" s="89">
        <f t="shared" ref="G33:G37" si="10">100- (F33/E33 *100)</f>
        <v>-0.85826954302945069</v>
      </c>
      <c r="H33" s="33">
        <f t="shared" ref="H33:H37" si="11">F33/1.0936</f>
        <v>11927.578639356256</v>
      </c>
      <c r="I33" s="33">
        <f t="shared" ref="I33:I37" si="12">((B33*48)+(H33*10))/C33</f>
        <v>52.662341202035911</v>
      </c>
    </row>
    <row r="34" spans="1:9" x14ac:dyDescent="0.2">
      <c r="A34" s="16">
        <v>1630</v>
      </c>
      <c r="B34" s="14">
        <v>33327</v>
      </c>
      <c r="C34" s="14">
        <v>35586</v>
      </c>
      <c r="D34" s="33">
        <f t="shared" si="7"/>
        <v>54.097070221223667</v>
      </c>
      <c r="E34" s="11">
        <f t="shared" si="8"/>
        <v>36446.407199999994</v>
      </c>
      <c r="F34" s="11">
        <f t="shared" si="9"/>
        <v>35586</v>
      </c>
      <c r="G34" s="89">
        <f t="shared" si="10"/>
        <v>2.360746274052488</v>
      </c>
      <c r="H34" s="33">
        <f t="shared" si="11"/>
        <v>32540.234089246529</v>
      </c>
      <c r="I34" s="33">
        <f t="shared" si="12"/>
        <v>54.097070221223667</v>
      </c>
    </row>
    <row r="35" spans="1:9" x14ac:dyDescent="0.2">
      <c r="A35" s="16">
        <v>1635</v>
      </c>
      <c r="B35" s="14">
        <v>35020</v>
      </c>
      <c r="C35" s="14">
        <v>38110</v>
      </c>
      <c r="D35" s="33">
        <f t="shared" si="7"/>
        <v>53.252219300500208</v>
      </c>
      <c r="E35" s="11">
        <f t="shared" si="8"/>
        <v>38297.871999999996</v>
      </c>
      <c r="F35" s="11">
        <f t="shared" si="9"/>
        <v>38110</v>
      </c>
      <c r="G35" s="89">
        <f t="shared" si="10"/>
        <v>0.4905546710271409</v>
      </c>
      <c r="H35" s="33">
        <f t="shared" si="11"/>
        <v>34848.207754206291</v>
      </c>
      <c r="I35" s="33">
        <f t="shared" si="12"/>
        <v>53.252219300500208</v>
      </c>
    </row>
    <row r="36" spans="1:9" x14ac:dyDescent="0.2">
      <c r="A36" s="16">
        <v>1617</v>
      </c>
      <c r="B36" s="14">
        <v>21958</v>
      </c>
      <c r="C36" s="14">
        <v>23631</v>
      </c>
      <c r="D36" s="33">
        <f t="shared" si="7"/>
        <v>53.745863128408345</v>
      </c>
      <c r="E36" s="11">
        <f t="shared" si="8"/>
        <v>24013.268799999998</v>
      </c>
      <c r="F36" s="11">
        <f t="shared" si="9"/>
        <v>23631</v>
      </c>
      <c r="G36" s="89">
        <f t="shared" si="10"/>
        <v>1.5919065545961786</v>
      </c>
      <c r="H36" s="33">
        <f t="shared" si="11"/>
        <v>21608.449158741772</v>
      </c>
      <c r="I36" s="33">
        <f t="shared" si="12"/>
        <v>53.745863128408345</v>
      </c>
    </row>
    <row r="37" spans="1:9" x14ac:dyDescent="0.2">
      <c r="A37" s="16">
        <v>1637</v>
      </c>
      <c r="B37" s="14">
        <v>35058</v>
      </c>
      <c r="C37" s="14">
        <v>36984</v>
      </c>
      <c r="D37" s="33">
        <f t="shared" si="7"/>
        <v>54.644435657025461</v>
      </c>
      <c r="E37" s="11">
        <f t="shared" si="8"/>
        <v>38339.428799999994</v>
      </c>
      <c r="F37" s="11">
        <f t="shared" si="9"/>
        <v>36984</v>
      </c>
      <c r="G37" s="89">
        <f t="shared" si="10"/>
        <v>3.535339055442563</v>
      </c>
      <c r="H37" s="33">
        <f t="shared" si="11"/>
        <v>33818.580833942942</v>
      </c>
      <c r="I37" s="33">
        <f t="shared" si="12"/>
        <v>54.644435657025461</v>
      </c>
    </row>
    <row r="38" spans="1:9" x14ac:dyDescent="0.2">
      <c r="A38" s="16">
        <v>1642</v>
      </c>
      <c r="B38" s="14">
        <v>23485</v>
      </c>
      <c r="C38" s="14">
        <v>25567</v>
      </c>
      <c r="D38" s="33">
        <f t="shared" si="1"/>
        <v>53.235322519493444</v>
      </c>
      <c r="E38" s="11">
        <f t="shared" si="2"/>
        <v>25683.195999999996</v>
      </c>
      <c r="F38" s="11">
        <f t="shared" si="0"/>
        <v>25567</v>
      </c>
      <c r="G38" s="89">
        <f t="shared" si="6"/>
        <v>0.45242032961940026</v>
      </c>
      <c r="H38" s="33">
        <f t="shared" si="3"/>
        <v>23378.749085588883</v>
      </c>
      <c r="I38" s="33">
        <f t="shared" si="5"/>
        <v>53.235322519493444</v>
      </c>
    </row>
    <row r="39" spans="1:9" x14ac:dyDescent="0.2">
      <c r="A39" s="16" t="s">
        <v>242</v>
      </c>
      <c r="B39" s="14">
        <v>16459</v>
      </c>
      <c r="C39" s="14">
        <v>17672</v>
      </c>
      <c r="D39" s="33">
        <f t="shared" ref="D39:D46" si="13">I39</f>
        <v>53.849407706651945</v>
      </c>
      <c r="E39" s="11">
        <f t="shared" ref="E39:E46" si="14">B39 * 1.0936</f>
        <v>17999.562399999999</v>
      </c>
      <c r="F39" s="11">
        <f t="shared" ref="F39:F46" si="15">C39</f>
        <v>17672</v>
      </c>
      <c r="G39" s="89">
        <f t="shared" ref="G39:G46" si="16">100- (F39/E39 *100)</f>
        <v>1.8198353533305749</v>
      </c>
      <c r="H39" s="33">
        <f t="shared" ref="H39:H46" si="17">F39/1.0936</f>
        <v>16159.473299195319</v>
      </c>
      <c r="I39" s="33">
        <f t="shared" ref="I39:I46" si="18">((B39*48)+(H39*10))/C39</f>
        <v>53.849407706651945</v>
      </c>
    </row>
    <row r="40" spans="1:9" x14ac:dyDescent="0.2">
      <c r="A40" s="16">
        <v>1634</v>
      </c>
      <c r="B40" s="14">
        <v>18531</v>
      </c>
      <c r="C40" s="14">
        <v>19961</v>
      </c>
      <c r="D40" s="33">
        <f t="shared" si="13"/>
        <v>53.705405716714523</v>
      </c>
      <c r="E40" s="11">
        <f t="shared" si="14"/>
        <v>20265.5016</v>
      </c>
      <c r="F40" s="11">
        <f t="shared" si="15"/>
        <v>19961</v>
      </c>
      <c r="G40" s="89">
        <f t="shared" si="16"/>
        <v>1.5025613775086555</v>
      </c>
      <c r="H40" s="33">
        <f t="shared" si="17"/>
        <v>18252.56035113387</v>
      </c>
      <c r="I40" s="33">
        <f t="shared" si="18"/>
        <v>53.705405716714523</v>
      </c>
    </row>
    <row r="41" spans="1:9" x14ac:dyDescent="0.2">
      <c r="A41" s="16">
        <v>1645</v>
      </c>
      <c r="B41" s="14">
        <v>8547</v>
      </c>
      <c r="C41" s="14">
        <v>9238</v>
      </c>
      <c r="D41" s="33">
        <f t="shared" si="13"/>
        <v>53.553723662623753</v>
      </c>
      <c r="E41" s="11">
        <f t="shared" si="14"/>
        <v>9346.9991999999984</v>
      </c>
      <c r="F41" s="11">
        <f t="shared" si="15"/>
        <v>9238</v>
      </c>
      <c r="G41" s="89">
        <f t="shared" si="16"/>
        <v>1.1661411076187846</v>
      </c>
      <c r="H41" s="33">
        <f t="shared" si="17"/>
        <v>8447.3299195318214</v>
      </c>
      <c r="I41" s="33">
        <f t="shared" si="18"/>
        <v>53.553723662623753</v>
      </c>
    </row>
    <row r="42" spans="1:9" x14ac:dyDescent="0.2">
      <c r="A42" s="16">
        <v>1638</v>
      </c>
      <c r="B42" s="14">
        <v>13542</v>
      </c>
      <c r="C42" s="14">
        <v>14736</v>
      </c>
      <c r="D42" s="33">
        <f t="shared" si="13"/>
        <v>53.254860378059846</v>
      </c>
      <c r="E42" s="11">
        <f t="shared" si="14"/>
        <v>14809.531199999999</v>
      </c>
      <c r="F42" s="11">
        <f t="shared" si="15"/>
        <v>14736</v>
      </c>
      <c r="G42" s="89">
        <f t="shared" si="16"/>
        <v>0.4965126782676208</v>
      </c>
      <c r="H42" s="33">
        <f t="shared" si="17"/>
        <v>13474.762253108998</v>
      </c>
      <c r="I42" s="33">
        <f t="shared" si="18"/>
        <v>53.254860378059846</v>
      </c>
    </row>
    <row r="43" spans="1:9" x14ac:dyDescent="0.2">
      <c r="A43" s="16" t="s">
        <v>94</v>
      </c>
      <c r="B43" s="14"/>
      <c r="C43" s="14"/>
      <c r="D43" s="33" t="e">
        <f t="shared" si="13"/>
        <v>#DIV/0!</v>
      </c>
      <c r="E43" s="11">
        <f t="shared" si="14"/>
        <v>0</v>
      </c>
      <c r="F43" s="11">
        <f t="shared" si="15"/>
        <v>0</v>
      </c>
      <c r="G43" s="89" t="e">
        <f t="shared" si="16"/>
        <v>#DIV/0!</v>
      </c>
      <c r="H43" s="33">
        <f t="shared" si="17"/>
        <v>0</v>
      </c>
      <c r="I43" s="33" t="e">
        <f t="shared" si="18"/>
        <v>#DIV/0!</v>
      </c>
    </row>
    <row r="44" spans="1:9" x14ac:dyDescent="0.2">
      <c r="A44" s="16" t="s">
        <v>18</v>
      </c>
      <c r="B44" s="35">
        <v>100721</v>
      </c>
      <c r="C44" s="35">
        <v>1070855</v>
      </c>
      <c r="D44" s="33">
        <f t="shared" si="13"/>
        <v>13.658828871256185</v>
      </c>
      <c r="E44" s="11">
        <f t="shared" si="14"/>
        <v>110148.48559999999</v>
      </c>
      <c r="F44" s="11">
        <f t="shared" si="15"/>
        <v>1070855</v>
      </c>
      <c r="G44" s="89">
        <f t="shared" si="16"/>
        <v>-872.19221323547652</v>
      </c>
      <c r="H44" s="33">
        <f t="shared" si="17"/>
        <v>979201.71909290424</v>
      </c>
      <c r="I44" s="33">
        <f t="shared" si="18"/>
        <v>13.658828871256185</v>
      </c>
    </row>
    <row r="45" spans="1:9" x14ac:dyDescent="0.2">
      <c r="D45" s="33" t="e">
        <f t="shared" si="13"/>
        <v>#DIV/0!</v>
      </c>
      <c r="E45" s="11">
        <f t="shared" si="14"/>
        <v>0</v>
      </c>
      <c r="F45" s="11">
        <f t="shared" si="15"/>
        <v>0</v>
      </c>
      <c r="G45" s="89" t="e">
        <f t="shared" si="16"/>
        <v>#DIV/0!</v>
      </c>
      <c r="H45" s="33">
        <f t="shared" si="17"/>
        <v>0</v>
      </c>
      <c r="I45" s="33" t="e">
        <f t="shared" si="18"/>
        <v>#DIV/0!</v>
      </c>
    </row>
    <row r="46" spans="1:9" x14ac:dyDescent="0.2">
      <c r="D46" s="33" t="e">
        <f t="shared" si="13"/>
        <v>#DIV/0!</v>
      </c>
      <c r="E46" s="11">
        <f t="shared" si="14"/>
        <v>0</v>
      </c>
      <c r="F46" s="11">
        <f t="shared" si="15"/>
        <v>0</v>
      </c>
      <c r="G46" s="89"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21"/>
  <sheetViews>
    <sheetView workbookViewId="0">
      <selection activeCell="L15" sqref="L15"/>
    </sheetView>
  </sheetViews>
  <sheetFormatPr defaultRowHeight="15" x14ac:dyDescent="0.2"/>
  <cols>
    <col min="2" max="2" width="10.35546875" bestFit="1" customWidth="1"/>
    <col min="4" max="4" width="9.28125" customWidth="1"/>
    <col min="8" max="8" width="10.35546875" bestFit="1" customWidth="1"/>
    <col min="10" max="10" width="9.28125" customWidth="1"/>
  </cols>
  <sheetData>
    <row r="2" spans="2:10" x14ac:dyDescent="0.2">
      <c r="B2" t="s">
        <v>21</v>
      </c>
      <c r="C2" t="s">
        <v>55</v>
      </c>
      <c r="D2" t="s">
        <v>56</v>
      </c>
      <c r="E2" t="s">
        <v>62</v>
      </c>
      <c r="H2" t="s">
        <v>21</v>
      </c>
      <c r="I2" t="s">
        <v>55</v>
      </c>
      <c r="J2" t="s">
        <v>56</v>
      </c>
    </row>
    <row r="3" spans="2:10" x14ac:dyDescent="0.2">
      <c r="B3" s="1">
        <v>45873</v>
      </c>
      <c r="C3" t="s">
        <v>39</v>
      </c>
      <c r="D3">
        <f>SUMIFS(Table14[Debit], Table14[Date], Table5[[#This Row],[Date]], Table14[Party], "Rashan")</f>
        <v>2890</v>
      </c>
      <c r="H3" s="1">
        <v>45873</v>
      </c>
      <c r="I3" t="s">
        <v>40</v>
      </c>
      <c r="J3">
        <f>SUMIFS(Table14[Debit], Table14[Date], Table15[[#This Row],[Date]], Table14[Party], "Parts")</f>
        <v>7400</v>
      </c>
    </row>
    <row r="4" spans="2:10" x14ac:dyDescent="0.2">
      <c r="B4" s="1">
        <v>45874</v>
      </c>
      <c r="C4" t="s">
        <v>39</v>
      </c>
      <c r="D4">
        <f>SUMIFS(Table14[Debit], Table14[Date], Table5[[#This Row],[Date]], Table14[Party], "Rashan")</f>
        <v>15170</v>
      </c>
      <c r="E4" t="s">
        <v>51</v>
      </c>
      <c r="H4" s="1">
        <v>45874</v>
      </c>
      <c r="I4" t="s">
        <v>40</v>
      </c>
      <c r="J4">
        <f>SUMIFS(Table14[Debit], Table14[Date], Table15[[#This Row],[Date]], Table14[Party], "Parts")</f>
        <v>4380</v>
      </c>
    </row>
    <row r="5" spans="2:10" x14ac:dyDescent="0.2">
      <c r="B5" s="1">
        <v>45875</v>
      </c>
      <c r="D5">
        <f>SUMIFS(Table14[Debit], Table14[Date], Table5[[#This Row],[Date]], Table14[Party], "Rashan")</f>
        <v>0</v>
      </c>
      <c r="H5" s="1">
        <v>45875</v>
      </c>
      <c r="I5" t="s">
        <v>40</v>
      </c>
      <c r="J5">
        <f>SUMIFS(Table14[Debit], Table14[Date], Table15[[#This Row],[Date]], Table14[Party], "Parts")</f>
        <v>10480</v>
      </c>
    </row>
    <row r="6" spans="2:10" x14ac:dyDescent="0.2">
      <c r="B6" s="1">
        <v>45876</v>
      </c>
      <c r="C6" t="s">
        <v>39</v>
      </c>
      <c r="D6">
        <f>SUMIFS(Table14[Debit], Table14[Date], Table5[[#This Row],[Date]], Table14[Party], "Rashan")</f>
        <v>3620</v>
      </c>
      <c r="H6" s="1">
        <v>45876</v>
      </c>
      <c r="I6" t="s">
        <v>40</v>
      </c>
      <c r="J6">
        <f>SUMIFS(Table14[Debit], Table14[Date], Table15[[#This Row],[Date]], Table14[Party], "Parts")</f>
        <v>33810</v>
      </c>
    </row>
    <row r="7" spans="2:10" x14ac:dyDescent="0.2">
      <c r="B7" s="1">
        <v>45877</v>
      </c>
      <c r="C7" t="s">
        <v>39</v>
      </c>
      <c r="D7">
        <f>SUMIFS(Table14[Debit], Table14[Date], Table5[[#This Row],[Date]], Table14[Party], "Rashan")</f>
        <v>1620</v>
      </c>
      <c r="H7" s="1">
        <v>45877</v>
      </c>
      <c r="I7" t="s">
        <v>40</v>
      </c>
      <c r="J7">
        <f>SUMIFS(Table14[Debit], Table14[Date], Table15[[#This Row],[Date]], Table14[Party], "Parts")</f>
        <v>1250</v>
      </c>
    </row>
    <row r="8" spans="2:10" x14ac:dyDescent="0.2">
      <c r="B8" s="1">
        <v>45878</v>
      </c>
      <c r="C8" t="s">
        <v>39</v>
      </c>
      <c r="D8">
        <f>SUMIFS(Table14[Debit], Table14[Date], Table5[[#This Row],[Date]], Table14[Party], "Rashan")</f>
        <v>1790</v>
      </c>
      <c r="H8" s="1">
        <v>45878</v>
      </c>
      <c r="I8" t="s">
        <v>40</v>
      </c>
      <c r="J8">
        <f>SUMIFS(Table14[Debit], Table14[Date], Table15[[#This Row],[Date]], Table14[Party], "Parts")</f>
        <v>8610</v>
      </c>
    </row>
    <row r="9" spans="2:10" x14ac:dyDescent="0.2">
      <c r="B9" s="1">
        <v>45879</v>
      </c>
      <c r="C9" t="s">
        <v>39</v>
      </c>
      <c r="D9">
        <f>SUMIFS(Table14[Debit], Table14[Date], Table5[[#This Row],[Date]], Table14[Party], "Rashan")</f>
        <v>1750</v>
      </c>
      <c r="H9" s="1">
        <v>45879</v>
      </c>
      <c r="I9" t="s">
        <v>40</v>
      </c>
      <c r="J9">
        <f>SUMIFS(Table14[Debit], Table14[Date], Table15[[#This Row],[Date]], Table14[Party], "Parts")</f>
        <v>0</v>
      </c>
    </row>
    <row r="10" spans="2:10" x14ac:dyDescent="0.2">
      <c r="B10" s="1">
        <v>45880</v>
      </c>
      <c r="C10" t="s">
        <v>39</v>
      </c>
      <c r="D10">
        <f>SUMIFS(Table14[Debit], Table14[Date], Table5[[#This Row],[Date]], Table14[Party], "Rashan")</f>
        <v>2400</v>
      </c>
      <c r="H10" s="1">
        <v>45880</v>
      </c>
      <c r="I10" t="s">
        <v>40</v>
      </c>
      <c r="J10">
        <f>SUMIFS(Table14[Debit], Table14[Date], Table15[[#This Row],[Date]], Table14[Party], "Parts")</f>
        <v>60000</v>
      </c>
    </row>
    <row r="11" spans="2:10" x14ac:dyDescent="0.2">
      <c r="B11" s="1">
        <v>45881</v>
      </c>
      <c r="C11" t="s">
        <v>39</v>
      </c>
      <c r="D11">
        <f>SUMIFS(Table14[Debit], Table14[Date], Table5[[#This Row],[Date]], Table14[Party], "Rashan")</f>
        <v>1830</v>
      </c>
      <c r="H11" s="1">
        <v>45881</v>
      </c>
      <c r="I11" t="s">
        <v>40</v>
      </c>
      <c r="J11">
        <f>SUMIFS(Table14[Debit], Table14[Date], Table15[[#This Row],[Date]], Table14[Party], "Parts")</f>
        <v>77150</v>
      </c>
    </row>
    <row r="12" spans="2:10" x14ac:dyDescent="0.2">
      <c r="B12" s="1">
        <v>45882</v>
      </c>
      <c r="C12" t="s">
        <v>39</v>
      </c>
      <c r="D12">
        <f>SUMIFS(Table14[Debit], Table14[Date], Table5[[#This Row],[Date]], Table14[Party], "Rashan")</f>
        <v>1430</v>
      </c>
      <c r="H12" s="1">
        <v>45882</v>
      </c>
      <c r="I12" t="s">
        <v>40</v>
      </c>
      <c r="J12">
        <f>SUMIFS(Table14[Debit], Table14[Date], Table15[[#This Row],[Date]], Table14[Party], "Parts")</f>
        <v>37400</v>
      </c>
    </row>
    <row r="13" spans="2:10" x14ac:dyDescent="0.2">
      <c r="B13" s="1">
        <v>45883</v>
      </c>
      <c r="C13" t="s">
        <v>39</v>
      </c>
      <c r="D13">
        <f>SUMIFS(Table14[Debit], Table14[Date], Table5[[#This Row],[Date]], Table14[Party], "Rashan")</f>
        <v>2400</v>
      </c>
      <c r="H13" s="1">
        <v>45883</v>
      </c>
      <c r="J13">
        <f>SUMIFS(Table14[Debit], Table14[Date], Table15[[#This Row],[Date]], Table14[Party], "Parts")</f>
        <v>0</v>
      </c>
    </row>
    <row r="14" spans="2:10" x14ac:dyDescent="0.2">
      <c r="B14" s="1">
        <v>45884</v>
      </c>
      <c r="C14" t="s">
        <v>39</v>
      </c>
      <c r="D14">
        <f>SUMIFS(Table14[Debit], Table14[Date], Table5[[#This Row],[Date]], Table14[Party], "Rashan")</f>
        <v>14620</v>
      </c>
      <c r="H14" s="1">
        <v>45884</v>
      </c>
      <c r="J14">
        <f>SUMIFS(Table14[Debit], Table14[Date], Table15[[#This Row],[Date]], Table14[Party], "Parts")</f>
        <v>0</v>
      </c>
    </row>
    <row r="15" spans="2:10" x14ac:dyDescent="0.2">
      <c r="B15" s="1">
        <v>45885</v>
      </c>
      <c r="C15" t="s">
        <v>39</v>
      </c>
      <c r="D15">
        <f>SUMIFS(Table14[Debit], Table14[Date], Table5[[#This Row],[Date]], Table14[Party], "Rashan")</f>
        <v>2915</v>
      </c>
      <c r="H15" s="1">
        <v>45885</v>
      </c>
      <c r="I15" t="s">
        <v>222</v>
      </c>
      <c r="J15">
        <f>SUMIFS(Table14[Debit], Table14[Date], Table15[[#This Row],[Date]], Table14[Party], "Parts")</f>
        <v>80000</v>
      </c>
    </row>
    <row r="16" spans="2:10" x14ac:dyDescent="0.2">
      <c r="B16" s="1"/>
      <c r="D16">
        <f>SUMIFS(Table14[Debit], Table14[Date], Table5[[#This Row],[Date]], Table14[Party], "Rashan")</f>
        <v>0</v>
      </c>
      <c r="H16" s="1">
        <v>45886</v>
      </c>
      <c r="J16">
        <f>SUMIFS(Table14[Debit], Table14[Date], Table15[[#This Row],[Date]], Table14[Party], "Parts")</f>
        <v>0</v>
      </c>
    </row>
    <row r="17" spans="2:10" x14ac:dyDescent="0.2">
      <c r="B17" s="1"/>
      <c r="D17">
        <f>SUM(Table5[Amount])</f>
        <v>52435</v>
      </c>
      <c r="H17" s="1">
        <v>45887</v>
      </c>
      <c r="J17">
        <f>SUMIFS(Table14[Debit], Table14[Date], Table15[[#This Row],[Date]], Table14[Party], "Parts")</f>
        <v>0</v>
      </c>
    </row>
    <row r="18" spans="2:10" x14ac:dyDescent="0.2">
      <c r="H18" s="1"/>
      <c r="J18">
        <f>SUMIFS(Table14[Debit], Table14[Date], Table15[[#This Row],[Date]], Table14[Party], "Parts")</f>
        <v>0</v>
      </c>
    </row>
    <row r="19" spans="2:10" x14ac:dyDescent="0.2">
      <c r="H19" s="1"/>
      <c r="J19">
        <f>SUMIFS(Table14[Debit], Table14[Date], Table15[[#This Row],[Date]], Table14[Party], "Parts")</f>
        <v>0</v>
      </c>
    </row>
    <row r="20" spans="2:10" x14ac:dyDescent="0.2">
      <c r="H20" s="1"/>
      <c r="J20">
        <f>SUMIFS(Table14[Debit], Table14[Date], Table15[[#This Row],[Date]], Table14[Party], "Parts")</f>
        <v>0</v>
      </c>
    </row>
    <row r="21" spans="2:10" x14ac:dyDescent="0.2">
      <c r="H21" s="1"/>
      <c r="J21">
        <f>SUM(Table15[Amount])</f>
        <v>320480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17</vt:i4>
      </vt:variant>
    </vt:vector>
  </HeadingPairs>
  <TitlesOfParts>
    <vt:vector size="17" baseType="lpstr">
      <vt:lpstr>Billing</vt:lpstr>
      <vt:lpstr>Balance</vt:lpstr>
      <vt:lpstr>Bill Print</vt:lpstr>
      <vt:lpstr>Expenses</vt:lpstr>
      <vt:lpstr>Profit</vt:lpstr>
      <vt:lpstr>Transport</vt:lpstr>
      <vt:lpstr>ledger</vt:lpstr>
      <vt:lpstr>ledger2</vt:lpstr>
      <vt:lpstr>Wood</vt:lpstr>
      <vt:lpstr>Cashbook</vt:lpstr>
      <vt:lpstr>Dyes</vt:lpstr>
      <vt:lpstr>Finish</vt:lpstr>
      <vt:lpstr>Electricity</vt:lpstr>
      <vt:lpstr>Miscellaneous</vt:lpstr>
      <vt:lpstr>Salary Acc</vt:lpstr>
      <vt:lpstr>pivot </vt:lpstr>
      <vt:lpstr>Running Acc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2025-09-26T21:45:07Z</cp:lastPrinted>
  <dcterms:created xsi:type="dcterms:W3CDTF">2025-06-24T04:42:48Z</dcterms:created>
  <dcterms:modified xsi:type="dcterms:W3CDTF">2025-09-26T21:45:07Z</dcterms:modified>
  <cp:category/>
  <cp:contentStatus/>
</cp:coreProperties>
</file>