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884" documentId="8_{4BA2F63F-AD4E-4F04-A724-5F712AF3C5FD}" xr6:coauthVersionLast="47" xr6:coauthVersionMax="47" xr10:uidLastSave="{2F8E189A-E8C2-4365-85CD-4A26DA3D6CFB}"/>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3" r:id="rId20"/>
    <pivotCache cacheId="18" r:id="rId21"/>
    <pivotCache cacheId="24"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4" i="1" l="1"/>
  <c r="J44" i="1" a="1"/>
  <c r="J44" i="1" s="1"/>
  <c r="I45" i="1"/>
  <c r="J45" i="1" a="1"/>
  <c r="J45" i="1" s="1"/>
  <c r="I46" i="1"/>
  <c r="J46" i="1" a="1"/>
  <c r="J46" i="1" s="1"/>
  <c r="I47" i="1"/>
  <c r="J47" i="1" a="1"/>
  <c r="J47" i="1" s="1"/>
  <c r="C37" i="17"/>
  <c r="C48" i="17"/>
  <c r="I43" i="1"/>
  <c r="J43" i="1" s="1" a="1"/>
  <c r="J43" i="1" s="1"/>
  <c r="I42" i="1"/>
  <c r="J42" i="1" s="1" a="1"/>
  <c r="J42" i="1" s="1"/>
  <c r="I41" i="1"/>
  <c r="J41" i="1" s="1" a="1"/>
  <c r="J41" i="1" s="1"/>
  <c r="I40" i="1"/>
  <c r="J40" i="1" s="1" a="1"/>
  <c r="J40" i="1" s="1"/>
  <c r="I39" i="1"/>
  <c r="I38" i="1"/>
  <c r="I37" i="1"/>
  <c r="I36" i="1"/>
  <c r="I35" i="1"/>
  <c r="J35" i="1" s="1" a="1"/>
  <c r="J35" i="1" s="1"/>
  <c r="I34" i="1"/>
  <c r="J34" i="1" s="1" a="1"/>
  <c r="J34" i="1" s="1"/>
  <c r="I33" i="1"/>
  <c r="I32" i="1"/>
  <c r="I31" i="1"/>
  <c r="J31" i="1" s="1" a="1"/>
  <c r="J31" i="1" s="1"/>
  <c r="I30" i="1"/>
  <c r="J30" i="1" s="1" a="1"/>
  <c r="J30" i="1" s="1"/>
  <c r="I29" i="1"/>
  <c r="J29" i="1" s="1" a="1"/>
  <c r="J29" i="1" s="1"/>
  <c r="I28" i="1"/>
  <c r="J28" i="1" s="1" a="1"/>
  <c r="J28" i="1" s="1"/>
  <c r="I27" i="1"/>
  <c r="I26" i="1"/>
  <c r="I25" i="1"/>
  <c r="I24" i="1"/>
  <c r="I23" i="1"/>
  <c r="J23" i="1" s="1" a="1"/>
  <c r="J23" i="1" s="1"/>
  <c r="I22" i="1"/>
  <c r="J22" i="1" s="1" a="1"/>
  <c r="J22" i="1" s="1"/>
  <c r="I21" i="1"/>
  <c r="I20" i="1"/>
  <c r="I19" i="1"/>
  <c r="J19" i="1" s="1" a="1"/>
  <c r="J19" i="1" s="1"/>
  <c r="I18" i="1"/>
  <c r="J18" i="1" a="1"/>
  <c r="J18" i="1" s="1"/>
  <c r="I17" i="1"/>
  <c r="J17" i="1" s="1" a="1"/>
  <c r="J17" i="1" s="1"/>
  <c r="I16" i="1"/>
  <c r="J16" i="1" s="1" a="1"/>
  <c r="J16" i="1" s="1"/>
  <c r="I15" i="1"/>
  <c r="J15" i="1" a="1"/>
  <c r="J15" i="1" s="1"/>
  <c r="I14" i="1"/>
  <c r="I13" i="1"/>
  <c r="I12" i="1"/>
  <c r="I11" i="1"/>
  <c r="J11" i="1" s="1" a="1"/>
  <c r="J11" i="1" s="1"/>
  <c r="I10" i="1"/>
  <c r="J10" i="1" s="1" a="1"/>
  <c r="J10" i="1" s="1"/>
  <c r="I9" i="1"/>
  <c r="I8" i="1"/>
  <c r="I7" i="1"/>
  <c r="J7" i="1" a="1"/>
  <c r="J7" i="1" s="1"/>
  <c r="I6" i="1"/>
  <c r="I5" i="1"/>
  <c r="J5" i="1" s="1" a="1"/>
  <c r="J5" i="1" s="1"/>
  <c r="I4" i="1"/>
  <c r="J4" i="1" s="1" a="1"/>
  <c r="J4" i="1" s="1"/>
  <c r="I3" i="1"/>
  <c r="J3" i="1" s="1" a="1"/>
  <c r="J3" i="1" s="1"/>
  <c r="I2" i="1"/>
  <c r="J2" i="1" s="1" a="1"/>
  <c r="J2" i="1" s="1"/>
  <c r="P24" i="9" a="1"/>
  <c r="P24" i="9" s="1"/>
  <c r="Q24" i="9" a="1"/>
  <c r="Q24" i="9" s="1"/>
  <c r="R24" i="9" a="1"/>
  <c r="R24" i="9" s="1"/>
  <c r="S24" i="9" a="1"/>
  <c r="S24" i="9" s="1"/>
  <c r="T24" i="9" a="1"/>
  <c r="T24" i="9" s="1"/>
  <c r="U24" i="9" a="1"/>
  <c r="U24" i="9" s="1"/>
  <c r="W24" i="9"/>
  <c r="P25" i="9" a="1"/>
  <c r="P25" i="9" s="1"/>
  <c r="Q25" i="9" a="1"/>
  <c r="Q25" i="9" s="1"/>
  <c r="R25" i="9" a="1"/>
  <c r="R25" i="9" s="1"/>
  <c r="S25" i="9" a="1"/>
  <c r="S25" i="9" s="1"/>
  <c r="T25" i="9" a="1"/>
  <c r="T25" i="9" s="1"/>
  <c r="U25" i="9" a="1"/>
  <c r="U25" i="9" s="1"/>
  <c r="W25" i="9"/>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P28" i="9" a="1"/>
  <c r="P28" i="9" s="1"/>
  <c r="Q28" i="9" a="1"/>
  <c r="Q28" i="9" s="1"/>
  <c r="R28" i="9" a="1"/>
  <c r="R28" i="9" s="1"/>
  <c r="S28" i="9" a="1"/>
  <c r="S28" i="9" s="1"/>
  <c r="T28" i="9" a="1"/>
  <c r="T28" i="9" s="1"/>
  <c r="U28" i="9" a="1"/>
  <c r="U28" i="9" s="1"/>
  <c r="W28" i="9"/>
  <c r="P29" i="9" a="1"/>
  <c r="P29" i="9" s="1"/>
  <c r="Q29" i="9" a="1"/>
  <c r="Q29" i="9" s="1"/>
  <c r="R29" i="9" a="1"/>
  <c r="R29" i="9" s="1"/>
  <c r="S29" i="9" a="1"/>
  <c r="S29" i="9" s="1"/>
  <c r="T29" i="9" a="1"/>
  <c r="T29" i="9" s="1"/>
  <c r="U29" i="9" a="1"/>
  <c r="U29" i="9" s="1"/>
  <c r="W29" i="9"/>
  <c r="P30" i="9" a="1"/>
  <c r="P30" i="9" s="1"/>
  <c r="Q30" i="9" a="1"/>
  <c r="Q30" i="9" s="1"/>
  <c r="R30" i="9" a="1"/>
  <c r="R30" i="9" s="1"/>
  <c r="S30" i="9" a="1"/>
  <c r="S30" i="9" s="1"/>
  <c r="T30" i="9" a="1"/>
  <c r="T30" i="9" s="1"/>
  <c r="U30" i="9" a="1"/>
  <c r="U30" i="9" s="1"/>
  <c r="W30" i="9"/>
  <c r="P31" i="9" a="1"/>
  <c r="P31" i="9" s="1"/>
  <c r="Q31" i="9" a="1"/>
  <c r="Q31" i="9" s="1"/>
  <c r="R31" i="9" a="1"/>
  <c r="R31" i="9" s="1"/>
  <c r="S31" i="9" a="1"/>
  <c r="S31" i="9" s="1"/>
  <c r="T31" i="9" a="1"/>
  <c r="T31" i="9" s="1"/>
  <c r="U31" i="9" a="1"/>
  <c r="U31" i="9" s="1"/>
  <c r="W31" i="9"/>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J8" i="1" a="1"/>
  <c r="J8" i="1" s="1"/>
  <c r="J12" i="1" a="1"/>
  <c r="J12" i="1" s="1"/>
  <c r="J20" i="1" a="1"/>
  <c r="J20" i="1" s="1"/>
  <c r="J24" i="1" a="1"/>
  <c r="J24" i="1" s="1"/>
  <c r="J32" i="1" a="1"/>
  <c r="J32" i="1" s="1"/>
  <c r="J36" i="1" a="1"/>
  <c r="J36" i="1" s="1"/>
  <c r="J9" i="1" a="1"/>
  <c r="J9" i="1" s="1"/>
  <c r="J13" i="1" a="1"/>
  <c r="J13" i="1" s="1"/>
  <c r="J21" i="1" a="1"/>
  <c r="J21" i="1" s="1"/>
  <c r="J25" i="1" a="1"/>
  <c r="J25" i="1" s="1"/>
  <c r="J33" i="1" a="1"/>
  <c r="J33" i="1" s="1"/>
  <c r="J37" i="1" a="1"/>
  <c r="J37" i="1" s="1"/>
  <c r="J14" i="1" a="1"/>
  <c r="J14" i="1" s="1"/>
  <c r="J26" i="1" a="1"/>
  <c r="J26" i="1" s="1"/>
  <c r="J38" i="1" a="1"/>
  <c r="J38" i="1" s="1"/>
  <c r="J27" i="1" a="1"/>
  <c r="J27" i="1" s="1"/>
  <c r="J39" i="1" a="1"/>
  <c r="J39" i="1" s="1"/>
  <c r="H11" i="6"/>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F8" i="15"/>
  <c r="F9" i="15"/>
  <c r="G8" i="15"/>
  <c r="H8" i="15" s="1"/>
  <c r="G9" i="15"/>
  <c r="H9" i="15" s="1"/>
  <c r="B84" i="9" a="1"/>
  <c r="B84" i="9" s="1"/>
  <c r="D2" i="17"/>
  <c r="D3" i="17"/>
  <c r="I48" i="1" a="1"/>
  <c r="I48" i="1"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C16" i="10"/>
  <c r="A22" i="20"/>
  <c r="A23" i="20"/>
  <c r="A24" i="20"/>
  <c r="A25" i="20"/>
  <c r="A26" i="20"/>
  <c r="A27" i="20"/>
  <c r="A28" i="20"/>
  <c r="B25" i="20"/>
  <c r="B26" i="20"/>
  <c r="A21" i="20"/>
  <c r="O5" i="9" a="1"/>
  <c r="O5" i="9" s="1"/>
  <c r="B49" i="9" a="1"/>
  <c r="G64" i="9" a="1"/>
  <c r="G64" i="9" s="1"/>
  <c r="H64" i="9" a="1"/>
  <c r="H64" i="9" s="1"/>
  <c r="J64" i="9"/>
  <c r="G68" i="9" a="1"/>
  <c r="G68" i="9" s="1"/>
  <c r="H68" i="9" a="1"/>
  <c r="H68" i="9" s="1"/>
  <c r="J68" i="9"/>
  <c r="G69" i="9" a="1"/>
  <c r="G69" i="9" s="1"/>
  <c r="H69" i="9" a="1"/>
  <c r="H69" i="9" s="1"/>
  <c r="J69"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J1"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E16" i="2"/>
  <c r="E17" i="2"/>
  <c r="E18" i="2"/>
  <c r="E19" i="2"/>
  <c r="E7" i="2"/>
  <c r="E8" i="2"/>
  <c r="E9" i="2"/>
  <c r="E10" i="2"/>
  <c r="G10" i="2" s="1"/>
  <c r="E11" i="2"/>
  <c r="E12" i="2"/>
  <c r="E13" i="2"/>
  <c r="G13" i="2" s="1"/>
  <c r="H47" i="1" s="1"/>
  <c r="E14" i="2"/>
  <c r="G14" i="2" s="1"/>
  <c r="E5" i="2"/>
  <c r="E6" i="2"/>
  <c r="E4" i="2"/>
  <c r="F13" i="2"/>
  <c r="H13" i="2"/>
  <c r="I13" i="2" s="1"/>
  <c r="D13" i="2" s="1"/>
  <c r="F14" i="2"/>
  <c r="H14" i="2" s="1"/>
  <c r="I14" i="2" s="1"/>
  <c r="D14" i="2" s="1"/>
  <c r="F15" i="2"/>
  <c r="F16" i="2"/>
  <c r="H16" i="2"/>
  <c r="I16" i="2"/>
  <c r="D16" i="2"/>
  <c r="F17" i="2"/>
  <c r="H17" i="2"/>
  <c r="I17" i="2"/>
  <c r="D17" i="2"/>
  <c r="F18" i="2"/>
  <c r="F19" i="2"/>
  <c r="H19" i="2"/>
  <c r="I19" i="2"/>
  <c r="D19" i="2"/>
  <c r="C8" i="8"/>
  <c r="F11" i="2"/>
  <c r="H11" i="2" s="1"/>
  <c r="I11" i="2" s="1"/>
  <c r="F10" i="2"/>
  <c r="H10" i="2"/>
  <c r="I10" i="2"/>
  <c r="D10" i="2" s="1"/>
  <c r="F6" i="2"/>
  <c r="G6" i="2" s="1"/>
  <c r="H6" i="2"/>
  <c r="I6" i="2"/>
  <c r="D6" i="2"/>
  <c r="F7" i="2"/>
  <c r="G7" i="2" s="1"/>
  <c r="H38" i="1" s="1"/>
  <c r="F8" i="2"/>
  <c r="H8" i="2"/>
  <c r="I8" i="2"/>
  <c r="D8" i="2" s="1"/>
  <c r="F9" i="2"/>
  <c r="G9" i="2" s="1"/>
  <c r="H41" i="1" s="1"/>
  <c r="H9" i="2"/>
  <c r="I9" i="2"/>
  <c r="D9" i="2"/>
  <c r="N3" i="7"/>
  <c r="N5" i="7"/>
  <c r="E6" i="11"/>
  <c r="D6" i="11"/>
  <c r="F12" i="2"/>
  <c r="H12" i="2"/>
  <c r="I12" i="2"/>
  <c r="D12" i="2" s="1"/>
  <c r="F5" i="2"/>
  <c r="G5" i="2" s="1"/>
  <c r="H5" i="2"/>
  <c r="I5" i="2"/>
  <c r="D5" i="2"/>
  <c r="F3" i="2"/>
  <c r="F4" i="2"/>
  <c r="H4" i="2" s="1"/>
  <c r="I4" i="2" s="1"/>
  <c r="D4" i="2" s="1"/>
  <c r="J15" i="14"/>
  <c r="C6" i="8"/>
  <c r="H92" i="2"/>
  <c r="I92" i="2"/>
  <c r="D92" i="2"/>
  <c r="G76" i="2"/>
  <c r="G88" i="2"/>
  <c r="G81" i="2"/>
  <c r="G72" i="2"/>
  <c r="G87" i="2"/>
  <c r="H94" i="2"/>
  <c r="I94" i="2"/>
  <c r="D94" i="2"/>
  <c r="G91" i="2"/>
  <c r="G90" i="2"/>
  <c r="H89" i="2"/>
  <c r="I89" i="2"/>
  <c r="D89" i="2"/>
  <c r="J85" i="9"/>
  <c r="D98" i="9"/>
  <c r="D92" i="9"/>
  <c r="Q13" i="9" s="1" a="1"/>
  <c r="Q13" i="9" s="1"/>
  <c r="F10" i="15"/>
  <c r="E8" i="7"/>
  <c r="C7" i="8"/>
  <c r="G83" i="2"/>
  <c r="G80" i="2"/>
  <c r="H98" i="2"/>
  <c r="I98" i="2"/>
  <c r="D98" i="2"/>
  <c r="H93" i="2"/>
  <c r="I93" i="2"/>
  <c r="D93" i="2"/>
  <c r="G85" i="2"/>
  <c r="H88" i="2"/>
  <c r="I88" i="2"/>
  <c r="D88" i="2"/>
  <c r="G41" i="2"/>
  <c r="H95" i="2"/>
  <c r="I95" i="2"/>
  <c r="D95" i="2"/>
  <c r="G84" i="2"/>
  <c r="H97" i="2"/>
  <c r="I97" i="2"/>
  <c r="D97" i="2"/>
  <c r="C72" i="17"/>
  <c r="K4" i="17" s="1"/>
  <c r="G71" i="2"/>
  <c r="G60" i="2"/>
  <c r="G50" i="2"/>
  <c r="G67" i="2"/>
  <c r="G8" i="2"/>
  <c r="G42" i="2"/>
  <c r="G36" i="2"/>
  <c r="G55" i="2"/>
  <c r="H72" i="2"/>
  <c r="I72" i="2"/>
  <c r="D72" i="2"/>
  <c r="G58" i="2"/>
  <c r="G35" i="2"/>
  <c r="G86" i="2"/>
  <c r="G70" i="2"/>
  <c r="G56" i="2"/>
  <c r="G39" i="2"/>
  <c r="G65" i="2"/>
  <c r="G44" i="2"/>
  <c r="G77" i="2"/>
  <c r="G16" i="6"/>
  <c r="C4" i="8"/>
  <c r="G75" i="2"/>
  <c r="G45" i="2"/>
  <c r="G64" i="2"/>
  <c r="G74" i="2"/>
  <c r="G68" i="2"/>
  <c r="G82" i="2"/>
  <c r="G78" i="2"/>
  <c r="H85" i="2"/>
  <c r="I85" i="2"/>
  <c r="D85" i="2"/>
  <c r="G12" i="2"/>
  <c r="H45" i="1" s="1"/>
  <c r="G22" i="2"/>
  <c r="G47" i="2"/>
  <c r="H10" i="1"/>
  <c r="G24" i="2"/>
  <c r="G46" i="2"/>
  <c r="G79" i="2"/>
  <c r="G16" i="2"/>
  <c r="G49" i="2"/>
  <c r="G26" i="2"/>
  <c r="G30" i="2"/>
  <c r="G52" i="2"/>
  <c r="G11" i="2"/>
  <c r="H43" i="1" s="1"/>
  <c r="G21" i="2"/>
  <c r="H56" i="2"/>
  <c r="I56" i="2"/>
  <c r="D56" i="2"/>
  <c r="G17" i="2"/>
  <c r="G53" i="2"/>
  <c r="G19" i="2"/>
  <c r="H82" i="2"/>
  <c r="I82" i="2"/>
  <c r="D82" i="2"/>
  <c r="G27" i="2"/>
  <c r="G34" i="2"/>
  <c r="G38" i="2"/>
  <c r="G37" i="2"/>
  <c r="G15" i="2"/>
  <c r="G28" i="2"/>
  <c r="G4" i="2"/>
  <c r="H26" i="2"/>
  <c r="I26" i="2"/>
  <c r="D26" i="2"/>
  <c r="G40" i="2"/>
  <c r="G59" i="2"/>
  <c r="G18" i="2"/>
  <c r="G29" i="2"/>
  <c r="G63" i="2"/>
  <c r="H74" i="2"/>
  <c r="I74" i="2"/>
  <c r="D74" i="2"/>
  <c r="G25" i="2"/>
  <c r="H81" i="2"/>
  <c r="I81" i="2"/>
  <c r="D81" i="2"/>
  <c r="H76" i="2"/>
  <c r="I76" i="2"/>
  <c r="D76" i="2"/>
  <c r="G20" i="2"/>
  <c r="G32" i="2"/>
  <c r="G43" i="2"/>
  <c r="G33" i="2"/>
  <c r="G73" i="2"/>
  <c r="G69" i="2"/>
  <c r="G66" i="2"/>
  <c r="G62" i="2"/>
  <c r="G57" i="2"/>
  <c r="H15" i="2"/>
  <c r="I15" i="2"/>
  <c r="D15" i="2"/>
  <c r="H33" i="2"/>
  <c r="I33" i="2"/>
  <c r="D33" i="2"/>
  <c r="G23" i="2"/>
  <c r="H41" i="2"/>
  <c r="I41" i="2"/>
  <c r="D41" i="2"/>
  <c r="H65" i="2"/>
  <c r="I65" i="2"/>
  <c r="D65" i="2"/>
  <c r="G51" i="2"/>
  <c r="G54" i="2"/>
  <c r="G48" i="2"/>
  <c r="G31" i="2"/>
  <c r="H36" i="2"/>
  <c r="I36" i="2"/>
  <c r="D36" i="2"/>
  <c r="H42" i="2"/>
  <c r="I42" i="2"/>
  <c r="D42" i="2"/>
  <c r="G61" i="2"/>
  <c r="H18" i="2"/>
  <c r="I18" i="2"/>
  <c r="D18" i="2"/>
  <c r="H61" i="9" a="1"/>
  <c r="H61" i="9" s="1"/>
  <c r="N5" i="17"/>
  <c r="N6" i="17"/>
  <c r="D72" i="17"/>
  <c r="K5" i="17" s="1"/>
  <c r="C12" i="10"/>
  <c r="H39" i="1"/>
  <c r="H40" i="1"/>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B49" i="9" l="1"/>
  <c r="C91" i="9"/>
  <c r="P12" i="9" s="1" a="1"/>
  <c r="P12" i="9" s="1"/>
  <c r="E85" i="9"/>
  <c r="R6" i="9" s="1" a="1"/>
  <c r="R6" i="9" s="1"/>
  <c r="B12" i="9"/>
  <c r="E12" i="9" s="1"/>
  <c r="J98" i="9"/>
  <c r="G63" i="9" a="1"/>
  <c r="G63" i="9" s="1"/>
  <c r="E98" i="9"/>
  <c r="R19" i="9" s="1" a="1"/>
  <c r="R19" i="9" s="1"/>
  <c r="B9" i="9"/>
  <c r="C9" i="9" s="1"/>
  <c r="B3" i="9"/>
  <c r="C3" i="9" s="1"/>
  <c r="H93" i="9"/>
  <c r="U14" i="9" s="1" a="1"/>
  <c r="U14" i="9" s="1"/>
  <c r="H57" i="9" a="1"/>
  <c r="H57" i="9" s="1"/>
  <c r="C96" i="9"/>
  <c r="P17" i="9" s="1" a="1"/>
  <c r="P17" i="9" s="1"/>
  <c r="H51" i="9" a="1"/>
  <c r="H51" i="9" s="1"/>
  <c r="J92" i="9"/>
  <c r="J65" i="9"/>
  <c r="E99" i="9"/>
  <c r="R20" i="9" s="1" a="1"/>
  <c r="R20" i="9" s="1"/>
  <c r="H37" i="1"/>
  <c r="H36" i="1"/>
  <c r="H34" i="1"/>
  <c r="H35" i="1"/>
  <c r="H44" i="1"/>
  <c r="H42" i="1"/>
  <c r="H7" i="2"/>
  <c r="I7" i="2" s="1"/>
  <c r="D7" i="2" s="1"/>
  <c r="V26" i="9"/>
  <c r="X26" i="9" s="1"/>
  <c r="C23" i="20" s="1"/>
  <c r="H46" i="1"/>
  <c r="J61" i="9"/>
  <c r="G95" i="9"/>
  <c r="T16" i="9" s="1" a="1"/>
  <c r="T16" i="9" s="1"/>
  <c r="E97" i="9"/>
  <c r="B15" i="9"/>
  <c r="C15" i="9" s="1"/>
  <c r="H65" i="9" a="1"/>
  <c r="H65" i="9" s="1"/>
  <c r="G96" i="9"/>
  <c r="H62" i="9" a="1"/>
  <c r="H62" i="9" s="1"/>
  <c r="H66" i="9" a="1"/>
  <c r="H66" i="9" s="1"/>
  <c r="C95" i="9"/>
  <c r="P16" i="9" s="1" a="1"/>
  <c r="P16" i="9" s="1"/>
  <c r="G54" i="9" a="1"/>
  <c r="G54" i="9" s="1"/>
  <c r="C92" i="9"/>
  <c r="H92" i="9"/>
  <c r="U13" i="9" s="1" a="1"/>
  <c r="U13" i="9" s="1"/>
  <c r="B16" i="9"/>
  <c r="G99" i="9"/>
  <c r="T17" i="9" a="1"/>
  <c r="T17" i="9" s="1"/>
  <c r="Q21" i="9" a="1"/>
  <c r="Q21" i="9" s="1"/>
  <c r="G55" i="9" a="1"/>
  <c r="G55" i="9" s="1"/>
  <c r="J90" i="9"/>
  <c r="F98" i="9"/>
  <c r="S19" i="9" s="1" a="1"/>
  <c r="S19" i="9" s="1"/>
  <c r="U22" i="9" a="1"/>
  <c r="U22" i="9" s="1"/>
  <c r="H50" i="9" a="1"/>
  <c r="H50" i="9" s="1"/>
  <c r="G65" i="9" a="1"/>
  <c r="G65" i="9" s="1"/>
  <c r="I65" i="9" s="1"/>
  <c r="K65" i="9" s="1"/>
  <c r="P13" i="9" a="1"/>
  <c r="P13" i="9" s="1"/>
  <c r="D91" i="9"/>
  <c r="D94" i="9"/>
  <c r="P21" i="9" a="1"/>
  <c r="P21" i="9" s="1"/>
  <c r="E9" i="9"/>
  <c r="H54" i="9" a="1"/>
  <c r="H54" i="9" s="1"/>
  <c r="G97" i="9"/>
  <c r="H94" i="9"/>
  <c r="U15" i="9" s="1" a="1"/>
  <c r="U15" i="9" s="1"/>
  <c r="V30" i="9"/>
  <c r="V28" i="9"/>
  <c r="X28" i="9" s="1"/>
  <c r="C25" i="20" s="1"/>
  <c r="V25" i="9"/>
  <c r="X25" i="9" s="1"/>
  <c r="C22" i="20" s="1"/>
  <c r="V35" i="9"/>
  <c r="X35" i="9" s="1"/>
  <c r="A11" i="21"/>
  <c r="B11" i="21" s="1"/>
  <c r="J51" i="9"/>
  <c r="A10" i="20"/>
  <c r="A14" i="20"/>
  <c r="A6" i="21"/>
  <c r="B6" i="21" s="1"/>
  <c r="J55" i="9"/>
  <c r="J52" i="9"/>
  <c r="A18" i="20"/>
  <c r="G66" i="9" a="1"/>
  <c r="G66" i="9" s="1"/>
  <c r="C90" i="9"/>
  <c r="P11" i="9" s="1" a="1"/>
  <c r="P11" i="9" s="1"/>
  <c r="H91" i="9"/>
  <c r="U12" i="9" s="1" a="1"/>
  <c r="U12" i="9" s="1"/>
  <c r="G93" i="9"/>
  <c r="T14" i="9" s="1" a="1"/>
  <c r="T14" i="9" s="1"/>
  <c r="F99" i="9"/>
  <c r="S20" i="9" s="1" a="1"/>
  <c r="S20" i="9" s="1"/>
  <c r="F89" i="9"/>
  <c r="S10" i="9" s="1" a="1"/>
  <c r="S10" i="9" s="1"/>
  <c r="D87" i="9"/>
  <c r="Q8" i="9" s="1" a="1"/>
  <c r="Q8" i="9" s="1"/>
  <c r="H90" i="9"/>
  <c r="U11" i="9" s="1" a="1"/>
  <c r="U11" i="9" s="1"/>
  <c r="F96" i="9"/>
  <c r="S17" i="9" s="1" a="1"/>
  <c r="S17" i="9" s="1"/>
  <c r="B18" i="9"/>
  <c r="T22" i="9" a="1"/>
  <c r="T22" i="9" s="1"/>
  <c r="U23" i="9" a="1"/>
  <c r="U23" i="9" s="1"/>
  <c r="V33" i="9"/>
  <c r="X33" i="9" s="1"/>
  <c r="H58" i="9" a="1"/>
  <c r="H58" i="9" s="1"/>
  <c r="G67" i="9" a="1"/>
  <c r="G67" i="9" s="1"/>
  <c r="V29" i="9"/>
  <c r="X29" i="9" s="1"/>
  <c r="C26" i="20" s="1"/>
  <c r="G59" i="9" a="1"/>
  <c r="G59" i="9" s="1"/>
  <c r="A12" i="20"/>
  <c r="A12" i="21"/>
  <c r="B12" i="21" s="1"/>
  <c r="A15" i="20"/>
  <c r="A13" i="21"/>
  <c r="B13" i="21" s="1"/>
  <c r="J53" i="9"/>
  <c r="A17" i="20"/>
  <c r="A19" i="20"/>
  <c r="C88" i="9"/>
  <c r="P9" i="9" s="1" a="1"/>
  <c r="P9" i="9" s="1"/>
  <c r="H89" i="9"/>
  <c r="U10" i="9" s="1" a="1"/>
  <c r="U10" i="9" s="1"/>
  <c r="G91" i="9"/>
  <c r="E95" i="9"/>
  <c r="R16" i="9" s="1" a="1"/>
  <c r="R16" i="9" s="1"/>
  <c r="D99" i="9"/>
  <c r="Q20" i="9" s="1" a="1"/>
  <c r="Q20" i="9" s="1"/>
  <c r="D85" i="9"/>
  <c r="Q6" i="9" s="1" a="1"/>
  <c r="Q6" i="9" s="1"/>
  <c r="C89" i="9"/>
  <c r="P10" i="9" s="1" a="1"/>
  <c r="P10" i="9" s="1"/>
  <c r="G94" i="9"/>
  <c r="F94" i="9"/>
  <c r="S15" i="9" s="1" a="1"/>
  <c r="S15" i="9" s="1"/>
  <c r="E96" i="9"/>
  <c r="R17" i="9" s="1" a="1"/>
  <c r="R17" i="9" s="1"/>
  <c r="T21" i="9" a="1"/>
  <c r="T21" i="9" s="1"/>
  <c r="T23" i="9" a="1"/>
  <c r="T23" i="9" s="1"/>
  <c r="H53" i="9" a="1"/>
  <c r="H53" i="9" s="1"/>
  <c r="B8" i="9"/>
  <c r="E8" i="9" s="1"/>
  <c r="B13" i="9"/>
  <c r="E13" i="9" s="1"/>
  <c r="A13" i="20"/>
  <c r="J58" i="9"/>
  <c r="A7" i="20"/>
  <c r="G56" i="9" a="1"/>
  <c r="G56" i="9" s="1"/>
  <c r="G52" i="9" a="1"/>
  <c r="G52" i="9" s="1"/>
  <c r="C86" i="9"/>
  <c r="P7" i="9" s="1" a="1"/>
  <c r="P7" i="9" s="1"/>
  <c r="H87" i="9"/>
  <c r="U8" i="9" s="1" a="1"/>
  <c r="U8" i="9" s="1"/>
  <c r="F87" i="9"/>
  <c r="S8" i="9" s="1" a="1"/>
  <c r="S8" i="9" s="1"/>
  <c r="D97" i="9"/>
  <c r="Q18" i="9" s="1" a="1"/>
  <c r="Q18" i="9" s="1"/>
  <c r="J89" i="9"/>
  <c r="W10" i="9" s="1"/>
  <c r="B7" i="20" s="1"/>
  <c r="H88" i="9"/>
  <c r="U9" i="9" s="1" a="1"/>
  <c r="U9" i="9" s="1"/>
  <c r="G92" i="9"/>
  <c r="F92" i="9"/>
  <c r="S13" i="9" s="1" a="1"/>
  <c r="S13" i="9" s="1"/>
  <c r="E94" i="9"/>
  <c r="R15" i="9" s="1" a="1"/>
  <c r="R15" i="9" s="1"/>
  <c r="A20" i="20"/>
  <c r="S22" i="9" a="1"/>
  <c r="S22" i="9" s="1"/>
  <c r="D14" i="19" s="1" a="1"/>
  <c r="D14" i="19" s="1"/>
  <c r="S23" i="9" a="1"/>
  <c r="S23" i="9" s="1"/>
  <c r="A9" i="20"/>
  <c r="A6" i="20"/>
  <c r="A10" i="21"/>
  <c r="B10" i="21" s="1"/>
  <c r="A8" i="21"/>
  <c r="B8" i="21" s="1"/>
  <c r="H59" i="9" a="1"/>
  <c r="H59" i="9" s="1"/>
  <c r="J54" i="9"/>
  <c r="A5" i="20"/>
  <c r="A16" i="21"/>
  <c r="B16" i="21" s="1"/>
  <c r="E15" i="9"/>
  <c r="G51" i="9" a="1"/>
  <c r="G51" i="9" s="1"/>
  <c r="I51" i="9" s="1"/>
  <c r="K51" i="9" s="1"/>
  <c r="H56" i="9" a="1"/>
  <c r="H56" i="9" s="1"/>
  <c r="J56" i="9"/>
  <c r="A16" i="20"/>
  <c r="B6" i="9"/>
  <c r="B11" i="9"/>
  <c r="H99" i="9"/>
  <c r="I99" i="9" s="1"/>
  <c r="G87" i="9"/>
  <c r="I87" i="9" s="1"/>
  <c r="F95" i="9"/>
  <c r="S16" i="9" s="1" a="1"/>
  <c r="S16" i="9" s="1"/>
  <c r="J91" i="9"/>
  <c r="W12" i="9" s="1"/>
  <c r="B9" i="20" s="1"/>
  <c r="D95" i="9"/>
  <c r="Q16" i="9" s="1" a="1"/>
  <c r="Q16" i="9" s="1"/>
  <c r="J88" i="9"/>
  <c r="W9" i="9" s="1"/>
  <c r="B6" i="20" s="1"/>
  <c r="F88" i="9"/>
  <c r="S9" i="9" s="1" a="1"/>
  <c r="S9" i="9" s="1"/>
  <c r="E90" i="9"/>
  <c r="R11" i="9" s="1" a="1"/>
  <c r="R11" i="9" s="1"/>
  <c r="J67" i="9"/>
  <c r="Q23" i="9" a="1"/>
  <c r="Q23" i="9" s="1"/>
  <c r="I64" i="9"/>
  <c r="K64" i="9" s="1"/>
  <c r="J57" i="9"/>
  <c r="J59" i="9"/>
  <c r="H86" i="9"/>
  <c r="U7" i="9" s="1" a="1"/>
  <c r="U7" i="9" s="1"/>
  <c r="F90" i="9"/>
  <c r="S11" i="9" s="1" a="1"/>
  <c r="S11" i="9" s="1"/>
  <c r="S21" i="9" a="1"/>
  <c r="S21" i="9" s="1"/>
  <c r="G53" i="9" a="1"/>
  <c r="G53" i="9" s="1"/>
  <c r="I53" i="9" s="1"/>
  <c r="K53" i="9" s="1"/>
  <c r="E91" i="9"/>
  <c r="R12" i="9" s="1" a="1"/>
  <c r="R12" i="9" s="1"/>
  <c r="C85" i="9"/>
  <c r="P6" i="9" s="1" a="1"/>
  <c r="P6" i="9" s="1"/>
  <c r="U21" i="9" a="1"/>
  <c r="U21" i="9" s="1"/>
  <c r="J60" i="9"/>
  <c r="B10" i="9"/>
  <c r="H63" i="9" a="1"/>
  <c r="H63" i="9" s="1"/>
  <c r="I63" i="9" s="1"/>
  <c r="A7" i="21"/>
  <c r="B7" i="21" s="1"/>
  <c r="H97" i="9"/>
  <c r="U18" i="9" s="1" a="1"/>
  <c r="U18" i="9" s="1"/>
  <c r="D90" i="9"/>
  <c r="Q11" i="9" s="1" a="1"/>
  <c r="Q11" i="9" s="1"/>
  <c r="G85" i="9"/>
  <c r="T6" i="9" s="1" a="1"/>
  <c r="T6" i="9" s="1"/>
  <c r="F93" i="9"/>
  <c r="S14" i="9" s="1" a="1"/>
  <c r="S14" i="9" s="1"/>
  <c r="E89" i="9"/>
  <c r="R10" i="9" s="1" a="1"/>
  <c r="R10" i="9" s="1"/>
  <c r="D93" i="9"/>
  <c r="Q14" i="9" s="1" a="1"/>
  <c r="Q14" i="9" s="1"/>
  <c r="C97" i="9"/>
  <c r="P18" i="9" s="1" a="1"/>
  <c r="P18" i="9" s="1"/>
  <c r="D96" i="9"/>
  <c r="Q17" i="9" s="1" a="1"/>
  <c r="Q17" i="9" s="1"/>
  <c r="J87" i="9"/>
  <c r="W8" i="9" s="1"/>
  <c r="B5" i="20" s="1"/>
  <c r="G86" i="9"/>
  <c r="F86" i="9"/>
  <c r="S7" i="9" s="1" a="1"/>
  <c r="S7" i="9" s="1"/>
  <c r="A17" i="21"/>
  <c r="B17" i="21" s="1"/>
  <c r="H67" i="9" a="1"/>
  <c r="H67" i="9" s="1"/>
  <c r="R22" i="9" a="1"/>
  <c r="R22" i="9" s="1"/>
  <c r="D12" i="19" s="1" a="1"/>
  <c r="D12" i="19" s="1"/>
  <c r="P23" i="9" a="1"/>
  <c r="P23" i="9" s="1"/>
  <c r="V27" i="9"/>
  <c r="A3" i="20"/>
  <c r="A14" i="21"/>
  <c r="B14" i="21" s="1"/>
  <c r="J50" i="9"/>
  <c r="J94" i="9"/>
  <c r="W15" i="9" s="1"/>
  <c r="B12" i="20" s="1"/>
  <c r="H85" i="9"/>
  <c r="U6" i="9" s="1" a="1"/>
  <c r="U6" i="9" s="1"/>
  <c r="G89" i="9"/>
  <c r="T10" i="9" s="1" a="1"/>
  <c r="T10" i="9" s="1"/>
  <c r="F97" i="9"/>
  <c r="S18" i="9" s="1" a="1"/>
  <c r="S18" i="9" s="1"/>
  <c r="F85" i="9"/>
  <c r="S6" i="9" s="1" a="1"/>
  <c r="S6" i="9" s="1"/>
  <c r="E93" i="9"/>
  <c r="R14" i="9" s="1" a="1"/>
  <c r="R14" i="9" s="1"/>
  <c r="C87" i="9"/>
  <c r="P8" i="9" s="1" a="1"/>
  <c r="P8" i="9" s="1"/>
  <c r="G90" i="9"/>
  <c r="I90" i="9" s="1"/>
  <c r="R23" i="9" a="1"/>
  <c r="R23" i="9" s="1"/>
  <c r="G62" i="9" a="1"/>
  <c r="G62" i="9" s="1"/>
  <c r="I62" i="9" s="1"/>
  <c r="A4" i="21"/>
  <c r="B4" i="21" s="1"/>
  <c r="B5" i="9"/>
  <c r="C5" i="9" s="1"/>
  <c r="J95" i="9"/>
  <c r="W16" i="9" s="1"/>
  <c r="B13" i="20" s="1"/>
  <c r="J93" i="9"/>
  <c r="W14" i="9" s="1"/>
  <c r="B11" i="20" s="1"/>
  <c r="C99" i="9"/>
  <c r="P20" i="9" s="1" a="1"/>
  <c r="P20" i="9" s="1"/>
  <c r="J99" i="9"/>
  <c r="W20" i="9" s="1"/>
  <c r="G88" i="9"/>
  <c r="T9" i="9" s="1" a="1"/>
  <c r="T9" i="9" s="1"/>
  <c r="E92" i="9"/>
  <c r="R13" i="9" s="1" a="1"/>
  <c r="R13" i="9" s="1"/>
  <c r="A18" i="21"/>
  <c r="B18" i="21" s="1"/>
  <c r="G61" i="9" a="1"/>
  <c r="G61" i="9" s="1"/>
  <c r="I61" i="9" s="1"/>
  <c r="K61" i="9" s="1"/>
  <c r="A8" i="20"/>
  <c r="G57" i="9" a="1"/>
  <c r="G57" i="9" s="1"/>
  <c r="I57" i="9" s="1"/>
  <c r="K57" i="9" s="1"/>
  <c r="B4" i="9"/>
  <c r="B14" i="9"/>
  <c r="H60" i="9" a="1"/>
  <c r="H60" i="9" s="1"/>
  <c r="G58" i="9" a="1"/>
  <c r="G58" i="9" s="1"/>
  <c r="G60" i="9" a="1"/>
  <c r="G60" i="9" s="1"/>
  <c r="H52" i="9" a="1"/>
  <c r="H52" i="9" s="1"/>
  <c r="H55" i="9" a="1"/>
  <c r="H55" i="9" s="1"/>
  <c r="I55" i="9" s="1"/>
  <c r="K55" i="9" s="1"/>
  <c r="C98" i="9"/>
  <c r="P19" i="9" s="1" a="1"/>
  <c r="P19" i="9" s="1"/>
  <c r="T20" i="9" a="1"/>
  <c r="T20" i="9" s="1"/>
  <c r="W13" i="9"/>
  <c r="B10" i="20" s="1"/>
  <c r="D86" i="9"/>
  <c r="Q7" i="9" s="1" a="1"/>
  <c r="Q7" i="9" s="1"/>
  <c r="E87" i="9"/>
  <c r="R8" i="9" s="1" a="1"/>
  <c r="R8" i="9" s="1"/>
  <c r="Q12" i="9" a="1"/>
  <c r="Q12" i="9" s="1"/>
  <c r="H98" i="9"/>
  <c r="U19" i="9" s="1" a="1"/>
  <c r="U19" i="9" s="1"/>
  <c r="Q19" i="9" a="1"/>
  <c r="Q19" i="9" s="1"/>
  <c r="W19" i="9"/>
  <c r="B16" i="20" s="1"/>
  <c r="J97" i="9"/>
  <c r="W18" i="9" s="1"/>
  <c r="B15" i="20" s="1"/>
  <c r="E88" i="9"/>
  <c r="R9" i="9" s="1" a="1"/>
  <c r="R9" i="9" s="1"/>
  <c r="W21" i="9"/>
  <c r="B18" i="20" s="1"/>
  <c r="A5" i="21"/>
  <c r="B5" i="21" s="1"/>
  <c r="A3" i="21"/>
  <c r="B3" i="21" s="1"/>
  <c r="A4" i="20"/>
  <c r="W6" i="9"/>
  <c r="B3" i="20" s="1"/>
  <c r="E86" i="9"/>
  <c r="R7" i="9" s="1" a="1"/>
  <c r="R7" i="9" s="1"/>
  <c r="A15" i="21"/>
  <c r="B15" i="21" s="1"/>
  <c r="W22" i="9"/>
  <c r="B19" i="20" s="1"/>
  <c r="R21" i="9" a="1"/>
  <c r="R21" i="9" s="1"/>
  <c r="C12" i="9"/>
  <c r="J63" i="9"/>
  <c r="J62" i="9"/>
  <c r="A9" i="21"/>
  <c r="B9" i="21" s="1"/>
  <c r="A11" i="20"/>
  <c r="B7" i="9"/>
  <c r="G50" i="9" a="1"/>
  <c r="G50" i="9" s="1"/>
  <c r="I50" i="9" s="1"/>
  <c r="J66" i="9"/>
  <c r="C94" i="9"/>
  <c r="P15" i="9" s="1" a="1"/>
  <c r="P15" i="9" s="1"/>
  <c r="H95" i="9"/>
  <c r="U16" i="9" s="1" a="1"/>
  <c r="U16" i="9" s="1"/>
  <c r="V16" i="9" s="1"/>
  <c r="X16" i="9" s="1"/>
  <c r="C13" i="20" s="1"/>
  <c r="T18" i="9" a="1"/>
  <c r="T18" i="9" s="1"/>
  <c r="D88" i="9"/>
  <c r="Q9" i="9" s="1" a="1"/>
  <c r="Q9" i="9" s="1"/>
  <c r="F91" i="9"/>
  <c r="S12" i="9" s="1" a="1"/>
  <c r="S12" i="9" s="1"/>
  <c r="R18" i="9" a="1"/>
  <c r="R18" i="9" s="1"/>
  <c r="W11" i="9"/>
  <c r="B8" i="20" s="1"/>
  <c r="D89" i="9"/>
  <c r="Q10" i="9" s="1" a="1"/>
  <c r="Q10" i="9" s="1"/>
  <c r="C93" i="9"/>
  <c r="P14" i="9" s="1" a="1"/>
  <c r="P14" i="9" s="1"/>
  <c r="H96" i="9"/>
  <c r="U17" i="9" s="1" a="1"/>
  <c r="U17" i="9" s="1"/>
  <c r="G98" i="9"/>
  <c r="J86" i="9"/>
  <c r="W7" i="9" s="1"/>
  <c r="B4" i="20" s="1"/>
  <c r="Q15" i="9" a="1"/>
  <c r="Q15" i="9" s="1"/>
  <c r="J96" i="9"/>
  <c r="W17" i="9" s="1"/>
  <c r="B14" i="20" s="1"/>
  <c r="B17" i="9"/>
  <c r="P22" i="9" a="1"/>
  <c r="P22" i="9" s="1"/>
  <c r="D8" i="19" s="1" a="1"/>
  <c r="D8" i="19" s="1"/>
  <c r="Q22" i="9" a="1"/>
  <c r="Q22" i="9" s="1"/>
  <c r="W23" i="9"/>
  <c r="B20" i="20" s="1"/>
  <c r="V31" i="9"/>
  <c r="X31" i="9" s="1"/>
  <c r="C28" i="20" s="1"/>
  <c r="C49" i="9" a="1"/>
  <c r="C49" i="9" s="1"/>
  <c r="D49" i="9" a="1"/>
  <c r="D49" i="9" s="1"/>
  <c r="C14" i="19" a="1"/>
  <c r="C14" i="19" s="1"/>
  <c r="E49" i="9" a="1"/>
  <c r="E49" i="9" s="1"/>
  <c r="H84" i="9"/>
  <c r="U5" i="9" s="1" a="1"/>
  <c r="U5" i="9" s="1"/>
  <c r="C84" i="9"/>
  <c r="P5" i="9" s="1" a="1"/>
  <c r="P5" i="9" s="1"/>
  <c r="J49" i="9"/>
  <c r="E84" i="9"/>
  <c r="R5" i="9" s="1" a="1"/>
  <c r="R5" i="9" s="1"/>
  <c r="G84" i="9"/>
  <c r="T5" i="9" s="1" a="1"/>
  <c r="T5" i="9" s="1"/>
  <c r="B2" i="9"/>
  <c r="D84" i="9"/>
  <c r="Q5" i="9" s="1" a="1"/>
  <c r="Q5" i="9" s="1"/>
  <c r="C12" i="19" a="1"/>
  <c r="C12" i="19" s="1"/>
  <c r="J84" i="9"/>
  <c r="W5" i="9" s="1"/>
  <c r="B2" i="20" s="1"/>
  <c r="F49" i="9" a="1"/>
  <c r="F49" i="9" s="1"/>
  <c r="G49" i="9" a="1"/>
  <c r="G49" i="9" s="1"/>
  <c r="F84" i="9"/>
  <c r="S5" i="9" a="1"/>
  <c r="S5" i="9" s="1"/>
  <c r="H49" i="9" a="1"/>
  <c r="H49" i="9" s="1"/>
  <c r="V32" i="9"/>
  <c r="X32" i="9" s="1"/>
  <c r="D10" i="19" a="1"/>
  <c r="D10" i="19" s="1"/>
  <c r="A2" i="20"/>
  <c r="A2" i="21"/>
  <c r="B2" i="21" s="1"/>
  <c r="V24" i="9"/>
  <c r="X24" i="9" s="1"/>
  <c r="C21" i="20" s="1"/>
  <c r="I69" i="9"/>
  <c r="K69" i="9" s="1"/>
  <c r="K48" i="1"/>
  <c r="I68" i="9"/>
  <c r="K68" i="9" s="1"/>
  <c r="V34" i="9"/>
  <c r="X34" i="9" s="1"/>
  <c r="X27" i="9"/>
  <c r="C24" i="20" s="1"/>
  <c r="E3" i="9"/>
  <c r="X30" i="9"/>
  <c r="C27" i="20" s="1"/>
  <c r="B28" i="20"/>
  <c r="B27" i="20"/>
  <c r="B21" i="20"/>
  <c r="K6" i="17"/>
  <c r="E18" i="19" a="1"/>
  <c r="E18" i="19" s="1"/>
  <c r="F72" i="17"/>
  <c r="B22" i="20"/>
  <c r="C37" i="12"/>
  <c r="G10" i="15"/>
  <c r="N7" i="17"/>
  <c r="P7" i="17" s="1"/>
  <c r="B17" i="20"/>
  <c r="E35" i="18"/>
  <c r="D35" i="14"/>
  <c r="C10" i="8" s="1"/>
  <c r="B24" i="20"/>
  <c r="J35" i="14"/>
  <c r="C12" i="8" s="1"/>
  <c r="I36" i="12"/>
  <c r="D35" i="18"/>
  <c r="C11" i="8" s="1"/>
  <c r="H10" i="15"/>
  <c r="H16" i="6"/>
  <c r="H8" i="7"/>
  <c r="I11" i="6"/>
  <c r="I16" i="6" s="1"/>
  <c r="L42" i="6" s="1"/>
  <c r="D2" i="2"/>
  <c r="V14" i="9" l="1"/>
  <c r="K63" i="9"/>
  <c r="C13" i="9"/>
  <c r="V17" i="9"/>
  <c r="I92" i="9"/>
  <c r="K92" i="9" s="1"/>
  <c r="K50" i="9"/>
  <c r="I66" i="9"/>
  <c r="I93" i="9"/>
  <c r="K93" i="9" s="1"/>
  <c r="V22" i="9"/>
  <c r="X22" i="9" s="1"/>
  <c r="C19" i="20" s="1"/>
  <c r="I54" i="9"/>
  <c r="K54" i="9" s="1"/>
  <c r="C8" i="9"/>
  <c r="E5" i="9"/>
  <c r="I58" i="9"/>
  <c r="K58" i="9" s="1"/>
  <c r="I86" i="9"/>
  <c r="K62" i="9"/>
  <c r="K86" i="9"/>
  <c r="I94" i="9"/>
  <c r="K94" i="9" s="1"/>
  <c r="E16" i="9"/>
  <c r="C16" i="9"/>
  <c r="X17" i="9"/>
  <c r="C14" i="20" s="1"/>
  <c r="K90" i="9"/>
  <c r="I52" i="9"/>
  <c r="K52" i="9" s="1"/>
  <c r="I60" i="9"/>
  <c r="K60" i="9" s="1"/>
  <c r="K66" i="9"/>
  <c r="V9" i="9"/>
  <c r="X9" i="9" s="1"/>
  <c r="C6" i="20" s="1"/>
  <c r="T8" i="9" a="1"/>
  <c r="T8" i="9" s="1"/>
  <c r="V8" i="9" s="1"/>
  <c r="X8" i="9" s="1"/>
  <c r="C5" i="20" s="1"/>
  <c r="I56" i="9"/>
  <c r="K56" i="9" s="1"/>
  <c r="V6" i="9"/>
  <c r="X6" i="9" s="1"/>
  <c r="C3" i="20" s="1"/>
  <c r="V18" i="9"/>
  <c r="X18" i="9" s="1"/>
  <c r="C15" i="20" s="1"/>
  <c r="I67" i="9"/>
  <c r="K67" i="9" s="1"/>
  <c r="V21" i="9"/>
  <c r="X21" i="9" s="1"/>
  <c r="C18" i="20" s="1"/>
  <c r="U20" i="9" a="1"/>
  <c r="U20" i="9" s="1"/>
  <c r="V20" i="9" s="1"/>
  <c r="X20" i="9" s="1"/>
  <c r="C17" i="20" s="1"/>
  <c r="E11" i="9"/>
  <c r="C11" i="9"/>
  <c r="I89" i="9"/>
  <c r="K89" i="9" s="1"/>
  <c r="T7" i="9" a="1"/>
  <c r="T7" i="9" s="1"/>
  <c r="V7" i="9" s="1"/>
  <c r="X7" i="9" s="1"/>
  <c r="C4" i="20" s="1"/>
  <c r="C6" i="9"/>
  <c r="E6" i="9"/>
  <c r="C14" i="9"/>
  <c r="E14" i="9"/>
  <c r="V23" i="9"/>
  <c r="X23" i="9" s="1"/>
  <c r="C20" i="20" s="1"/>
  <c r="T13" i="9" a="1"/>
  <c r="T13" i="9" s="1"/>
  <c r="V13" i="9" s="1"/>
  <c r="X13" i="9" s="1"/>
  <c r="C10" i="20" s="1"/>
  <c r="K99" i="9"/>
  <c r="V5" i="9"/>
  <c r="X5" i="9" s="1"/>
  <c r="C2" i="20" s="1"/>
  <c r="E17" i="9"/>
  <c r="C17" i="9"/>
  <c r="X14" i="9"/>
  <c r="C11" i="20" s="1"/>
  <c r="I85" i="9"/>
  <c r="K85" i="9" s="1"/>
  <c r="I84" i="9"/>
  <c r="K84" i="9" s="1"/>
  <c r="E10" i="9"/>
  <c r="C10" i="9"/>
  <c r="C18" i="9"/>
  <c r="E18" i="9"/>
  <c r="E12" i="19"/>
  <c r="E4" i="9"/>
  <c r="C4" i="9"/>
  <c r="T19" i="9" a="1"/>
  <c r="T19" i="9" s="1"/>
  <c r="V19" i="9" s="1"/>
  <c r="X19" i="9" s="1"/>
  <c r="C16" i="20" s="1"/>
  <c r="I98" i="9"/>
  <c r="K98" i="9" s="1"/>
  <c r="I97" i="9"/>
  <c r="K97" i="9" s="1"/>
  <c r="J6" i="1"/>
  <c r="J48" i="1" s="1" a="1"/>
  <c r="J48" i="1" s="1"/>
  <c r="I88" i="9"/>
  <c r="K88" i="9" s="1"/>
  <c r="I59" i="9"/>
  <c r="K59" i="9" s="1"/>
  <c r="C7" i="9"/>
  <c r="E7" i="9" a="1"/>
  <c r="E7" i="9" s="1"/>
  <c r="I95" i="9"/>
  <c r="K95" i="9" s="1"/>
  <c r="T11" i="9" a="1"/>
  <c r="T11" i="9" s="1"/>
  <c r="V11" i="9" s="1"/>
  <c r="X11" i="9" s="1"/>
  <c r="C8" i="20" s="1"/>
  <c r="T15" i="9" a="1"/>
  <c r="T15" i="9" s="1"/>
  <c r="V15" i="9" s="1"/>
  <c r="X15" i="9" s="1"/>
  <c r="C12" i="20" s="1"/>
  <c r="V10" i="9"/>
  <c r="X10" i="9" s="1"/>
  <c r="C7" i="20" s="1"/>
  <c r="K87" i="9"/>
  <c r="I91" i="9"/>
  <c r="K91" i="9" s="1"/>
  <c r="T12" i="9" a="1"/>
  <c r="T12" i="9" s="1"/>
  <c r="V12" i="9" s="1"/>
  <c r="X12" i="9" s="1"/>
  <c r="C9" i="20" s="1"/>
  <c r="I96" i="9"/>
  <c r="K96" i="9" s="1"/>
  <c r="E14" i="19"/>
  <c r="C2" i="9"/>
  <c r="E2" i="9"/>
  <c r="C21" i="9"/>
  <c r="I49" i="9"/>
  <c r="C9" i="8"/>
  <c r="C14" i="8" s="1"/>
  <c r="C4" i="10" s="1"/>
  <c r="C15" i="10" s="1"/>
  <c r="C17" i="10" s="1"/>
  <c r="C19" i="10"/>
  <c r="F35" i="18"/>
  <c r="E20" i="19" l="1" a="1"/>
  <c r="E20" i="19" s="1"/>
  <c r="C23" i="9"/>
  <c r="C3" i="10" s="1"/>
  <c r="C11" i="10" s="1"/>
  <c r="C13" i="10" s="1"/>
  <c r="C21" i="10" s="1"/>
  <c r="E16" i="19"/>
  <c r="K49" i="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<sst xmlns="http://schemas.openxmlformats.org/spreadsheetml/2006/main" count="767" uniqueCount="248">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</sst>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5">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471512</xdr:colOff>
      <xdr:row>110</xdr:row>
      <xdr:rowOff>2672</xdr:rowOff>
    </xdr:from>
    <xdr:to>
      <xdr:col>15</xdr:col>
      <xdr:colOff>663869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107087</xdr:rowOff>
    </xdr:from>
    <xdr:to>
      <xdr:col>10</xdr:col>
      <xdr:colOff>1236689</xdr:colOff>
      <xdr:row>40</xdr:row>
      <xdr:rowOff>143656</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2.120599074071" createdVersion="8" refreshedVersion="8" minRefreshableVersion="3" recordCount="70" xr:uid="{B5BDFB73-D93A-4A7A-8149-666BC190B09B}">
  <cacheSource type="worksheet">
    <worksheetSource name="Table14"/>
  </cacheSource>
  <cacheFields count="7">
    <cacheField name="Date" numFmtId="14">
      <sharedItems containsSemiMixedTypes="0" containsNonDate="0" containsDate="1" containsString="0" minDate="2025-10-17T00:00:00" maxDate="2025-10-22T00:00:00"/>
    </cacheField>
    <cacheField name="Party" numFmtId="0">
      <sharedItems containsBlank="1" count="52">
        <s v="Closing September CF"/>
        <s v="BSC"/>
        <s v="Malik Zaheer"/>
        <s v="advance salary"/>
        <s v="Transport"/>
        <s v="Omer"/>
        <s v="Kaleem ullah"/>
        <s v="Misc"/>
        <s v="Salary"/>
        <s v="Ishaq"/>
        <s v="Temp"/>
        <s v="Faizan"/>
        <s v="Sajad khan"/>
        <s v="Unicolour"/>
        <s v="Parts"/>
        <s v="madina dyes"/>
        <s v="Dasti"/>
        <s v="copper"/>
        <s v="sunsuper theka"/>
        <s v="Dyes"/>
        <s v="electric bill"/>
        <m/>
        <s v="Closing August CF" u="1"/>
        <s v="Ejaz Sahab" u="1"/>
        <s v="Hafiz Qureshi" u="1"/>
        <s v="Arshad" u="1"/>
        <s v="Rafaqat" u="1"/>
        <s v="Azam" u="1"/>
        <s v="Sufi Nawaz Sahab" u="1"/>
        <s v="Rashan" u="1"/>
        <s v="Finish" u="1"/>
        <s v="Chain Acc"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2503038"/>
    </cacheField>
    <cacheField name="Credit" numFmtId="164">
      <sharedItems containsString="0" containsBlank="1" containsNumber="1" containsInteger="1" minValue="770"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2.120599421294"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58167.520117044631"/>
    </cacheField>
    <cacheField name="Rate" numFmtId="0">
      <sharedItems containsString="0" containsBlank="1" containsNumber="1" minValue="10" maxValue="12"/>
    </cacheField>
    <cacheField name="Total" numFmtId="164">
      <sharedItems containsSemiMixedTypes="0" containsString="0" containsNumber="1" minValue="0" maxValue="698010.241404535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2.12059953704"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2.120599652779" createdVersion="8" refreshedVersion="8" minRefreshableVersion="3" recordCount="14" xr:uid="{3E5C2981-ACF5-44A9-8567-B1D65DB3A8D2}">
  <cacheSource type="worksheet">
    <worksheetSource name="Table3"/>
  </cacheSource>
  <cacheFields count="9">
    <cacheField name="Date" numFmtId="14">
      <sharedItems containsSemiMixedTypes="0" containsNonDate="0" containsDate="1" containsString="0" minDate="2025-05-02T00:00:00" maxDate="2025-10-21T00:00:00" count="83">
        <d v="2025-10-17T00:00:00"/>
        <d v="2025-10-18T00:00:00"/>
        <d v="2025-10-20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58">
        <s v="Closing Balance CF"/>
        <m/>
        <s v="LES 3747"/>
        <s v="TKL 364"/>
        <s v="TKQ 364"/>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51205"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2.120599884256" createdVersion="8" refreshedVersion="8" minRefreshableVersion="3" recordCount="48" xr:uid="{46CBB50D-3613-4E5B-8212-DD0313DCD05A}">
  <cacheSource type="worksheet">
    <worksheetSource name="Table1"/>
  </cacheSource>
  <cacheFields count="14">
    <cacheField name="Date" numFmtId="0">
      <sharedItems containsNonDate="0" containsDate="1" containsString="0" containsBlank="1" minDate="2025-07-25T00:00:00" maxDate="2025-10-22T00:00:00" count="72">
        <d v="2025-10-17T00:00:00"/>
        <d v="2025-10-18T00:00:00"/>
        <d v="2025-10-20T00:00:00"/>
        <d v="2025-10-21T00:00:00"/>
        <m/>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5">
        <s v="BSC"/>
        <s v="Ejaz Sahab"/>
        <s v="Arshad"/>
        <s v="Shehzad Kamoki"/>
        <s v="Sufi Nawaz Sahab"/>
        <s v="Sajad Khan"/>
        <s v="Raaz Fabrics"/>
        <s v="Azam"/>
        <s v="Ubaidullah"/>
        <s v="Ashraf Zia"/>
        <s v="Hafiz Qureshi"/>
        <s v="Badshah Fabrics"/>
        <s v="Reject"/>
        <s v="Amjad 7up"/>
        <s v="Hazrat Khan"/>
        <s v="Haseeb Shamsi"/>
        <s v="Faizan"/>
        <s v="Shafique Ansari"/>
        <m/>
        <s v="YING" u="1"/>
        <s v="Meow" u="1"/>
        <s v="Umer Sb" u="1"/>
        <s v="-" u="1"/>
        <s v="Sajjad" u="1"/>
        <s v="Haji Ejaz" u="1"/>
      </sharedItems>
    </cacheField>
    <cacheField name="Bill Number" numFmtId="0">
      <sharedItems containsBlank="1" containsMixedTypes="1" containsNumber="1" containsInteger="1" minValue="604" maxValue="998" count="382">
        <s v="September Closing CF"/>
        <n v="985"/>
        <n v="986"/>
        <n v="987"/>
        <n v="988"/>
        <n v="989"/>
        <n v="990"/>
        <n v="991"/>
        <n v="992"/>
        <n v="993"/>
        <n v="994"/>
        <n v="995"/>
        <n v="996"/>
        <n v="997"/>
        <n v="998"/>
        <m/>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String="0" containsBlank="1" containsNumber="1" containsInteger="1" minValue="1558" maxValue="17000" count="198">
        <m/>
        <n v="1818"/>
        <n v="1780"/>
        <n v="1800"/>
        <n v="1826"/>
        <n v="1803"/>
        <n v="1829"/>
        <n v="1813"/>
        <n v="1827"/>
        <n v="1761"/>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35598"/>
    </cacheField>
    <cacheField name="Tiyaar/gaz" numFmtId="164">
      <sharedItems containsString="0" containsBlank="1" containsNumber="1" containsInteger="1" minValue="1563" maxValue="38020"/>
    </cacheField>
    <cacheField name="shortage %" numFmtId="165">
      <sharedItems containsMixedTypes="1" containsNumber="1" minValue="0.46282294143081515" maxValue="92.873119680009552"/>
    </cacheField>
    <cacheField name="tiyar/meters" numFmtId="165">
      <sharedItems containsString="0" containsBlank="1" containsNumber="1" minValue="0" maxValue="1493155.6327724946"/>
    </cacheField>
    <cacheField name="billing" numFmtId="165">
      <sharedItems containsString="0" containsBlank="1"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2.120600231479"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21"/>
    <m/>
    <m/>
    <m/>
    <m/>
    <m/>
  </r>
  <r>
    <d v="2025-10-21T00:00:00"/>
    <x v="21"/>
    <m/>
    <m/>
    <m/>
    <m/>
    <m/>
  </r>
  <r>
    <d v="2025-10-21T00:00:00"/>
    <x v="21"/>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58167.520117044631"/>
    <n v="10"/>
    <n v="698010.2414045356"/>
  </r>
  <r>
    <x v="1"/>
    <n v="44246.525237746893"/>
    <n v="10"/>
    <n v="530958.30285296275"/>
  </r>
  <r>
    <x v="2"/>
    <n v="34765.910753474767"/>
    <n v="10"/>
    <n v="347659.10753474769"/>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765"/>
    <n v="44000"/>
    <n v="185895"/>
    <n v="437100"/>
    <n v="-251205"/>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92.873119680009552"/>
    <n v="1429.2245793708853"/>
    <n v="17150.694952450624"/>
    <m/>
  </r>
  <r>
    <x v="2"/>
    <x v="17"/>
    <x v="10"/>
    <s v="Silky"/>
    <x v="7"/>
    <n v="7734"/>
    <n v="8274"/>
    <n v="2.1743263436097209"/>
    <n v="7565.8376005852242"/>
    <n v="90790.051207022683"/>
    <m/>
  </r>
  <r>
    <x v="3"/>
    <x v="0"/>
    <x v="11"/>
    <s v="Silky"/>
    <x v="6"/>
    <n v="20054"/>
    <n v="19667"/>
    <n v="92.873119680009552"/>
    <m/>
    <m/>
    <m/>
  </r>
  <r>
    <x v="3"/>
    <x v="1"/>
    <x v="12"/>
    <s v="Silky"/>
    <x v="8"/>
    <n v="25039"/>
    <n v="17569"/>
    <s v="NF"/>
    <m/>
    <m/>
    <m/>
  </r>
  <r>
    <x v="3"/>
    <x v="1"/>
    <x v="13"/>
    <s v="Silky"/>
    <x v="8"/>
    <n v="25039"/>
    <n v="9264"/>
    <s v="NF"/>
    <m/>
    <m/>
    <m/>
  </r>
  <r>
    <x v="3"/>
    <x v="2"/>
    <x v="14"/>
    <s v="Chamki"/>
    <x v="9"/>
    <n v="35598"/>
    <n v="38020"/>
    <s v="NF"/>
    <m/>
    <m/>
    <m/>
  </r>
  <r>
    <x v="4"/>
    <x v="18"/>
    <x v="15"/>
    <m/>
    <x v="0"/>
    <m/>
    <m/>
    <e v="#DIV/0!"/>
    <m/>
    <m/>
    <m/>
  </r>
  <r>
    <x v="4"/>
    <x v="18"/>
    <x v="15"/>
    <m/>
    <x v="0"/>
    <m/>
    <m/>
    <e v="#DIV/0!"/>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44">
      <pivotArea field="0" grandRow="1" outline="0" collapsedLevelsAreSubtotals="1" axis="axisRow" fieldPosition="0">
        <references count="1">
          <reference field="4294967294" count="1" selected="0">
            <x v="1"/>
          </reference>
        </references>
      </pivotArea>
    </format>
    <format dxfId="143">
      <pivotArea field="0" grandRow="1" outline="0" collapsedLevelsAreSubtotals="1" axis="axisRow" fieldPosition="0">
        <references count="1">
          <reference field="4294967294" count="1" selected="0">
            <x v="0"/>
          </reference>
        </references>
      </pivotArea>
    </format>
    <format dxfId="142">
      <pivotArea collapsedLevelsAreSubtotals="1" fieldPosition="0">
        <references count="2">
          <reference field="4294967294" count="1" selected="0">
            <x v="1"/>
          </reference>
          <reference field="0" count="0"/>
        </references>
      </pivotArea>
    </format>
    <format dxfId="14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4:G81" firstHeaderRow="0" firstDataRow="1" firstDataCol="1" rowPageCount="3" colPageCount="1"/>
  <pivotFields count="14">
    <pivotField axis="axisPage"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4"/>
        <item x="3"/>
        <item t="default"/>
      </items>
    </pivotField>
    <pivotField axis="axisPage" multipleItemSelectionAllowed="1" showAll="0">
      <items count="26">
        <item x="2"/>
        <item x="0"/>
        <item m="1" x="24"/>
        <item x="6"/>
        <item m="1" x="23"/>
        <item m="1" x="22"/>
        <item m="1" x="21"/>
        <item x="1"/>
        <item x="3"/>
        <item m="1" x="20"/>
        <item x="4"/>
        <item m="1" x="19"/>
        <item x="18"/>
        <item x="5"/>
        <item x="10"/>
        <item x="8"/>
        <item x="9"/>
        <item x="7"/>
        <item x="11"/>
        <item x="12"/>
        <item x="13"/>
        <item x="14"/>
        <item x="15"/>
        <item x="16"/>
        <item x="17"/>
        <item t="default"/>
      </items>
    </pivotField>
    <pivotField axis="axisRow" numFmtId="164" showAll="0">
      <items count="38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272"/>
        <item m="1" x="273"/>
        <item m="1" x="274"/>
        <item m="1" x="275"/>
        <item m="1" x="276"/>
        <item m="1" x="277"/>
        <item m="1" x="278"/>
        <item m="1" x="279"/>
        <item m="1" x="280"/>
        <item m="1" x="281"/>
        <item m="1" x="282"/>
        <item m="1" x="283"/>
        <item m="1" x="284"/>
        <item m="1" x="285"/>
        <item m="1" x="286"/>
        <item m="1" x="287"/>
        <item m="1" x="288"/>
        <item m="1" x="289"/>
        <item m="1" x="318"/>
        <item m="1" x="290"/>
        <item m="1" x="291"/>
        <item m="1" x="292"/>
        <item m="1" x="293"/>
        <item m="1" x="294"/>
        <item m="1" x="295"/>
        <item m="1" x="307"/>
        <item m="1" x="296"/>
        <item m="1" x="297"/>
        <item m="1" x="298"/>
        <item m="1" x="299"/>
        <item m="1" x="300"/>
        <item m="1" x="301"/>
        <item m="1" x="302"/>
        <item m="1" x="303"/>
        <item m="1" x="304"/>
        <item m="1" x="305"/>
        <item m="1" x="306"/>
        <item m="1" x="308"/>
        <item m="1" x="309"/>
        <item m="1" x="310"/>
        <item m="1" x="311"/>
        <item m="1" x="312"/>
        <item m="1" x="313"/>
        <item m="1" x="314"/>
        <item m="1" x="315"/>
        <item m="1" x="316"/>
        <item m="1" x="317"/>
        <item m="1" x="319"/>
        <item m="1" x="320"/>
        <item m="1" x="321"/>
        <item m="1" x="322"/>
        <item m="1" x="323"/>
        <item m="1" x="324"/>
        <item m="1" x="325"/>
        <item m="1" x="326"/>
        <item m="1" x="327"/>
        <item m="1" x="328"/>
        <item m="1" x="329"/>
        <item m="1" x="330"/>
        <item m="1" x="331"/>
        <item m="1" x="332"/>
        <item m="1" x="333"/>
        <item m="1" x="164"/>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65"/>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2"/>
        <item m="1" x="263"/>
        <item m="1" x="264"/>
        <item m="1" x="261"/>
        <item m="1" x="265"/>
        <item m="1" x="266"/>
        <item m="1" x="267"/>
        <item m="1" x="268"/>
        <item m="1" x="269"/>
        <item m="1" x="270"/>
        <item m="1" x="271"/>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x="0"/>
        <item x="1"/>
        <item x="2"/>
        <item x="3"/>
        <item x="4"/>
        <item x="5"/>
        <item x="6"/>
        <item x="7"/>
        <item x="8"/>
        <item x="9"/>
        <item x="10"/>
        <item x="15"/>
        <item x="11"/>
        <item x="12"/>
        <item x="13"/>
        <item x="14"/>
        <item t="default"/>
      </items>
    </pivotField>
    <pivotField showAll="0"/>
    <pivotField axis="axisPage" multipleItemSelectionAllowed="1" showAll="0">
      <items count="199">
        <item m="1" x="152"/>
        <item m="1" x="181"/>
        <item m="1" x="182"/>
        <item m="1" x="190"/>
        <item m="1" x="180"/>
        <item m="1" x="179"/>
        <item m="1" x="183"/>
        <item m="1" x="194"/>
        <item m="1" x="186"/>
        <item m="1" x="187"/>
        <item m="1" x="184"/>
        <item m="1" x="185"/>
        <item m="1" x="195"/>
        <item m="1" x="188"/>
        <item m="1" x="189"/>
        <item m="1" x="192"/>
        <item m="1" x="193"/>
        <item m="1" x="191"/>
        <item m="1" x="147"/>
        <item m="1" x="197"/>
        <item m="1" x="146"/>
        <item m="1" x="196"/>
        <item m="1" x="149"/>
        <item m="1" x="148"/>
        <item m="1" x="150"/>
        <item m="1" x="156"/>
        <item m="1" x="151"/>
        <item m="1" x="153"/>
        <item m="1" x="157"/>
        <item m="1" x="158"/>
        <item m="1" x="177"/>
        <item m="1" x="154"/>
        <item m="1" x="155"/>
        <item m="1" x="117"/>
        <item m="1" x="139"/>
        <item m="1" x="178"/>
        <item m="1" x="159"/>
        <item m="1" x="160"/>
        <item m="1" x="161"/>
        <item m="1" x="162"/>
        <item m="1" x="163"/>
        <item m="1" x="93"/>
        <item m="1" x="164"/>
        <item m="1" x="165"/>
        <item m="1" x="166"/>
        <item m="1" x="167"/>
        <item m="1" x="168"/>
        <item m="1" x="169"/>
        <item m="1" x="170"/>
        <item m="1" x="171"/>
        <item m="1" x="172"/>
        <item m="1" x="173"/>
        <item m="1" x="174"/>
        <item m="1" x="175"/>
        <item m="1" x="176"/>
        <item x="0"/>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40"/>
        <item m="1" x="141"/>
        <item m="1" x="142"/>
        <item m="1" x="143"/>
        <item m="1" x="144"/>
        <item m="1" x="145"/>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91"/>
        <item m="1" x="72"/>
        <item m="1" x="73"/>
        <item m="1" x="74"/>
        <item m="1" x="75"/>
        <item m="1" x="76"/>
        <item m="1" x="77"/>
        <item m="1" x="78"/>
        <item m="1" x="79"/>
        <item m="1" x="80"/>
        <item m="1" x="81"/>
        <item m="1" x="82"/>
        <item m="1" x="83"/>
        <item m="1" x="84"/>
        <item m="1" x="85"/>
        <item m="1" x="86"/>
        <item m="1" x="87"/>
        <item m="1" x="88"/>
        <item m="1" x="89"/>
        <item m="1" x="90"/>
        <item x="1"/>
        <item x="2"/>
        <item x="3"/>
        <item x="4"/>
        <item x="5"/>
        <item x="6"/>
        <item x="7"/>
        <item x="8"/>
        <item x="9"/>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7">
    <i>
      <x v="366"/>
    </i>
    <i>
      <x v="367"/>
    </i>
    <i>
      <x v="368"/>
    </i>
    <i>
      <x v="369"/>
    </i>
    <i>
      <x v="370"/>
    </i>
    <i>
      <x v="371"/>
    </i>
    <i>
      <x v="372"/>
    </i>
    <i>
      <x v="373"/>
    </i>
    <i>
      <x v="374"/>
    </i>
    <i>
      <x v="375"/>
    </i>
    <i>
      <x v="376"/>
    </i>
    <i>
      <x v="377"/>
    </i>
    <i>
      <x v="378"/>
    </i>
    <i>
      <x v="379"/>
    </i>
    <i>
      <x v="380"/>
    </i>
    <i>
      <x v="38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4:K70" firstHeaderRow="0" firstDataRow="1" firstDataCol="1"/>
  <pivotFields count="14">
    <pivotField axis="axisRow" numFmtId="14"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4"/>
        <item x="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67"/>
    </i>
    <i>
      <x v="68"/>
    </i>
    <i>
      <x v="69"/>
    </i>
    <i>
      <x v="70"/>
    </i>
    <i>
      <x v="7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K3:O14" firstHeaderRow="0" firstDataRow="1" firstDataCol="1" rowPageCount="1" colPageCount="1"/>
  <pivotFields count="9">
    <pivotField axis="axisRow" numFmtId="14" showAll="0">
      <items count="84">
        <item m="1" x="67"/>
        <item m="1" x="68"/>
        <item m="1" x="69"/>
        <item m="1" x="70"/>
        <item m="1" x="71"/>
        <item m="1" x="72"/>
        <item m="1" x="73"/>
        <item m="1" x="82"/>
        <item m="1" x="63"/>
        <item m="1" x="74"/>
        <item m="1" x="75"/>
        <item m="1" x="76"/>
        <item m="1" x="77"/>
        <item m="1" x="78"/>
        <item m="1" x="79"/>
        <item m="1" x="80"/>
        <item m="1" x="34"/>
        <item m="1" x="35"/>
        <item m="1" x="81"/>
        <item m="1" x="36"/>
        <item m="1" x="33"/>
        <item m="1" x="37"/>
        <item m="1" x="39"/>
        <item m="1" x="40"/>
        <item m="1" x="41"/>
        <item m="1" x="43"/>
        <item m="1" x="44"/>
        <item m="1" x="45"/>
        <item m="1" x="38"/>
        <item m="1" x="42"/>
        <item m="1" x="46"/>
        <item m="1" x="47"/>
        <item m="1" x="48"/>
        <item m="1" x="49"/>
        <item m="1" x="32"/>
        <item m="1" x="50"/>
        <item m="1" x="64"/>
        <item m="1" x="65"/>
        <item m="1" x="66"/>
        <item m="1" x="51"/>
        <item m="1" x="52"/>
        <item m="1" x="53"/>
        <item m="1" x="54"/>
        <item m="1" x="55"/>
        <item m="1" x="56"/>
        <item m="1" x="57"/>
        <item m="1" x="58"/>
        <item m="1" x="59"/>
        <item m="1" x="60"/>
        <item m="1" x="61"/>
        <item m="1" x="62"/>
        <item m="1" x="3"/>
        <item m="1" x="4"/>
        <item m="1" x="5"/>
        <item m="1" x="6"/>
        <item m="1" x="7"/>
        <item m="1" x="8"/>
        <item m="1" x="9"/>
        <item m="1" x="10"/>
        <item m="1" x="12"/>
        <item m="1" x="13"/>
        <item m="1" x="14"/>
        <item m="1" x="11"/>
        <item m="1" x="15"/>
        <item m="1" x="16"/>
        <item m="1" x="17"/>
        <item m="1" x="18"/>
        <item m="1" x="19"/>
        <item m="1" x="20"/>
        <item m="1" x="21"/>
        <item m="1" x="22"/>
        <item m="1" x="23"/>
        <item m="1" x="24"/>
        <item m="1" x="25"/>
        <item m="1" x="26"/>
        <item m="1" x="27"/>
        <item m="1" x="28"/>
        <item m="1" x="29"/>
        <item m="1" x="30"/>
        <item m="1" x="31"/>
        <item x="0"/>
        <item x="1"/>
        <item x="2"/>
        <item t="default"/>
      </items>
    </pivotField>
    <pivotField axis="axisPage" showAll="0">
      <items count="9">
        <item x="1"/>
        <item x="0"/>
        <item m="1" x="5"/>
        <item m="1" x="7"/>
        <item x="2"/>
        <item x="3"/>
        <item x="4"/>
        <item m="1" x="6"/>
        <item t="default"/>
      </items>
    </pivotField>
    <pivotField axis="axisRow" showAll="0">
      <items count="59">
        <item m="1" x="48"/>
        <item m="1" x="32"/>
        <item m="1" x="44"/>
        <item m="1" x="14"/>
        <item m="1" x="49"/>
        <item m="1" x="50"/>
        <item m="1" x="45"/>
        <item m="1" x="46"/>
        <item m="1" x="47"/>
        <item x="1"/>
        <item m="1" x="25"/>
        <item m="1" x="51"/>
        <item m="1" x="52"/>
        <item m="1" x="53"/>
        <item m="1" x="54"/>
        <item m="1" x="55"/>
        <item m="1" x="56"/>
        <item m="1" x="21"/>
        <item m="1" x="22"/>
        <item m="1" x="57"/>
        <item m="1" x="23"/>
        <item x="0"/>
        <item m="1" x="24"/>
        <item m="1" x="26"/>
        <item m="1" x="27"/>
        <item m="1" x="28"/>
        <item m="1" x="29"/>
        <item m="1" x="30"/>
        <item m="1" x="31"/>
        <item m="1" x="33"/>
        <item m="1" x="34"/>
        <item m="1" x="16"/>
        <item m="1" x="35"/>
        <item m="1" x="36"/>
        <item m="1" x="37"/>
        <item m="1" x="20"/>
        <item m="1" x="38"/>
        <item m="1" x="39"/>
        <item m="1" x="18"/>
        <item m="1" x="40"/>
        <item m="1" x="41"/>
        <item m="1" x="42"/>
        <item m="1" x="43"/>
        <item m="1" x="6"/>
        <item m="1" x="7"/>
        <item m="1" x="8"/>
        <item m="1" x="9"/>
        <item m="1" x="10"/>
        <item m="1" x="11"/>
        <item m="1" x="12"/>
        <item m="1" x="13"/>
        <item m="1" x="15"/>
        <item m="1" x="17"/>
        <item m="1" x="19"/>
        <item m="1" x="5"/>
        <item x="2"/>
        <item x="3"/>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1">
    <i>
      <x v="80"/>
    </i>
    <i r="1">
      <x v="9"/>
    </i>
    <i r="1">
      <x v="21"/>
    </i>
    <i r="1">
      <x v="55"/>
    </i>
    <i>
      <x v="81"/>
    </i>
    <i r="1">
      <x v="9"/>
    </i>
    <i r="1">
      <x v="56"/>
    </i>
    <i r="1">
      <x v="57"/>
    </i>
    <i>
      <x v="82"/>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17">
      <pivotArea dataOnly="0" labelOnly="1" outline="0" fieldPosition="0">
        <references count="1">
          <reference field="1" count="1">
            <x v="1"/>
          </reference>
        </references>
      </pivotArea>
    </format>
    <format dxfId="11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6" firstHeaderRow="0" firstDataRow="1" firstDataCol="1"/>
  <pivotFields count="7">
    <pivotField numFmtId="14" showAll="0"/>
    <pivotField axis="axisRow" showAll="0">
      <items count="53">
        <item x="3"/>
        <item m="1" x="25"/>
        <item x="1"/>
        <item m="1" x="35"/>
        <item m="1" x="41"/>
        <item m="1" x="30"/>
        <item x="2"/>
        <item x="7"/>
        <item x="14"/>
        <item m="1" x="29"/>
        <item x="8"/>
        <item m="1" x="50"/>
        <item m="1" x="34"/>
        <item x="4"/>
        <item m="1" x="43"/>
        <item m="1" x="48"/>
        <item x="16"/>
        <item x="10"/>
        <item x="5"/>
        <item m="1" x="23"/>
        <item x="21"/>
        <item x="12"/>
        <item m="1" x="51"/>
        <item m="1" x="28"/>
        <item m="1" x="24"/>
        <item m="1" x="49"/>
        <item m="1" x="40"/>
        <item x="13"/>
        <item m="1" x="42"/>
        <item m="1" x="44"/>
        <item m="1" x="45"/>
        <item m="1" x="46"/>
        <item m="1" x="33"/>
        <item m="1" x="47"/>
        <item m="1" x="36"/>
        <item m="1" x="26"/>
        <item x="19"/>
        <item m="1" x="27"/>
        <item m="1" x="22"/>
        <item m="1" x="31"/>
        <item m="1" x="32"/>
        <item x="6"/>
        <item x="9"/>
        <item m="1" x="37"/>
        <item m="1" x="38"/>
        <item m="1" x="39"/>
        <item x="0"/>
        <item x="11"/>
        <item x="15"/>
        <item x="17"/>
        <item x="18"/>
        <item x="20"/>
        <item t="default"/>
      </items>
    </pivotField>
    <pivotField dataField="1" showAll="0"/>
    <pivotField dataField="1" showAll="0"/>
    <pivotField showAll="0"/>
    <pivotField showAll="0"/>
    <pivotField showAll="0"/>
  </pivotFields>
  <rowFields count="1">
    <field x="1"/>
  </rowFields>
  <rowItems count="23">
    <i>
      <x/>
    </i>
    <i>
      <x v="2"/>
    </i>
    <i>
      <x v="6"/>
    </i>
    <i>
      <x v="7"/>
    </i>
    <i>
      <x v="8"/>
    </i>
    <i>
      <x v="10"/>
    </i>
    <i>
      <x v="13"/>
    </i>
    <i>
      <x v="16"/>
    </i>
    <i>
      <x v="17"/>
    </i>
    <i>
      <x v="18"/>
    </i>
    <i>
      <x v="20"/>
    </i>
    <i>
      <x v="21"/>
    </i>
    <i>
      <x v="27"/>
    </i>
    <i>
      <x v="36"/>
    </i>
    <i>
      <x v="41"/>
    </i>
    <i>
      <x v="42"/>
    </i>
    <i>
      <x v="46"/>
    </i>
    <i>
      <x v="47"/>
    </i>
    <i>
      <x v="48"/>
    </i>
    <i>
      <x v="49"/>
    </i>
    <i>
      <x v="50"/>
    </i>
    <i>
      <x v="51"/>
    </i>
    <i t="grand">
      <x/>
    </i>
  </rowItems>
  <colFields count="1">
    <field x="-2"/>
  </colFields>
  <colItems count="2">
    <i>
      <x/>
    </i>
    <i i="1">
      <x v="1"/>
    </i>
  </colItems>
  <dataFields count="2">
    <dataField name="Sum of Credit" fld="3" baseField="0" baseItem="0"/>
    <dataField name="Sum of Debit" fld="2" baseField="0" baseItem="0"/>
  </dataFields>
  <formats count="1">
    <format dxfId="9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4" firstHeaderRow="0" firstDataRow="1" firstDataCol="1" rowPageCount="1" colPageCount="1"/>
  <pivotFields count="14">
    <pivotField showAll="0"/>
    <pivotField axis="axisPage" showAll="0">
      <items count="26">
        <item m="1" x="22"/>
        <item x="2"/>
        <item x="0"/>
        <item x="1"/>
        <item m="1" x="24"/>
        <item m="1" x="20"/>
        <item x="6"/>
        <item m="1" x="23"/>
        <item x="3"/>
        <item x="4"/>
        <item m="1" x="21"/>
        <item m="1" x="19"/>
        <item x="18"/>
        <item x="5"/>
        <item x="10"/>
        <item x="8"/>
        <item x="9"/>
        <item x="7"/>
        <item x="11"/>
        <item x="12"/>
        <item x="13"/>
        <item x="14"/>
        <item x="15"/>
        <item x="16"/>
        <item x="17"/>
        <item t="default"/>
      </items>
    </pivotField>
    <pivotField showAll="0"/>
    <pivotField showAll="0"/>
    <pivotField axis="axisRow" showAll="0">
      <items count="199">
        <item m="1" x="181"/>
        <item m="1" x="182"/>
        <item m="1" x="180"/>
        <item m="1" x="179"/>
        <item m="1" x="183"/>
        <item m="1" x="185"/>
        <item m="1" x="184"/>
        <item m="1" x="186"/>
        <item m="1" x="187"/>
        <item m="1" x="188"/>
        <item m="1" x="189"/>
        <item m="1" x="190"/>
        <item m="1" x="191"/>
        <item m="1" x="192"/>
        <item m="1" x="117"/>
        <item m="1" x="139"/>
        <item m="1" x="193"/>
        <item m="1" x="194"/>
        <item m="1" x="195"/>
        <item m="1" x="147"/>
        <item m="1" x="146"/>
        <item m="1" x="196"/>
        <item m="1" x="197"/>
        <item m="1" x="156"/>
        <item m="1" x="148"/>
        <item m="1" x="149"/>
        <item m="1" x="150"/>
        <item m="1" x="151"/>
        <item m="1" x="152"/>
        <item m="1" x="153"/>
        <item m="1" x="154"/>
        <item m="1" x="155"/>
        <item m="1" x="157"/>
        <item m="1" x="177"/>
        <item m="1" x="158"/>
        <item m="1" x="178"/>
        <item m="1" x="159"/>
        <item m="1" x="160"/>
        <item m="1" x="161"/>
        <item m="1" x="162"/>
        <item m="1" x="163"/>
        <item m="1" x="93"/>
        <item m="1" x="164"/>
        <item m="1" x="165"/>
        <item m="1" x="166"/>
        <item m="1" x="167"/>
        <item m="1" x="168"/>
        <item m="1" x="169"/>
        <item m="1" x="170"/>
        <item m="1" x="171"/>
        <item m="1" x="172"/>
        <item m="1" x="173"/>
        <item m="1" x="174"/>
        <item m="1" x="175"/>
        <item m="1" x="176"/>
        <item x="0"/>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40"/>
        <item m="1" x="141"/>
        <item m="1" x="142"/>
        <item m="1" x="143"/>
        <item m="1" x="144"/>
        <item m="1" x="145"/>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91"/>
        <item m="1" x="72"/>
        <item m="1" x="73"/>
        <item m="1" x="74"/>
        <item m="1" x="75"/>
        <item m="1" x="76"/>
        <item m="1" x="77"/>
        <item m="1" x="78"/>
        <item m="1" x="79"/>
        <item m="1" x="80"/>
        <item m="1" x="81"/>
        <item m="1" x="82"/>
        <item m="1" x="83"/>
        <item m="1" x="84"/>
        <item m="1" x="85"/>
        <item m="1" x="86"/>
        <item m="1" x="87"/>
        <item m="1" x="88"/>
        <item m="1" x="89"/>
        <item m="1" x="90"/>
        <item x="1"/>
        <item x="2"/>
        <item x="3"/>
        <item x="4"/>
        <item x="5"/>
        <item x="6"/>
        <item x="7"/>
        <item x="8"/>
        <item x="9"/>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1">
    <i>
      <x v="55"/>
    </i>
    <i>
      <x v="189"/>
    </i>
    <i>
      <x v="190"/>
    </i>
    <i>
      <x v="191"/>
    </i>
    <i>
      <x v="192"/>
    </i>
    <i>
      <x v="193"/>
    </i>
    <i>
      <x v="194"/>
    </i>
    <i>
      <x v="195"/>
    </i>
    <i>
      <x v="196"/>
    </i>
    <i>
      <x v="19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4">
      <pivotArea type="all" dataOnly="0" outline="0" fieldPosition="0"/>
    </format>
    <format dxfId="53">
      <pivotArea outline="0" collapsedLevelsAreSubtotals="1" fieldPosition="0"/>
    </format>
    <format dxfId="52">
      <pivotArea field="4" type="button" dataOnly="0" labelOnly="1" outline="0" axis="axisRow" fieldPosition="0"/>
    </format>
    <format dxfId="51">
      <pivotArea dataOnly="0" labelOnly="1" fieldPosition="0">
        <references count="1">
          <reference field="4" count="0"/>
        </references>
      </pivotArea>
    </format>
    <format dxfId="50">
      <pivotArea dataOnly="0" labelOnly="1" grandRow="1" outline="0" fieldPosition="0"/>
    </format>
    <format dxfId="49">
      <pivotArea dataOnly="0" labelOnly="1" outline="0" fieldPosition="0">
        <references count="1">
          <reference field="4294967294" count="2">
            <x v="0"/>
            <x v="1"/>
          </reference>
        </references>
      </pivotArea>
    </format>
    <format dxfId="48">
      <pivotArea grandRow="1" outline="0" collapsedLevelsAreSubtotals="1" fieldPosition="0"/>
    </format>
    <format dxfId="47">
      <pivotArea field="4" type="button" dataOnly="0" labelOnly="1" outline="0" axis="axisRow" fieldPosition="0"/>
    </format>
    <format dxfId="4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8">
        <i x="9" s="1"/>
        <i x="2" s="1"/>
        <i x="3" s="1"/>
        <i x="5" s="1"/>
        <i x="7" s="1"/>
        <i x="1" s="1"/>
        <i x="4" s="1"/>
        <i x="8" s="1"/>
        <i x="6" s="1"/>
        <i x="152" s="1" nd="1"/>
        <i x="181" s="1" nd="1"/>
        <i x="182" s="1" nd="1"/>
        <i x="190" s="1" nd="1"/>
        <i x="180" s="1" nd="1"/>
        <i x="179" s="1" nd="1"/>
        <i x="183" s="1" nd="1"/>
        <i x="194" s="1" nd="1"/>
        <i x="186" s="1" nd="1"/>
        <i x="187" s="1" nd="1"/>
        <i x="184" s="1" nd="1"/>
        <i x="185" s="1" nd="1"/>
        <i x="195" s="1" nd="1"/>
        <i x="188" s="1" nd="1"/>
        <i x="189" s="1" nd="1"/>
        <i x="192" s="1" nd="1"/>
        <i x="193" s="1" nd="1"/>
        <i x="191" s="1" nd="1"/>
        <i x="147" s="1" nd="1"/>
        <i x="197" s="1" nd="1"/>
        <i x="146" s="1" nd="1"/>
        <i x="196" s="1" nd="1"/>
        <i x="149" s="1" nd="1"/>
        <i x="110" s="1" nd="1"/>
        <i x="148" s="1" nd="1"/>
        <i x="150" s="1" nd="1"/>
        <i x="156" s="1" nd="1"/>
        <i x="151" s="1" nd="1"/>
        <i x="153" s="1" nd="1"/>
        <i x="169" s="1" nd="1"/>
        <i x="92" s="1" nd="1"/>
        <i x="157" s="1" nd="1"/>
        <i x="97" s="1" nd="1"/>
        <i x="163" s="1" nd="1"/>
        <i x="158" s="1" nd="1"/>
        <i x="161" s="1" nd="1"/>
        <i x="166" s="1" nd="1"/>
        <i x="177" s="1" nd="1"/>
        <i x="159" s="1" nd="1"/>
        <i x="171" s="1" nd="1"/>
        <i x="174" s="1" nd="1"/>
        <i x="165" s="1" nd="1"/>
        <i x="154" s="1" nd="1"/>
        <i x="162" s="1" nd="1"/>
        <i x="155" s="1" nd="1"/>
        <i x="160" s="1" nd="1"/>
        <i x="93" s="1" nd="1"/>
        <i x="164" s="1" nd="1"/>
        <i x="170" s="1" nd="1"/>
        <i x="107" s="1" nd="1"/>
        <i x="167" s="1" nd="1"/>
        <i x="172" s="1" nd="1"/>
        <i x="168" s="1" nd="1"/>
        <i x="134" s="1" nd="1"/>
        <i x="173" s="1" nd="1"/>
        <i x="175" s="1" nd="1"/>
        <i x="95" s="1" nd="1"/>
        <i x="102" s="1" nd="1"/>
        <i x="176" s="1" nd="1"/>
        <i x="99" s="1" nd="1"/>
        <i x="100" s="1" nd="1"/>
        <i x="94" s="1" nd="1"/>
        <i x="98" s="1" nd="1"/>
        <i x="96" s="1" nd="1"/>
        <i x="105" s="1" nd="1"/>
        <i x="101" s="1" nd="1"/>
        <i x="103" s="1" nd="1"/>
        <i x="106" s="1" nd="1"/>
        <i x="114" s="1" nd="1"/>
        <i x="104" s="1" nd="1"/>
        <i x="113" s="1" nd="1"/>
        <i x="118" s="1" nd="1"/>
        <i x="112" s="1" nd="1"/>
        <i x="115" s="1" nd="1"/>
        <i x="125" s="1" nd="1"/>
        <i x="111" s="1" nd="1"/>
        <i x="108" s="1" nd="1"/>
        <i x="109" s="1" nd="1"/>
        <i x="124" s="1" nd="1"/>
        <i x="117" s="1" nd="1"/>
        <i x="128" s="1" nd="1"/>
        <i x="123" s="1" nd="1"/>
        <i x="116" s="1" nd="1"/>
        <i x="140" s="1" nd="1"/>
        <i x="121" s="1" nd="1"/>
        <i x="131" s="1" nd="1"/>
        <i x="129" s="1" nd="1"/>
        <i x="119" s="1" nd="1"/>
        <i x="127" s="1" nd="1"/>
        <i x="126" s="1" nd="1"/>
        <i x="122" s="1" nd="1"/>
        <i x="132" s="1" nd="1"/>
        <i x="130" s="1" nd="1"/>
        <i x="133" s="1" nd="1"/>
        <i x="120" s="1" nd="1"/>
        <i x="61" s="1" nd="1"/>
        <i x="135" s="1" nd="1"/>
        <i x="136" s="1" nd="1"/>
        <i x="19" s="1" nd="1"/>
        <i x="21" s="1" nd="1"/>
        <i x="143" s="1" nd="1"/>
        <i x="15" s="1" nd="1"/>
        <i x="62" s="1" nd="1"/>
        <i x="137" s="1" nd="1"/>
        <i x="138" s="1" nd="1"/>
        <i x="18" s="1" nd="1"/>
        <i x="145" s="1" nd="1"/>
        <i x="17" s="1" nd="1"/>
        <i x="32" s="1" nd="1"/>
        <i x="144" s="1" nd="1"/>
        <i x="139" s="1" nd="1"/>
        <i x="36" s="1" nd="1"/>
        <i x="142" s="1" nd="1"/>
        <i x="141" s="1" nd="1"/>
        <i x="57" s="1" nd="1"/>
        <i x="10" s="1" nd="1"/>
        <i x="22" s="1" nd="1"/>
        <i x="58" s="1" nd="1"/>
        <i x="56" s="1" nd="1"/>
        <i x="14" s="1" nd="1"/>
        <i x="16" s="1" nd="1"/>
        <i x="20" s="1" nd="1"/>
        <i x="11" s="1" nd="1"/>
        <i x="46" s="1" nd="1"/>
        <i x="51" s="1" nd="1"/>
        <i x="12" s="1" nd="1"/>
        <i x="13" s="1" nd="1"/>
        <i x="23" s="1" nd="1"/>
        <i x="26" s="1" nd="1"/>
        <i x="33" s="1" nd="1"/>
        <i x="25" s="1" nd="1"/>
        <i x="28" s="1" nd="1"/>
        <i x="27" s="1" nd="1"/>
        <i x="70" s="1" nd="1"/>
        <i x="24" s="1" nd="1"/>
        <i x="49" s="1" nd="1"/>
        <i x="65" s="1" nd="1"/>
        <i x="29" s="1" nd="1"/>
        <i x="54" s="1" nd="1"/>
        <i x="67" s="1" nd="1"/>
        <i x="38" s="1" nd="1"/>
        <i x="79" s="1" nd="1"/>
        <i x="37" s="1" nd="1"/>
        <i x="34" s="1" nd="1"/>
        <i x="30" s="1" nd="1"/>
        <i x="31" s="1" nd="1"/>
        <i x="50" s="1" nd="1"/>
        <i x="39" s="1" nd="1"/>
        <i x="40" s="1" nd="1"/>
        <i x="35" s="1" nd="1"/>
        <i x="42" s="1" nd="1"/>
        <i x="43" s="1" nd="1"/>
        <i x="72" s="1" nd="1"/>
        <i x="41" s="1" nd="1"/>
        <i x="59" s="1" nd="1"/>
        <i x="47" s="1" nd="1"/>
        <i x="44" s="1" nd="1"/>
        <i x="48" s="1" nd="1"/>
        <i x="45" s="1" nd="1"/>
        <i x="52" s="1" nd="1"/>
        <i x="71" s="1" nd="1"/>
        <i x="66" s="1" nd="1"/>
        <i x="85" s="1" nd="1"/>
        <i x="53" s="1" nd="1"/>
        <i x="64" s="1" nd="1"/>
        <i x="55" s="1" nd="1"/>
        <i x="80" s="1" nd="1"/>
        <i x="63" s="1" nd="1"/>
        <i x="78" s="1" nd="1"/>
        <i x="69" s="1" nd="1"/>
        <i x="68" s="1" nd="1"/>
        <i x="84" s="1" nd="1"/>
        <i x="81" s="1" nd="1"/>
        <i x="89" s="1" nd="1"/>
        <i x="73" s="1" nd="1"/>
        <i x="82" s="1" nd="1"/>
        <i x="87" s="1" nd="1"/>
        <i x="91" s="1" nd="1"/>
        <i x="88" s="1" nd="1"/>
        <i x="83" s="1" nd="1"/>
        <i x="74" s="1" nd="1"/>
        <i x="77" s="1" nd="1"/>
        <i x="86" s="1" nd="1"/>
        <i x="75" s="1" nd="1"/>
        <i x="76" s="1" nd="1"/>
        <i x="90" s="1" nd="1"/>
        <i x="60" s="1" nd="1"/>
        <i x="17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40">
      <calculatedColumnFormula>B49</calculatedColumnFormula>
    </tableColumn>
    <tableColumn id="2" xr3:uid="{7EDCC2ED-0339-42B3-9633-FFEA7A3DD9F3}" name="Tiyaar" dataDxfId="139">
      <calculatedColumnFormula>SUMIFS(ledger!G:G, ledger!B:B, B2, ledger!E:E, "&lt;&gt;*RD*") / 1.0936</calculatedColumnFormula>
    </tableColumn>
    <tableColumn id="3" xr3:uid="{CC1535DD-3FE7-4F55-8040-E7643388A78E}" name="Rate"/>
    <tableColumn id="4" xr3:uid="{059CB70B-ADAD-4985-84AA-0D530BAC5567}" name="Total" dataDxfId="138">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7" dataDxfId="136">
  <autoFilter ref="B7:E20" xr:uid="{449E5D32-DF9C-4018-96AB-CA98E118D910}"/>
  <tableColumns count="4">
    <tableColumn id="1" xr3:uid="{F663704C-91DD-4BB9-B7EB-EEB0C5EDED6C}" name="Description" dataDxfId="135"/>
    <tableColumn id="2" xr3:uid="{6D94D495-CD0B-4FD3-9771-81D731982A97}" name="Rate" dataDxfId="134" dataCellStyle="Comma"/>
    <tableColumn id="3" xr3:uid="{2D14CEAD-3602-40E7-A488-3584EBC9141E}" name="gazana" dataDxfId="133" dataCellStyle="Comma"/>
    <tableColumn id="4" xr3:uid="{06FEE63C-6480-4079-8426-51BC26B38B34}" name="sum" dataDxfId="13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1" totalsRowDxfId="13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9" dataDxfId="128" headerRowCellStyle="Comma" dataCellStyle="Comma">
  <autoFilter ref="B2:C5" xr:uid="{136E8F7F-D03F-4198-8335-91A003EA9E45}"/>
  <tableColumns count="2">
    <tableColumn id="1" xr3:uid="{279FA697-9952-479A-AC05-0D4992B41374}" name="Column1" dataDxfId="127" dataCellStyle="Comma"/>
    <tableColumn id="2" xr3:uid="{8A64998B-65EF-41CD-BCB0-3DDB7B359C54}" name="Column2" dataDxfId="12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5"/>
    <tableColumn id="2" xr3:uid="{51D27FA2-8DDF-4369-BAF7-7D1FE90E16A0}" name="Column2" dataDxfId="1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3" totalsRowDxfId="12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8" totalsRowCount="1" headerRowDxfId="119" dataDxfId="118" headerRowCellStyle="Comma" dataCellStyle="Comma">
  <autoFilter ref="A1:K47" xr:uid="{11DACEC6-751B-4B1D-817F-5C5BCD38EF6D}"/>
  <tableColumns count="11">
    <tableColumn id="1" xr3:uid="{2FCE3FA8-A48C-4685-8919-AE44C6C71FD9}" name="Date" dataDxfId="34" dataCellStyle="Comma"/>
    <tableColumn id="2" xr3:uid="{5780FD5F-0890-44E6-B59C-8E37A559FE36}" name="Party Name" dataDxfId="33" dataCellStyle="Comma"/>
    <tableColumn id="3" xr3:uid="{5B3ECD85-9174-40AC-BFBD-49CAC97A83D3}" name="Bill Number" dataDxfId="32" dataCellStyle="Comma"/>
    <tableColumn id="4" xr3:uid="{11B50761-04B6-4262-AD4D-7182450037D1}" name="Quality" dataDxfId="31" dataCellStyle="Comma"/>
    <tableColumn id="5" xr3:uid="{2C556969-B713-4967-BD24-466AACCBE5F5}" name="Shipment Number" dataDxfId="30" totalsRowDxfId="6" dataCellStyle="Comma"/>
    <tableColumn id="6" xr3:uid="{F4E1FD2B-9017-4DEB-B772-BF447ECE56F7}" name="Kora/metre" dataDxfId="29" totalsRowDxfId="5" dataCellStyle="Comma"/>
    <tableColumn id="7" xr3:uid="{52ACC1DA-7A76-4A90-B809-3A1AE728E7EA}" name="Tiyaar/gaz" dataDxfId="28" totalsRowDxfId="4" dataCellStyle="Comma"/>
    <tableColumn id="8" xr3:uid="{31A0FF5E-56F0-44D1-9865-73256B964660}" name="shortage %" dataDxfId="27" totalsRowDxfId="3" dataCellStyle="Comma">
      <calculatedColumnFormula>_xlfn.XLOOKUP(Table1[[#This Row],[Shipment Number]], 'pivot '!A:A,'pivot '!G:G, "NF")</calculatedColumnFormula>
    </tableColumn>
    <tableColumn id="9" xr3:uid="{F99075E0-AC8E-094D-BB85-272AD2C6C568}" name="tiyar/meters" totalsRowFunction="custom" dataDxfId="26" totalsRowDxfId="2"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25" totalsRowDxfId="1"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24" totalsRowDxfId="0"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6" totalsRowCount="1" headerRowDxfId="115" headerRowBorderDxfId="114" tableBorderDxfId="113">
  <autoFilter ref="A1:I15" xr:uid="{F8E8C957-ABE7-4E4F-8D4E-7D44E26B334F}"/>
  <tableColumns count="9">
    <tableColumn id="1" xr3:uid="{C2E817D6-AB98-4DDD-8890-736B27F261CD}" name="Date" dataDxfId="112" totalsRowDxfId="111"/>
    <tableColumn id="2" xr3:uid="{CFB51890-CCDC-463C-81C9-3F8BD7469CB9}" name="Party Name"/>
    <tableColumn id="3" xr3:uid="{A113D971-1C9D-4733-99C4-BD0CC4333209}" name="Vehicle Number"/>
    <tableColumn id="4" xr3:uid="{49780304-3DD1-4AE9-98EE-2BC7EB8F3B57}" name="Weight" dataDxfId="110" totalsRowDxfId="109" dataCellStyle="Comma"/>
    <tableColumn id="5" xr3:uid="{FCAF1BC6-1D8C-42AD-8BBC-F924BF2DC7FE}" name="Rate" dataDxfId="108" totalsRowDxfId="107" dataCellStyle="Comma"/>
    <tableColumn id="6" xr3:uid="{8C70A624-4134-410C-9C45-9FDEB51D51BF}" name="Rent" dataDxfId="106" totalsRowDxfId="105" dataCellStyle="Comma"/>
    <tableColumn id="7" xr3:uid="{EBCE10AE-9634-4982-9C95-37ABC8A7078C}" name="Total" totalsRowFunction="sum" dataDxfId="104" totalsRowDxfId="103" dataCellStyle="Comma">
      <calculatedColumnFormula>D2*E2</calculatedColumnFormula>
    </tableColumn>
    <tableColumn id="9" xr3:uid="{D4788559-C94A-44D9-B9AE-E72B214355AC}" name="Paid" totalsRowFunction="sum" dataDxfId="102" totalsRowDxfId="101" dataCellStyle="Comma"/>
    <tableColumn id="8" xr3:uid="{E26F5BF0-1875-4FC6-994D-49F202ED562B}" name="balance" totalsRowFunction="sum" dataDxfId="100" totalsRowDxfId="99"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72" totalsRowCount="1">
  <autoFilter ref="A1:G71" xr:uid="{CB032221-B416-47A8-9A76-693DE76CFD04}"/>
  <tableColumns count="7">
    <tableColumn id="1" xr3:uid="{554B1EED-65B6-4E9A-B646-82727FAC40DE}" name="Date" dataDxfId="97" totalsRowDxfId="38"/>
    <tableColumn id="2" xr3:uid="{32259059-42CF-4947-83DE-115AA430BE2B}" name="Party"/>
    <tableColumn id="3" xr3:uid="{A1320223-D55D-483C-91C3-AB19B95CC9D8}" name="Debit" totalsRowFunction="sum" dataDxfId="96" totalsRowDxfId="37" dataCellStyle="Comma"/>
    <tableColumn id="4" xr3:uid="{E9745767-9FF0-4B1C-9052-FF335D1D7588}" name="Credit" totalsRowFunction="sum" dataDxfId="95" totalsRowDxfId="36" dataCellStyle="Comma"/>
    <tableColumn id="5" xr3:uid="{5C88A48E-2467-4E6D-B626-2442B7FD0BE4}" name="Description"/>
    <tableColumn id="6" xr3:uid="{63CA4666-144E-4BE6-8B7C-7CB992BD3041}" name="Mode" totalsRowFunction="custom" dataDxfId="94" totalsRowDxfId="3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3" tableBorderDxfId="92" totalsRowBorderDxfId="91">
  <autoFilter ref="J3:K6" xr:uid="{DCE01694-23ED-48BF-8B92-4186B9ED10A8}"/>
  <tableColumns count="2">
    <tableColumn id="1" xr3:uid="{C8484DAF-2989-4C2F-9AEC-A6917E1C57F6}" name="Type" dataDxfId="90"/>
    <tableColumn id="2" xr3:uid="{B07B7A2A-4D4E-4654-BED6-FE2F0A7BEC34}" name="Amount" dataDxfId="8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8" headerRowBorderDxfId="87" tableBorderDxfId="86" totalsRowBorderDxfId="85">
  <autoFilter ref="M3:O6" xr:uid="{D166BDD1-ACD7-45D7-8AE9-7350373F8CEB}"/>
  <tableColumns count="3">
    <tableColumn id="1" xr3:uid="{64F0205E-DEA7-4571-BA86-E4374A5FEE28}" name="Type" totalsRowLabel="Total" dataDxfId="84" totalsRowDxfId="83"/>
    <tableColumn id="2" xr3:uid="{15FA05F9-789C-4459-9BE0-5C1EC84D3365}" name="amount" totalsRowFunction="custom" dataDxfId="82" totalsRowDxfId="81">
      <totalsRowFormula>SUM(N5:N6)</totalsRowFormula>
    </tableColumn>
    <tableColumn id="3" xr3:uid="{3681D409-90C6-44D0-BDE2-4B5943A516F0}" name="Actual" totalsRowFunction="custom" totalsRowDxfId="8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9" totalsRowDxfId="78"/>
    <tableColumn id="2" xr3:uid="{5B9D0FEE-4304-4C5C-A05C-5B27CF7841D3}" name="Type"/>
    <tableColumn id="3" xr3:uid="{6A91CA0D-C802-4C6F-9F39-CA53687E8EDE}" name="Description"/>
    <tableColumn id="4" xr3:uid="{A251D40C-AB87-4BB4-85F8-444B20E32FDF}" name="Total" totalsRowFunction="custom" dataDxfId="77" totalsRowDxfId="7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75" headerRowBorderDxfId="74">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3"/>
    <tableColumn id="4" xr3:uid="{1889A312-9B41-4EC4-BD8F-05252F27084A}" name="Price" totalsRowFunction="sum"/>
    <tableColumn id="6" xr3:uid="{8B974B20-F003-4E67-8660-024FA4F324A9}" name="Party"/>
    <tableColumn id="7" xr3:uid="{0A5A5C21-FD61-47DA-9F54-66A6479FA557}" name="Paid" dataDxfId="72">
      <calculatedColumnFormula>SUMIFS(Table14[Debit], Table14[Date], Table8[[#This Row],[Date]], Table14[Party], Table8[[#This Row],[Party]])</calculatedColumnFormula>
    </tableColumn>
    <tableColumn id="8" xr3:uid="{8DCB3B43-2161-4081-82EC-CDB0F4DE4E6F}" name="Balance" totalsRowFunction="sum" dataDxfId="7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70" headerRowBorderDxfId="69">
  <autoFilter ref="A4:H9" xr:uid="{A4C80688-A8BA-4BA7-90B4-791CD99446B4}"/>
  <sortState xmlns:xlrd2="http://schemas.microsoft.com/office/spreadsheetml/2017/richdata2" ref="A5:H6">
    <sortCondition ref="A4:A6"/>
  </sortState>
  <tableColumns count="8">
    <tableColumn id="1" xr3:uid="{4A818912-918E-4111-ACFC-BC93FEF7C1AD}" name="Date" dataDxfId="68" totalsRowDxfId="67"/>
    <tableColumn id="8" xr3:uid="{477ACFD5-62AF-4F69-974B-E9B974C11D7D}" name="Party Name" dataDxfId="6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65">
      <calculatedColumnFormula>Table2[[#This Row],[Quantity]]*200*Table2[[#This Row],[Boxes]]</calculatedColumnFormula>
    </tableColumn>
    <tableColumn id="6" xr3:uid="{30432929-CBD4-4BA8-B63F-CD0F6CF6405F}" name="Paid" totalsRowFunction="sum" dataDxfId="64">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63">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2" totalsRowDxfId="61"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0" totalsRowDxfId="59"/>
    <tableColumn id="2" xr3:uid="{053BFC14-4828-417C-9F9F-95B6E232A945}" name="Amount" totalsRowFunction="custom" dataDxfId="58" totalsRowDxfId="5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56" totalsRowDxfId="5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5" totalsRowDxfId="4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3" totalsRowDxfId="4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41">
      <calculatedColumnFormula>Billing!O5</calculatedColumnFormula>
    </tableColumn>
    <tableColumn id="2" xr3:uid="{7093A59E-B58F-487D-888A-9AA8156B5F9A}" name="Amount Paid" dataDxfId="40">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39"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1"/>
  <sheetViews>
    <sheetView topLeftCell="O3" zoomScale="110" workbookViewId="0">
      <selection activeCell="AA23" sqref="AA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58167.520117044631</v>
      </c>
      <c r="D2">
        <v>10</v>
      </c>
      <c r="E2" s="14">
        <f>(SUMIFS(ledger!G:G, ledger!B:B, B2, ledger!E:E, "&lt;&gt;*RD*",ledger!D:D, "Silky") / 1.0936)*12 + (SUMIFS(ledger!G:G, ledger!B:B, B2, ledger!E:E, "&lt;&gt;*RD*",ledger!D:D, "Chamki") / 1.0936)*10</f>
        <v>698010.2414045356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34765.910753474767</v>
      </c>
      <c r="D4">
        <v>10</v>
      </c>
      <c r="E4" s="14">
        <f>(SUMIFS(ledger!G:G, ledger!B:B, B4, ledger!E:E, "&lt;&gt;*RD*",ledger!D:D, "Silky") / 1.0936)*12 + (SUMIFS(ledger!G:G, ledger!B:B, B4, ledger!E:E, "&lt;&gt;*RD*",ledger!D:D, "Chamki") / 1.0936)*10</f>
        <v>347659.10753474769</v>
      </c>
      <c r="I4" s="4" t="s">
        <v>21</v>
      </c>
      <c r="J4" s="5">
        <v>58167.520117044631</v>
      </c>
      <c r="K4" s="18">
        <v>698010.2414045356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2">_xlfn.UNIQUE(Table1[Party Name])</f>
        <v>BSC</v>
      </c>
      <c r="P5" s="23" cm="1">
        <f t="array" ref="P5">_xlfn.BYROW(B49,_xlfn.LAMBDA(_xlpm.party,SUMIFS(ledger!G:G,ledger!B:B,_xlpm.party,ledger!E:E,"&lt;&gt;*RD*")))+_xlfn.IFNA(C84,0)</f>
        <v>1729541</v>
      </c>
      <c r="Q5" s="23" cm="1">
        <f t="array" ref="Q5">_xlfn.BYROW(B49, _xlfn.LAMBDA(_xlpm.party, SUMIFS(ledger!G:G, ledger!B:B, _xlpm.party, ledger!E:E, "&lt;&gt;*RD*") / 1.0936 ))+_xlfn.IFNA(D84,0)</f>
        <v>1581511.5215801026</v>
      </c>
      <c r="R5" s="23" cm="1">
        <f t="array" ref="R5">(_xlfn.BYROW(B49,_xlfn.LAMBDA(_xlpm.party,SUMIFS(ledger!G:G,ledger!B:B,_xlpm.party,ledger!E:E,"&lt;&gt;*RD*",ledger!D:D,"Chamki")+SUMIFS(ledger!G:G, ledger!B:B, _xlpm.party, ledger!E:E, "&lt;&gt;*RD*", ledger!D:D, "Crinkle")))/1.0936)+_xlfn.IFNA(E84,0)</f>
        <v>1493155.6327724946</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14931556.327724949</v>
      </c>
      <c r="U5" s="23" cm="1">
        <f t="array" ref="U5">(_xlfn.BYROW(B49,_xlfn.LAMBDA(_xlpm.party,SUMIFS(ledger!G:G,ledger!B:B,_xlpm.party,ledger!E:E,"&lt;&gt;*RD*",ledger!D:D, "Silky")/1.0936))* Z5)+_xlfn.IFNA(H84,0)</f>
        <v>1060270.6656912949</v>
      </c>
      <c r="V5" s="44">
        <f>T5+U5</f>
        <v>15991826.993416244</v>
      </c>
      <c r="W5" s="23">
        <f>(SUMIF(Table14[Party],O5,Table14[Credit]))+_xlfn.IFNA(J84,0)</f>
        <v>16223141</v>
      </c>
      <c r="X5" s="38">
        <f>V5-W5</f>
        <v>-231314.00658375584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34765.910753474767</v>
      </c>
      <c r="K6" s="18">
        <v>347659.10753474769</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_xlfn.BYROW(B51,_xlfn.LAMBDA(_xlpm.party,SUMIFS(ledger!G:G,ledger!B:B,_xlpm.party,ledger!E:E,"&lt;&gt;*RD*")))+_xlfn.IFNA(C86,0)</f>
        <v>297768</v>
      </c>
      <c r="Q7" s="23" cm="1">
        <f t="array" ref="Q7">_xlfn.BYROW(B51, _xlfn.LAMBDA(_xlpm.party, SUMIFS(ledger!G:G, ledger!B:B, _xlpm.party, ledger!E:E, "&lt;&gt;*RD*") / 1.0936 ))+_xlfn.IFNA(D86,0)</f>
        <v>272282.37015362107</v>
      </c>
      <c r="R7" s="23" cm="1">
        <f t="array" ref="R7">(_xlfn.BYROW(B51,_xlfn.LAMBDA(_xlpm.party,SUMIFS(ledger!G:G,ledger!B:B,_xlpm.party,ledger!E:E,"&lt;&gt;*RD*",ledger!D:D,"Chamki")+SUMIFS(ledger!G:G, ledger!B:B, _xlpm.party, ledger!E:E, "&lt;&gt;*RD*", ledger!D:D, "Crinkle")))/1.0936)+_xlfn.IFNA(E86,0)</f>
        <v>257488.11265544992</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2574881.1265544989</v>
      </c>
      <c r="U7" s="23" cm="1">
        <f t="array" ref="U7">(_xlfn.BYROW(B51,_xlfn.LAMBDA(_xlpm.party,SUMIFS(ledger!G:G,ledger!B:B,_xlpm.party,ledger!E:E,"&lt;&gt;*RD*",ledger!D:D, "Silky")/1.0936))* Z7)+_xlfn.IFNA(H86,0)</f>
        <v>177531.08997805414</v>
      </c>
      <c r="V7" s="44">
        <f t="shared" si="1"/>
        <v>2752412.2165325531</v>
      </c>
      <c r="W7" s="23">
        <f>(SUMIF(Table14[Party],O7,Table14[Credit]))+_xlfn.IFNA(J86,0)</f>
        <v>2306701</v>
      </c>
      <c r="X7" s="38">
        <f>V7-W7</f>
        <v>445711.21653255308</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481660</v>
      </c>
      <c r="Q10" s="23" cm="1">
        <f t="array" ref="Q10">_xlfn.BYROW(B54, _xlfn.LAMBDA(_xlpm.party, SUMIFS(ledger!G:G, ledger!B:B, _xlpm.party, ledger!E:E, "&lt;&gt;*RD*") / 1.0936 ))+_xlfn.IFNA(D89,0)</f>
        <v>440435.25969275786</v>
      </c>
      <c r="R10" s="23" cm="1">
        <f t="array" ref="R10">(_xlfn.BYROW(B54,_xlfn.LAMBDA(_xlpm.party,SUMIFS(ledger!G:G,ledger!B:B,_xlpm.party,ledger!E:E,"&lt;&gt;*RD*",ledger!D:D,"Chamki")+SUMIFS(ledger!G:G, ledger!B:B, _xlpm.party, ledger!E:E, "&lt;&gt;*RD*", ledger!D:D, "Crinkle")))/1.0936)+_xlfn.IFNA(E89,0)</f>
        <v>440435.25969275786</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4404352.5969275786</v>
      </c>
      <c r="U10" s="23" cm="1">
        <f t="array" ref="U10">(_xlfn.BYROW(B54,_xlfn.LAMBDA(_xlpm.party,SUMIFS(ledger!G:G,ledger!B:B,_xlpm.party,ledger!E:E,"&lt;&gt;*RD*",ledger!D:D, "Silky")/1.0936))* Z10)+_xlfn.IFNA(H89,0)</f>
        <v>0</v>
      </c>
      <c r="V10" s="44">
        <f t="shared" si="1"/>
        <v>4404352.5969275786</v>
      </c>
      <c r="W10" s="23">
        <f>(SUMIF(Table14[Party],O10,Table14[Credit]))+_xlfn.IFNA(J89,0)</f>
        <v>4403436</v>
      </c>
      <c r="X10" s="38">
        <f t="shared" si="2"/>
        <v>916.59692757856101</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2082999.268471105</v>
      </c>
      <c r="D21" t="s">
        <v>30</v>
      </c>
      <c r="I21" s="4" t="s">
        <v>28</v>
      </c>
      <c r="J21" s="14">
        <v>169147.76883686907</v>
      </c>
      <c r="K21" s="14">
        <v>1960241.4045354794</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90790.051207022683</v>
      </c>
      <c r="V22" s="44">
        <f t="shared" si="7"/>
        <v>90790.051207022683</v>
      </c>
      <c r="W22" s="23">
        <f>(SUMIF(Table14[Party],O22,Table14[Credit]))+_xlfn.IFNA(J101,0)</f>
        <v>0</v>
      </c>
      <c r="X22" s="38">
        <f t="shared" si="8"/>
        <v>90790.051207022683</v>
      </c>
      <c r="Y22" s="22">
        <v>10</v>
      </c>
      <c r="Z22" s="22">
        <v>12</v>
      </c>
    </row>
    <row r="23" spans="2:26" x14ac:dyDescent="0.3">
      <c r="B23" s="25" t="s">
        <v>31</v>
      </c>
      <c r="C23" s="42">
        <f ca="1">SUM(OFFSET(I49,0,0,COUNTA(I:I)-ROW(I49)+1))</f>
        <v>1576627.6517922459</v>
      </c>
      <c r="D23" t="s">
        <v>32</v>
      </c>
      <c r="O23" s="22"/>
      <c r="P23" s="23" cm="1">
        <f t="array" ref="P23">_xlfn.BYROW(B67,_xlfn.LAMBDA(_xlpm.party,SUMIFS(ledger!G:G,ledger!B:B,_xlpm.party,ledger!E:E,"&lt;&gt;*RD*")))+_xlfn.IFNA(C102,0)</f>
        <v>0</v>
      </c>
      <c r="Q23" s="23" cm="1">
        <f t="array" ref="Q23">_xlfn.BYROW(B67, _xlfn.LAMBDA(_xlpm.party, SUMIFS(ledger!G:G, ledger!B:B, _xlpm.party, ledger!E:E, "&lt;&gt;*RD*") / 1.0936 ))+_xlfn.IFNA(D102,0)</f>
        <v>0</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0</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0</v>
      </c>
      <c r="V23" s="44">
        <f t="shared" si="7"/>
        <v>0</v>
      </c>
      <c r="W23" s="23">
        <f>(SUMIF(Table14[Party],O23,Table14[Credit]))+_xlfn.IFNA(J102,0)</f>
        <v>0</v>
      </c>
      <c r="X23" s="38">
        <f t="shared" si="8"/>
        <v>0</v>
      </c>
      <c r="Y23" s="22">
        <v>10</v>
      </c>
      <c r="Z23" s="22">
        <v>12</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6">_xlfn.UNIQUE(Table1[Party Name])</f>
        <v>BSC</v>
      </c>
      <c r="C49" s="23" cm="1">
        <f t="array" ref="C49:C66">_xlfn.BYROW(_xlfn.ANCHORARRAY(B49),_xlfn.LAMBDA(_xlpm.party,SUMIFS(ledger!G:G,ledger!B:B,_xlpm.party,ledger!E:E,"&lt;&gt;*RD*")))</f>
        <v>63612</v>
      </c>
      <c r="D49" s="23" cm="1">
        <f t="array" ref="D49:D66">_xlfn.BYROW(_xlfn.ANCHORARRAY(B49), _xlfn.LAMBDA(_xlpm.party, SUMIFS(ledger!G:G, ledger!B:B, _xlpm.party, ledger!E:E, "&lt;&gt;*RD*") / 1.0936 ))</f>
        <v>58167.520117044631</v>
      </c>
      <c r="E49" s="68" cm="1">
        <f t="array" ref="E49:E66">(_xlfn.BYROW(_xlfn.ANCHORARRAY(B49),_xlfn.LAMBDA(_xlpm.party,SUMIFS(ledger!G:G,ledger!B:B,_xlpm.party,ledger!E:E,"&lt;&gt;*RD*",ledger!D:D,"Chamki")+SUMIFS(ledger!G:G, ledger!B:B, _xlpm.party, ledger!E:E, "&lt;&gt;*RD*", ledger!D:D, "Crinkle")))/1.0936)</f>
        <v>0</v>
      </c>
      <c r="F49" s="68" cm="1">
        <f t="array" ref="F49:F66">(_xlfn.BYROW(_xlfn.ANCHORARRAY(B49),_xlfn.LAMBDA(_xlpm.party,SUMIFS(ledger!G:G,ledger!B:B,_xlpm.party,ledger!E:E,"&lt;&gt;*RD*",ledger!D:D,"Silky")))/1.0936)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0</v>
      </c>
      <c r="H49" s="23" cm="1">
        <f t="array" ref="H49">(_xlfn.BYROW(B49,_xlfn.LAMBDA(_xlpm.party,SUMIFS(ledger!G:G,ledger!B:B,_xlpm.party,ledger!E:E,"&lt;&gt;*RD*",ledger!D:D, "Silky")/1.0936))* M49)</f>
        <v>698010.2414045356</v>
      </c>
      <c r="I49" s="44">
        <f t="shared" ref="I49:I57" si="9">G49+H49</f>
        <v>698010.2414045356</v>
      </c>
      <c r="J49" s="23">
        <f>(SUMIF(Table14[Party],B49,Table14[Credit]))</f>
        <v>3368488</v>
      </c>
      <c r="K49" s="42">
        <f>I49-J49</f>
        <v>-2670477.7585954643</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38020</v>
      </c>
      <c r="D51" s="23">
        <v>34765.910753474767</v>
      </c>
      <c r="E51" s="68">
        <v>34765.910753474767</v>
      </c>
      <c r="F51" s="68">
        <v>0</v>
      </c>
      <c r="G51" s="23" cm="1">
        <f t="array" ref="G51">(_xlfn.BYROW(B51,_xlfn.LAMBDA(_xlpm.party,(SUMIFS(ledger!G:G,ledger!B:B,_xlpm.party,ledger!E:E,"&lt;&gt;*RD*",ledger!D:D, "Chamki")+SUMIFS(ledger!G:G, ledger!B:B, _xlpm.party, ledger!E:E, "&lt;&gt;*RD*", ledger!D:D, "Crinkle"))/1.0936))*L51)</f>
        <v>347659.10753474769</v>
      </c>
      <c r="H51" s="23" cm="1">
        <f t="array" ref="H51">(_xlfn.BYROW(B51,_xlfn.LAMBDA(_xlpm.party,SUMIFS(ledger!G:G,ledger!B:B,_xlpm.party,ledger!E:E,"&lt;&gt;*RD*",ledger!D:D, "Silky")/1.0936))* M51)</f>
        <v>0</v>
      </c>
      <c r="I51" s="44">
        <f t="shared" si="9"/>
        <v>347659.10753474769</v>
      </c>
      <c r="J51" s="23">
        <f>(SUMIF(Table14[Party],B51,Table14[Credit]))</f>
        <v>0</v>
      </c>
      <c r="K51" s="42">
        <f>I51-J51</f>
        <v>347659.10753474769</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0</v>
      </c>
      <c r="D54" s="23">
        <v>0</v>
      </c>
      <c r="E54" s="68">
        <v>0</v>
      </c>
      <c r="F54" s="68">
        <v>0</v>
      </c>
      <c r="G54" s="23" cm="1">
        <f t="array" ref="G54">(_xlfn.BYROW(B54,_xlfn.LAMBDA(_xlpm.party,(SUMIFS(ledger!G:G,ledger!B:B,_xlpm.party,ledger!E:E,"&lt;&gt;*RD*",ledger!D:D, "Chamki")+SUMIFS(ledger!G:G, ledger!B:B, _xlpm.party, ledger!E:E, "&lt;&gt;*RD*", ledger!D:D, "Crinkle"))/1.0936))*L54)</f>
        <v>0</v>
      </c>
      <c r="H54" s="23" cm="1">
        <f t="array" ref="H54">(_xlfn.BYROW(B54,_xlfn.LAMBDA(_xlpm.party,SUMIFS(ledger!G:G,ledger!B:B,_xlpm.party,ledger!E:E,"&lt;&gt;*RD*",ledger!D:D, "Silky")/1.0936))* M54)</f>
        <v>0</v>
      </c>
      <c r="I54" s="44">
        <f t="shared" si="9"/>
        <v>0</v>
      </c>
      <c r="J54" s="23">
        <f>(SUMIF(Table14[Party],B54,Table14[Credit]))</f>
        <v>652170</v>
      </c>
      <c r="K54" s="42">
        <f t="shared" si="10"/>
        <v>-652170</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0</v>
      </c>
      <c r="K66" s="42">
        <f t="shared" si="11"/>
        <v>90790.051207022683</v>
      </c>
      <c r="L66" s="22">
        <v>10</v>
      </c>
      <c r="M66" s="22">
        <v>12</v>
      </c>
    </row>
    <row r="67" spans="2:13" x14ac:dyDescent="0.3">
      <c r="C67" s="23"/>
      <c r="D67" s="23"/>
      <c r="E67" s="68"/>
      <c r="F67" s="68"/>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0</v>
      </c>
      <c r="I67" s="44">
        <f t="shared" si="13"/>
        <v>0</v>
      </c>
      <c r="J67" s="23">
        <f>SUMIF(Table14[Party], B67, Table14[Credit])</f>
        <v>0</v>
      </c>
      <c r="K67" s="42">
        <f t="shared" si="11"/>
        <v>0</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1">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1"/>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1">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90790.051207022683</v>
      </c>
      <c r="J20" t="str">
        <v>Faizan</v>
      </c>
    </row>
    <row r="21" spans="2:10" x14ac:dyDescent="0.3">
      <c r="J21" t="str">
        <v>Shafique Ansari</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Wood!J1+((317*775)+ (100*650))</f>
        <v>1735105</v>
      </c>
      <c r="D4" t="s">
        <v>228</v>
      </c>
    </row>
    <row r="5" spans="1:4" x14ac:dyDescent="0.3">
      <c r="B5" t="s">
        <v>48</v>
      </c>
      <c r="C5" s="11">
        <f>SUM(Table8[Price])+Table2325[[#Totals],[total]]</f>
        <v>179750</v>
      </c>
    </row>
    <row r="6" spans="1:4" x14ac:dyDescent="0.3">
      <c r="B6" t="s">
        <v>49</v>
      </c>
      <c r="C6" s="11">
        <f>SUM(Table2[Price])+Finish!B30</f>
        <v>659916.66666666663</v>
      </c>
      <c r="D6" t="s">
        <v>229</v>
      </c>
    </row>
    <row r="7" spans="1:4" x14ac:dyDescent="0.3">
      <c r="B7" t="s">
        <v>50</v>
      </c>
      <c r="C7" s="11">
        <f>SUMIFS(Table14[Debit], Table14[Party],Table12[[#This Row],[Type]])</f>
        <v>7090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0</v>
      </c>
    </row>
    <row r="11" spans="1:4" x14ac:dyDescent="0.3">
      <c r="B11" t="s">
        <v>54</v>
      </c>
      <c r="C11" s="11">
        <f>Table13[[#Totals],[Debit]]</f>
        <v>0</v>
      </c>
    </row>
    <row r="12" spans="1:4" x14ac:dyDescent="0.3">
      <c r="B12" t="s">
        <v>55</v>
      </c>
      <c r="C12" s="11">
        <f>Table15[[#Totals],[Amount]]</f>
        <v>65670</v>
      </c>
    </row>
    <row r="13" spans="1:4" x14ac:dyDescent="0.3">
      <c r="C13" s="11"/>
    </row>
    <row r="14" spans="1:4" x14ac:dyDescent="0.3">
      <c r="C14" s="14">
        <f>SUM(Table12[Amount])</f>
        <v>2661281.6666666665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1576627.6517922459</v>
      </c>
    </row>
    <row r="4" spans="1:3" x14ac:dyDescent="0.3">
      <c r="B4" s="11" t="s">
        <v>44</v>
      </c>
      <c r="C4" s="11">
        <f>Table12[[#Totals],[Amount]]</f>
        <v>2661281.6666666665</v>
      </c>
    </row>
    <row r="5" spans="1:3" x14ac:dyDescent="0.3">
      <c r="A5" s="6"/>
      <c r="B5" s="15" t="s">
        <v>68</v>
      </c>
      <c r="C5" s="15">
        <f ca="1">C3-C4</f>
        <v>-1084654.0148744206</v>
      </c>
    </row>
    <row r="10" spans="1:3" ht="15" thickBot="1" x14ac:dyDescent="0.35">
      <c r="B10" t="s">
        <v>66</v>
      </c>
      <c r="C10" s="14" t="s">
        <v>67</v>
      </c>
    </row>
    <row r="11" spans="1:3" x14ac:dyDescent="0.3">
      <c r="B11" s="61" t="s">
        <v>0</v>
      </c>
      <c r="C11" s="62">
        <f ca="1">C3</f>
        <v>1576627.6517922459</v>
      </c>
    </row>
    <row r="12" spans="1:3" x14ac:dyDescent="0.3">
      <c r="B12" s="63" t="s">
        <v>69</v>
      </c>
      <c r="C12" s="64">
        <f>SUM(Table14[Credit])</f>
        <v>4499832</v>
      </c>
    </row>
    <row r="13" spans="1:3" ht="15" thickBot="1" x14ac:dyDescent="0.35">
      <c r="B13" s="79" t="s">
        <v>96</v>
      </c>
      <c r="C13" s="78">
        <f ca="1">(C11-C12)</f>
        <v>-2923204.3482077541</v>
      </c>
    </row>
    <row r="14" spans="1:3" ht="15" thickBot="1" x14ac:dyDescent="0.35">
      <c r="B14" s="63"/>
      <c r="C14" s="64"/>
    </row>
    <row r="15" spans="1:3" x14ac:dyDescent="0.3">
      <c r="B15" s="61" t="s">
        <v>44</v>
      </c>
      <c r="C15" s="62">
        <f>C4</f>
        <v>2661281.6666666665</v>
      </c>
    </row>
    <row r="16" spans="1:3" x14ac:dyDescent="0.3">
      <c r="B16" s="63" t="s">
        <v>70</v>
      </c>
      <c r="C16" s="64">
        <f>SUM(Table14[Debit])</f>
        <v>4426309</v>
      </c>
    </row>
    <row r="17" spans="2:6" ht="15" thickBot="1" x14ac:dyDescent="0.35">
      <c r="B17" s="79" t="s">
        <v>71</v>
      </c>
      <c r="C17" s="78">
        <f>C15-C16</f>
        <v>-1765027.3333333335</v>
      </c>
    </row>
    <row r="18" spans="2:6" ht="15" thickBot="1" x14ac:dyDescent="0.35">
      <c r="B18" s="63"/>
      <c r="C18" s="64"/>
    </row>
    <row r="19" spans="2:6" ht="15" thickBot="1" x14ac:dyDescent="0.35">
      <c r="B19" s="80" t="s">
        <v>72</v>
      </c>
      <c r="C19" s="81">
        <f>Table18[[#Totals],[amount]]</f>
        <v>73523</v>
      </c>
    </row>
    <row r="20" spans="2:6" ht="15" thickBot="1" x14ac:dyDescent="0.35">
      <c r="B20" s="76"/>
      <c r="C20" s="77"/>
    </row>
    <row r="21" spans="2:6" ht="15" thickBot="1" x14ac:dyDescent="0.35">
      <c r="B21" s="65" t="s">
        <v>73</v>
      </c>
      <c r="C21" s="66">
        <f ca="1">(C13-C17)+C19</f>
        <v>-1084654.0148744206</v>
      </c>
      <c r="E21" s="84" t="s">
        <v>74</v>
      </c>
      <c r="F21" s="85">
        <f ca="1">C5*0.05</f>
        <v>-54232.700743721034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9"/>
  <sheetViews>
    <sheetView tabSelected="1" topLeftCell="A33" zoomScale="126" zoomScaleNormal="126" workbookViewId="0">
      <selection activeCell="J46" sqref="J46"/>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90790.051207022683</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347659.10753474769</v>
      </c>
      <c r="K47" s="29"/>
      <c r="P47"/>
      <c r="Q47"/>
      <c r="R47"/>
      <c r="S47"/>
      <c r="T47"/>
      <c r="U47"/>
      <c r="V47"/>
      <c r="W47"/>
      <c r="X47"/>
      <c r="Y47"/>
    </row>
    <row r="48" spans="1:25" x14ac:dyDescent="0.3">
      <c r="A48"/>
      <c r="B48"/>
      <c r="C48"/>
      <c r="D48"/>
      <c r="E48" s="14"/>
      <c r="F48" s="14"/>
      <c r="G48" s="14"/>
      <c r="H48" s="48"/>
      <c r="I48" s="103" cm="1">
        <f t="array" aca="1" ref="I48" ca="1">SUMPRODUCT( SUBTOTAL(109, OFFSET(Table1[tiyar/meters], ROW(Table1[tiyar/meters])-MIN(ROW(Table1[tiyar/meters])), 0, 1)), --(Table1[Bill Number]&lt;&gt;"September Closing CF") )</f>
        <v>176713.60643745432</v>
      </c>
      <c r="J48" s="48" cm="1">
        <f t="array" aca="1" ref="J48" ca="1">SUMPRODUCT( SUBTOTAL(109, OFFSET(Table1[billing], ROW(Table1[billing])-MIN(ROW(Table1[billing])), 0, 1)), --(Table1[Bill Number]&lt;&gt;"September Closing CF") )</f>
        <v>2082999.2684711046</v>
      </c>
      <c r="K48" s="14">
        <f>SUMIFS(Table1[billing], Table1[Bill Number], "&lt;&gt;September Closing CF")</f>
        <v>2082999.2684711046</v>
      </c>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P57"/>
      <c r="Q57"/>
      <c r="R57"/>
      <c r="S57"/>
      <c r="T57"/>
      <c r="U57"/>
      <c r="V57"/>
      <c r="W57"/>
      <c r="X57"/>
      <c r="Y57"/>
    </row>
    <row r="58" spans="4:25" x14ac:dyDescent="0.3">
      <c r="P58"/>
      <c r="Q58"/>
      <c r="R58"/>
      <c r="S58"/>
      <c r="T58"/>
      <c r="U58"/>
      <c r="V58"/>
      <c r="W58"/>
    </row>
    <row r="59" spans="4:25" x14ac:dyDescent="0.3">
      <c r="P59"/>
      <c r="Q59"/>
      <c r="R59"/>
      <c r="S59"/>
      <c r="T59"/>
      <c r="U59"/>
    </row>
    <row r="60" spans="4:25" x14ac:dyDescent="0.3">
      <c r="D60" s="3" t="s">
        <v>2</v>
      </c>
      <c r="E60" t="s">
        <v>88</v>
      </c>
      <c r="M60"/>
      <c r="P60"/>
      <c r="Q60"/>
      <c r="R60"/>
      <c r="S60"/>
      <c r="T60"/>
      <c r="U60"/>
    </row>
    <row r="61" spans="4:25" x14ac:dyDescent="0.3">
      <c r="D61" s="3" t="s">
        <v>75</v>
      </c>
      <c r="E61" t="s">
        <v>88</v>
      </c>
      <c r="M61"/>
      <c r="P61"/>
      <c r="Q61"/>
      <c r="R61"/>
      <c r="S61"/>
    </row>
    <row r="62" spans="4:25" x14ac:dyDescent="0.3">
      <c r="D62" s="3" t="s">
        <v>79</v>
      </c>
      <c r="E62" t="s">
        <v>88</v>
      </c>
      <c r="M62"/>
      <c r="P62"/>
      <c r="Q62"/>
      <c r="R62"/>
      <c r="S62"/>
    </row>
    <row r="63" spans="4:25" x14ac:dyDescent="0.3">
      <c r="M63"/>
      <c r="P63"/>
      <c r="Q63"/>
      <c r="R63"/>
      <c r="S63"/>
    </row>
    <row r="64" spans="4:25" x14ac:dyDescent="0.3">
      <c r="D64" s="3" t="s">
        <v>6</v>
      </c>
      <c r="E64" t="s">
        <v>89</v>
      </c>
      <c r="F64" t="s">
        <v>90</v>
      </c>
      <c r="G64" t="s">
        <v>91</v>
      </c>
      <c r="I64" s="3" t="s">
        <v>6</v>
      </c>
      <c r="J64" t="s">
        <v>90</v>
      </c>
      <c r="K64" t="s">
        <v>91</v>
      </c>
      <c r="M64"/>
      <c r="P64"/>
      <c r="Q64"/>
      <c r="R64"/>
      <c r="S64"/>
    </row>
    <row r="65" spans="4:19" x14ac:dyDescent="0.3">
      <c r="D65" s="16" t="s">
        <v>184</v>
      </c>
      <c r="E65" s="127"/>
      <c r="F65" s="33">
        <v>4247868.5076810541</v>
      </c>
      <c r="G65" s="127">
        <v>43208092.582516462</v>
      </c>
      <c r="I65" s="27">
        <v>45947</v>
      </c>
      <c r="J65" s="48">
        <v>4247868.5076810541</v>
      </c>
      <c r="K65" s="14">
        <v>43208092.582516462</v>
      </c>
      <c r="M65"/>
      <c r="P65"/>
      <c r="Q65"/>
      <c r="R65"/>
      <c r="S65"/>
    </row>
    <row r="66" spans="4:19" x14ac:dyDescent="0.3">
      <c r="D66" s="16">
        <v>985</v>
      </c>
      <c r="E66" s="127">
        <v>3532</v>
      </c>
      <c r="F66" s="33">
        <v>3229.7000731528897</v>
      </c>
      <c r="G66" s="127">
        <v>38756.400877834676</v>
      </c>
      <c r="I66" s="27">
        <v>45948</v>
      </c>
      <c r="J66" s="48">
        <v>52326.261887344546</v>
      </c>
      <c r="K66" s="14">
        <v>659882.95537673729</v>
      </c>
      <c r="M66"/>
      <c r="P66"/>
      <c r="Q66"/>
      <c r="R66"/>
      <c r="S66"/>
    </row>
    <row r="67" spans="4:19" x14ac:dyDescent="0.3">
      <c r="D67" s="16">
        <v>986</v>
      </c>
      <c r="E67" s="127">
        <v>4356</v>
      </c>
      <c r="F67" s="33">
        <v>3983.1748354059987</v>
      </c>
      <c r="G67" s="127">
        <v>47798.098024871986</v>
      </c>
      <c r="I67" s="27">
        <v>45950</v>
      </c>
      <c r="J67" s="48">
        <v>47101.316752011713</v>
      </c>
      <c r="K67" s="14">
        <v>565215.80102414056</v>
      </c>
      <c r="M67"/>
      <c r="P67"/>
      <c r="Q67"/>
      <c r="R67"/>
      <c r="S67"/>
    </row>
    <row r="68" spans="4:19" x14ac:dyDescent="0.3">
      <c r="D68" s="16">
        <v>987</v>
      </c>
      <c r="E68" s="127">
        <v>7867</v>
      </c>
      <c r="F68" s="33">
        <v>7193.6722750548652</v>
      </c>
      <c r="G68" s="127">
        <v>86324.067300658382</v>
      </c>
      <c r="I68" s="27" t="s">
        <v>106</v>
      </c>
      <c r="J68" s="48"/>
      <c r="K68" s="14"/>
      <c r="M68"/>
      <c r="P68"/>
      <c r="Q68"/>
      <c r="R68"/>
      <c r="S68"/>
    </row>
    <row r="69" spans="4:19" x14ac:dyDescent="0.3">
      <c r="D69" s="16">
        <v>988</v>
      </c>
      <c r="E69" s="127">
        <v>3112</v>
      </c>
      <c r="F69" s="33">
        <v>2845.6474030724216</v>
      </c>
      <c r="G69" s="127">
        <v>34147.768836869058</v>
      </c>
      <c r="I69" s="27">
        <v>45951</v>
      </c>
      <c r="J69" s="48"/>
      <c r="K69" s="14"/>
      <c r="M69"/>
      <c r="P69"/>
      <c r="Q69"/>
      <c r="R69"/>
      <c r="S69"/>
    </row>
    <row r="70" spans="4:19" x14ac:dyDescent="0.3">
      <c r="D70" s="16">
        <v>989</v>
      </c>
      <c r="E70" s="127">
        <v>34960</v>
      </c>
      <c r="F70" s="33">
        <v>31967.812728602781</v>
      </c>
      <c r="G70" s="127">
        <v>415581.56547183613</v>
      </c>
      <c r="I70" s="27" t="s">
        <v>28</v>
      </c>
      <c r="J70" s="48">
        <v>4347296.0863204105</v>
      </c>
      <c r="K70" s="14">
        <v>44433191.338917337</v>
      </c>
      <c r="P70"/>
      <c r="Q70"/>
      <c r="R70"/>
      <c r="S70"/>
    </row>
    <row r="71" spans="4:19" x14ac:dyDescent="0.3">
      <c r="D71" s="16">
        <v>990</v>
      </c>
      <c r="E71" s="127">
        <v>3397</v>
      </c>
      <c r="F71" s="33">
        <v>3106.2545720555963</v>
      </c>
      <c r="G71" s="127">
        <v>37275.054864667152</v>
      </c>
      <c r="I71"/>
      <c r="J71"/>
      <c r="K71"/>
      <c r="L71"/>
      <c r="P71"/>
      <c r="Q71"/>
      <c r="R71"/>
      <c r="S71"/>
    </row>
    <row r="72" spans="4:19" x14ac:dyDescent="0.3">
      <c r="D72" s="16">
        <v>991</v>
      </c>
      <c r="E72" s="127">
        <v>20118</v>
      </c>
      <c r="F72" s="33">
        <v>18396.122896854427</v>
      </c>
      <c r="G72" s="127">
        <v>220753.47476225311</v>
      </c>
      <c r="I72"/>
      <c r="J72"/>
      <c r="K72"/>
      <c r="L72"/>
      <c r="P72"/>
      <c r="Q72"/>
      <c r="R72"/>
      <c r="S72"/>
    </row>
    <row r="73" spans="4:19" x14ac:dyDescent="0.3">
      <c r="D73" s="16">
        <v>992</v>
      </c>
      <c r="E73" s="127">
        <v>21555</v>
      </c>
      <c r="F73" s="33">
        <v>19710.131675201173</v>
      </c>
      <c r="G73" s="127">
        <v>236521.58010241407</v>
      </c>
      <c r="I73"/>
      <c r="J73"/>
      <c r="K73"/>
      <c r="L73"/>
      <c r="O73"/>
      <c r="P73"/>
      <c r="Q73"/>
    </row>
    <row r="74" spans="4:19" x14ac:dyDescent="0.3">
      <c r="D74" s="16">
        <v>993</v>
      </c>
      <c r="E74" s="127">
        <v>1563</v>
      </c>
      <c r="F74" s="33">
        <v>1429.2245793708853</v>
      </c>
      <c r="G74" s="127">
        <v>17150.694952450624</v>
      </c>
      <c r="I74"/>
      <c r="J74"/>
      <c r="K74"/>
      <c r="L74"/>
      <c r="O74"/>
      <c r="P74"/>
      <c r="Q74"/>
    </row>
    <row r="75" spans="4:19" x14ac:dyDescent="0.3">
      <c r="D75" s="16">
        <v>994</v>
      </c>
      <c r="E75" s="127">
        <v>8274</v>
      </c>
      <c r="F75" s="33">
        <v>7565.8376005852242</v>
      </c>
      <c r="G75" s="127">
        <v>90790.051207022683</v>
      </c>
      <c r="I75"/>
      <c r="J75"/>
      <c r="K75"/>
      <c r="L75"/>
      <c r="O75"/>
      <c r="P75"/>
      <c r="Q75"/>
    </row>
    <row r="76" spans="4:19" x14ac:dyDescent="0.3">
      <c r="D76" s="16" t="s">
        <v>106</v>
      </c>
      <c r="E76" s="127"/>
      <c r="F76" s="33"/>
      <c r="G76" s="127"/>
      <c r="I76"/>
      <c r="J76"/>
      <c r="K76"/>
      <c r="L76"/>
      <c r="O76"/>
      <c r="P76"/>
      <c r="Q76"/>
    </row>
    <row r="77" spans="4:19" x14ac:dyDescent="0.3">
      <c r="D77" s="16">
        <v>995</v>
      </c>
      <c r="E77" s="127">
        <v>19667</v>
      </c>
      <c r="F77" s="33"/>
      <c r="G77" s="127"/>
      <c r="I77"/>
      <c r="J77"/>
      <c r="K77"/>
      <c r="O77"/>
      <c r="P77"/>
      <c r="Q77"/>
    </row>
    <row r="78" spans="4:19" x14ac:dyDescent="0.3">
      <c r="D78" s="16">
        <v>996</v>
      </c>
      <c r="E78" s="127">
        <v>17569</v>
      </c>
      <c r="F78" s="33"/>
      <c r="G78" s="127"/>
      <c r="I78"/>
      <c r="J78"/>
      <c r="K78"/>
      <c r="O78"/>
      <c r="P78"/>
      <c r="Q78"/>
    </row>
    <row r="79" spans="4:19" x14ac:dyDescent="0.3">
      <c r="D79" s="16">
        <v>997</v>
      </c>
      <c r="E79" s="127">
        <v>9264</v>
      </c>
      <c r="F79" s="33"/>
      <c r="G79" s="127"/>
      <c r="I79"/>
      <c r="J79"/>
      <c r="K79"/>
      <c r="O79"/>
      <c r="P79"/>
      <c r="Q79"/>
    </row>
    <row r="80" spans="4:19" x14ac:dyDescent="0.3">
      <c r="D80" s="16">
        <v>998</v>
      </c>
      <c r="E80" s="127">
        <v>38020</v>
      </c>
      <c r="F80" s="33"/>
      <c r="G80" s="127"/>
      <c r="I80"/>
      <c r="J80"/>
      <c r="K80"/>
      <c r="O80"/>
      <c r="P80"/>
      <c r="Q80"/>
    </row>
    <row r="81" spans="4:17" x14ac:dyDescent="0.3">
      <c r="D81" s="16" t="s">
        <v>28</v>
      </c>
      <c r="E81" s="127">
        <v>193254</v>
      </c>
      <c r="F81" s="33">
        <v>4347296.0863204105</v>
      </c>
      <c r="G81" s="127">
        <v>44433191.338917337</v>
      </c>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I88"/>
      <c r="J88"/>
      <c r="K88"/>
      <c r="P88"/>
      <c r="Q88"/>
    </row>
    <row r="89" spans="4:17" x14ac:dyDescent="0.3">
      <c r="D89"/>
      <c r="E89"/>
      <c r="F89"/>
      <c r="G89"/>
      <c r="I89"/>
      <c r="J89"/>
      <c r="K89"/>
      <c r="P89"/>
      <c r="Q89"/>
    </row>
    <row r="90" spans="4:17" x14ac:dyDescent="0.3">
      <c r="D90"/>
      <c r="E90"/>
      <c r="F90"/>
      <c r="G90"/>
      <c r="I90"/>
      <c r="J90"/>
      <c r="K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O42"/>
  <sheetViews>
    <sheetView topLeftCell="A4" zoomScale="122" zoomScaleNormal="165" workbookViewId="0">
      <selection activeCell="H15" sqref="H1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3" bestFit="1" customWidth="1"/>
    <col min="13" max="13" width="10.88671875" bestFit="1" customWidth="1"/>
    <col min="14" max="14" width="10.77734375" bestFit="1" customWidth="1"/>
    <col min="15" max="15" width="13.88671875" bestFit="1" customWidth="1"/>
  </cols>
  <sheetData>
    <row r="1" spans="1:15" ht="15" thickTop="1" x14ac:dyDescent="0.3">
      <c r="A1" s="8" t="s">
        <v>75</v>
      </c>
      <c r="B1" s="8" t="s">
        <v>2</v>
      </c>
      <c r="C1" s="8" t="s">
        <v>92</v>
      </c>
      <c r="D1" s="12" t="s">
        <v>93</v>
      </c>
      <c r="E1" s="12" t="s">
        <v>4</v>
      </c>
      <c r="F1" s="12" t="s">
        <v>94</v>
      </c>
      <c r="G1" s="12" t="s">
        <v>5</v>
      </c>
      <c r="H1" s="12" t="s">
        <v>95</v>
      </c>
      <c r="I1" s="13" t="s">
        <v>96</v>
      </c>
      <c r="J1" s="17">
        <f>SUM(Table3[Total])</f>
        <v>1424430</v>
      </c>
      <c r="K1" s="3" t="s">
        <v>2</v>
      </c>
      <c r="L1" t="s">
        <v>88</v>
      </c>
    </row>
    <row r="2" spans="1:15" x14ac:dyDescent="0.3">
      <c r="A2" s="90">
        <v>45947</v>
      </c>
      <c r="B2" s="87" t="s">
        <v>97</v>
      </c>
      <c r="C2" s="87" t="s">
        <v>98</v>
      </c>
      <c r="D2" s="88"/>
      <c r="E2" s="88"/>
      <c r="F2" s="88"/>
      <c r="G2" s="88">
        <f>D2*E2</f>
        <v>0</v>
      </c>
      <c r="H2" s="11"/>
      <c r="I2" s="89">
        <v>1972281</v>
      </c>
    </row>
    <row r="3" spans="1:15" x14ac:dyDescent="0.3">
      <c r="A3" s="90">
        <v>45947</v>
      </c>
      <c r="B3" s="87" t="s">
        <v>99</v>
      </c>
      <c r="C3" s="87" t="s">
        <v>98</v>
      </c>
      <c r="D3" s="88"/>
      <c r="E3" s="88"/>
      <c r="F3" s="88"/>
      <c r="G3" s="88">
        <f>D3*E3</f>
        <v>0</v>
      </c>
      <c r="H3" s="11">
        <v>0</v>
      </c>
      <c r="I3" s="89">
        <v>0</v>
      </c>
      <c r="J3" s="11"/>
      <c r="K3" s="3" t="s">
        <v>101</v>
      </c>
      <c r="L3" t="s">
        <v>102</v>
      </c>
      <c r="M3" t="s">
        <v>103</v>
      </c>
      <c r="N3" t="s">
        <v>104</v>
      </c>
      <c r="O3" t="s">
        <v>105</v>
      </c>
    </row>
    <row r="4" spans="1:15" x14ac:dyDescent="0.3">
      <c r="A4" s="90">
        <v>45947</v>
      </c>
      <c r="B4" s="87" t="s">
        <v>152</v>
      </c>
      <c r="C4" s="87" t="s">
        <v>98</v>
      </c>
      <c r="D4" s="11"/>
      <c r="E4" s="11"/>
      <c r="F4" s="11"/>
      <c r="G4" s="11">
        <f>D4*E4</f>
        <v>0</v>
      </c>
      <c r="H4" s="11">
        <v>0</v>
      </c>
      <c r="I4" s="92">
        <v>87620</v>
      </c>
      <c r="J4" s="11"/>
      <c r="K4" s="27">
        <v>45947</v>
      </c>
      <c r="L4" s="14">
        <v>428</v>
      </c>
      <c r="M4" s="14">
        <v>292115</v>
      </c>
      <c r="N4" s="14">
        <v>0</v>
      </c>
      <c r="O4" s="14">
        <v>2808416</v>
      </c>
    </row>
    <row r="5" spans="1:15" x14ac:dyDescent="0.3">
      <c r="A5" s="90">
        <v>45947</v>
      </c>
      <c r="B5" s="87" t="s">
        <v>174</v>
      </c>
      <c r="C5" s="87" t="s">
        <v>98</v>
      </c>
      <c r="D5" s="11"/>
      <c r="E5" s="11"/>
      <c r="F5" s="11"/>
      <c r="G5" s="11">
        <f t="shared" ref="G5:G12" si="0">D5*E5</f>
        <v>0</v>
      </c>
      <c r="H5" s="11"/>
      <c r="I5" s="92">
        <v>456400</v>
      </c>
      <c r="J5" s="11"/>
      <c r="K5" s="47" t="s">
        <v>106</v>
      </c>
      <c r="L5" s="14">
        <v>203</v>
      </c>
      <c r="M5" s="14">
        <v>117740</v>
      </c>
      <c r="N5" s="14">
        <v>0</v>
      </c>
      <c r="O5" s="14">
        <v>117740</v>
      </c>
    </row>
    <row r="6" spans="1:15" x14ac:dyDescent="0.3">
      <c r="A6" s="90">
        <v>45947</v>
      </c>
      <c r="B6" s="104" t="s">
        <v>182</v>
      </c>
      <c r="C6" s="87" t="s">
        <v>98</v>
      </c>
      <c r="D6" s="11"/>
      <c r="E6" s="11"/>
      <c r="F6" s="11"/>
      <c r="G6" s="11">
        <f t="shared" si="0"/>
        <v>0</v>
      </c>
      <c r="H6" s="11"/>
      <c r="I6" s="11">
        <v>0</v>
      </c>
      <c r="J6" s="11"/>
      <c r="K6" s="47" t="s">
        <v>98</v>
      </c>
      <c r="L6" s="14"/>
      <c r="M6" s="14">
        <v>0</v>
      </c>
      <c r="N6" s="14">
        <v>0</v>
      </c>
      <c r="O6" s="14">
        <v>2516301</v>
      </c>
    </row>
    <row r="7" spans="1:15"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c r="J7" s="11"/>
      <c r="K7" s="47" t="s">
        <v>208</v>
      </c>
      <c r="L7" s="14">
        <v>225</v>
      </c>
      <c r="M7" s="14">
        <v>174375</v>
      </c>
      <c r="N7" s="14"/>
      <c r="O7" s="14">
        <v>174375</v>
      </c>
    </row>
    <row r="8" spans="1:15" x14ac:dyDescent="0.3">
      <c r="A8" s="1">
        <v>45947</v>
      </c>
      <c r="B8" t="s">
        <v>174</v>
      </c>
      <c r="C8" t="s">
        <v>208</v>
      </c>
      <c r="D8" s="11">
        <v>225</v>
      </c>
      <c r="E8" s="11">
        <v>775</v>
      </c>
      <c r="F8" s="11"/>
      <c r="G8" s="11">
        <f t="shared" si="0"/>
        <v>174375</v>
      </c>
      <c r="H8" s="11"/>
      <c r="I8" s="11">
        <f>(D8*E8)-Table3[[#This Row],[Paid]]</f>
        <v>174375</v>
      </c>
      <c r="J8" s="11"/>
      <c r="K8" s="27">
        <v>45948</v>
      </c>
      <c r="L8" s="14">
        <v>845</v>
      </c>
      <c r="M8" s="14">
        <v>637405</v>
      </c>
      <c r="N8" s="14">
        <v>650575</v>
      </c>
      <c r="O8" s="14">
        <v>-13170</v>
      </c>
    </row>
    <row r="9" spans="1:15" x14ac:dyDescent="0.3">
      <c r="A9" s="1">
        <v>45948</v>
      </c>
      <c r="B9" t="s">
        <v>97</v>
      </c>
      <c r="C9" t="s">
        <v>189</v>
      </c>
      <c r="D9" s="11">
        <v>445</v>
      </c>
      <c r="E9" s="11">
        <v>810</v>
      </c>
      <c r="F9" s="11">
        <v>76105</v>
      </c>
      <c r="G9" s="11">
        <f t="shared" si="0"/>
        <v>360450</v>
      </c>
      <c r="H9" s="11"/>
      <c r="I9" s="11">
        <f>(D9*E9)-Table3[[#This Row],[Paid]]</f>
        <v>360450</v>
      </c>
      <c r="J9" s="11"/>
      <c r="K9" s="47" t="s">
        <v>106</v>
      </c>
      <c r="L9" s="14">
        <v>157</v>
      </c>
      <c r="M9" s="14">
        <v>91060</v>
      </c>
      <c r="N9" s="14">
        <v>213475</v>
      </c>
      <c r="O9" s="14">
        <v>-122415</v>
      </c>
    </row>
    <row r="10" spans="1:15" x14ac:dyDescent="0.3">
      <c r="A10" s="1">
        <v>45948</v>
      </c>
      <c r="B10" t="s">
        <v>97</v>
      </c>
      <c r="C10" t="s">
        <v>190</v>
      </c>
      <c r="D10" s="11">
        <v>243</v>
      </c>
      <c r="E10" s="11">
        <v>765</v>
      </c>
      <c r="F10" s="11">
        <v>44000</v>
      </c>
      <c r="G10" s="11">
        <f t="shared" si="0"/>
        <v>185895</v>
      </c>
      <c r="H10" s="11">
        <f>SUMIFS(Table14[Debit], Table14[Date], Table3[[#This Row],[Date]], Table14[Party], Table3[[#This Row],[Party Name]])</f>
        <v>437100</v>
      </c>
      <c r="I10" s="11">
        <f>(D10*E10)-Table3[[#This Row],[Paid]]</f>
        <v>-251205</v>
      </c>
      <c r="J10" s="11"/>
      <c r="K10" s="47" t="s">
        <v>189</v>
      </c>
      <c r="L10" s="14">
        <v>445</v>
      </c>
      <c r="M10" s="14">
        <v>360450</v>
      </c>
      <c r="N10" s="14"/>
      <c r="O10" s="14">
        <v>360450</v>
      </c>
    </row>
    <row r="11" spans="1:15"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J11" s="11"/>
      <c r="K11" s="47" t="s">
        <v>190</v>
      </c>
      <c r="L11" s="14">
        <v>243</v>
      </c>
      <c r="M11" s="14">
        <v>185895</v>
      </c>
      <c r="N11" s="14">
        <v>437100</v>
      </c>
      <c r="O11" s="14">
        <v>-251205</v>
      </c>
    </row>
    <row r="12" spans="1:15"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J12" s="11"/>
      <c r="K12" s="27">
        <v>45950</v>
      </c>
      <c r="L12" s="14">
        <v>611</v>
      </c>
      <c r="M12" s="14">
        <v>494910</v>
      </c>
      <c r="N12" s="14">
        <v>100300</v>
      </c>
      <c r="O12" s="14">
        <v>394610</v>
      </c>
    </row>
    <row r="13" spans="1:15" x14ac:dyDescent="0.3">
      <c r="A13" s="1">
        <v>45948</v>
      </c>
      <c r="B13" t="s">
        <v>152</v>
      </c>
      <c r="D13" s="11">
        <v>157</v>
      </c>
      <c r="E13" s="11">
        <v>580</v>
      </c>
      <c r="F13" s="11"/>
      <c r="G13" s="11">
        <f t="shared" ref="G13:G15" si="1">D13*E13</f>
        <v>91060</v>
      </c>
      <c r="H13" s="11"/>
      <c r="I13" s="11">
        <f>(D13*E13)-Table3[[#This Row],[Paid]]</f>
        <v>91060</v>
      </c>
      <c r="K13" s="47" t="s">
        <v>106</v>
      </c>
      <c r="L13" s="14">
        <v>611</v>
      </c>
      <c r="M13" s="14">
        <v>494910</v>
      </c>
      <c r="N13" s="14">
        <v>100300</v>
      </c>
      <c r="O13" s="14">
        <v>394610</v>
      </c>
    </row>
    <row r="14" spans="1:15" x14ac:dyDescent="0.3">
      <c r="A14" s="1">
        <v>45950</v>
      </c>
      <c r="B14" t="s">
        <v>97</v>
      </c>
      <c r="D14" s="11">
        <v>302</v>
      </c>
      <c r="E14" s="11">
        <v>810</v>
      </c>
      <c r="F14" s="11">
        <v>48800</v>
      </c>
      <c r="G14" s="11">
        <f t="shared" si="1"/>
        <v>244620</v>
      </c>
      <c r="H14" s="11"/>
      <c r="I14" s="11">
        <f>(D14*E14)-Table3[[#This Row],[Paid]]</f>
        <v>244620</v>
      </c>
      <c r="K14" s="27" t="s">
        <v>28</v>
      </c>
      <c r="L14" s="14">
        <v>1884</v>
      </c>
      <c r="M14" s="14">
        <v>1424430</v>
      </c>
      <c r="N14" s="14">
        <v>750875</v>
      </c>
      <c r="O14" s="14">
        <v>3189856</v>
      </c>
    </row>
    <row r="15" spans="1:15"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row>
    <row r="16" spans="1:15" x14ac:dyDescent="0.3">
      <c r="A16" s="1"/>
      <c r="D16" s="14"/>
      <c r="E16" s="14"/>
      <c r="F16" s="14"/>
      <c r="G16" s="14">
        <f>SUBTOTAL(109,Table3[Total])</f>
        <v>1424430</v>
      </c>
      <c r="H16" s="14">
        <f>SUBTOTAL(109,Table3[Paid])</f>
        <v>750875</v>
      </c>
      <c r="I16" s="14">
        <f>SUBTOTAL(109,Table3[balance])</f>
        <v>3189856</v>
      </c>
    </row>
    <row r="29" spans="11:11" x14ac:dyDescent="0.3">
      <c r="K29" s="14"/>
    </row>
    <row r="41" spans="12:12" x14ac:dyDescent="0.3">
      <c r="L41" s="14"/>
    </row>
    <row r="42" spans="12:12" x14ac:dyDescent="0.3">
      <c r="L42" s="14">
        <f>I2-Table3[[#Totals],[balance]]</f>
        <v>-1217575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6"/>
  <sheetViews>
    <sheetView topLeftCell="A55" zoomScale="132" workbookViewId="0">
      <selection activeCell="I69" sqref="I69"/>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4426309</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4499832</v>
      </c>
      <c r="M5" s="50" t="s">
        <v>111</v>
      </c>
      <c r="N5" s="51">
        <f>(SUMIFS(Table14[Credit],Table14[Mode],"Bank")-SUMIFS(Table14[Debit],Table14[Mode],"Bank")-SUMIFS(Table14[Withdrawal],Table14[Mode],"Transfer"))</f>
        <v>32093</v>
      </c>
      <c r="O5">
        <v>360000</v>
      </c>
    </row>
    <row r="6" spans="1:16" x14ac:dyDescent="0.3">
      <c r="A6" s="115">
        <v>45948</v>
      </c>
      <c r="B6" t="s">
        <v>97</v>
      </c>
      <c r="C6" s="11">
        <v>44000</v>
      </c>
      <c r="D6" s="11"/>
      <c r="E6" t="s">
        <v>190</v>
      </c>
      <c r="F6" s="116" t="s">
        <v>111</v>
      </c>
      <c r="J6" s="57" t="s">
        <v>43</v>
      </c>
      <c r="K6" s="58">
        <f>(K5-K4)</f>
        <v>73523</v>
      </c>
      <c r="M6" s="50" t="s">
        <v>112</v>
      </c>
      <c r="N6" s="51">
        <f>((SUMIFS(Table14[Credit],Table14[Mode],"Cash")-SUMIFS(Table14[Debit],Table14[Mode],"Cash"))+SUMIFS(Table14[Withdrawal],Table14[Party],"Cash",Table14[Mode],"Transfer"))</f>
        <v>41430</v>
      </c>
      <c r="O6">
        <v>50000</v>
      </c>
    </row>
    <row r="7" spans="1:16" x14ac:dyDescent="0.3">
      <c r="A7" s="115">
        <v>45948</v>
      </c>
      <c r="B7" t="s">
        <v>191</v>
      </c>
      <c r="C7" s="11">
        <v>10000</v>
      </c>
      <c r="D7" s="11"/>
      <c r="E7" t="s">
        <v>192</v>
      </c>
      <c r="F7" s="116" t="s">
        <v>111</v>
      </c>
      <c r="M7" s="53" t="s">
        <v>5</v>
      </c>
      <c r="N7" s="54">
        <f>SUM(N5:N6)</f>
        <v>73523</v>
      </c>
      <c r="O7" s="95">
        <f>SUM(O5,O6)</f>
        <v>410000</v>
      </c>
      <c r="P7" s="14">
        <f>Table18[[#Totals],[amount]]-Table18[[#Totals],[Actual]]</f>
        <v>-336477</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7" x14ac:dyDescent="0.3">
      <c r="A49" s="43">
        <v>45951</v>
      </c>
      <c r="B49" t="s">
        <v>54</v>
      </c>
      <c r="C49" s="11">
        <v>5311</v>
      </c>
      <c r="D49" s="11"/>
      <c r="E49" t="s">
        <v>231</v>
      </c>
      <c r="F49" s="116" t="s">
        <v>111</v>
      </c>
    </row>
    <row r="50" spans="1:7" x14ac:dyDescent="0.3">
      <c r="A50" s="43">
        <v>45951</v>
      </c>
      <c r="B50" t="s">
        <v>55</v>
      </c>
      <c r="C50" s="11">
        <v>10000</v>
      </c>
      <c r="D50" s="11"/>
      <c r="E50" t="s">
        <v>232</v>
      </c>
      <c r="F50" s="116" t="s">
        <v>111</v>
      </c>
    </row>
    <row r="51" spans="1:7" x14ac:dyDescent="0.3">
      <c r="A51" s="43">
        <v>45951</v>
      </c>
      <c r="B51" t="s">
        <v>55</v>
      </c>
      <c r="C51" s="11">
        <v>700</v>
      </c>
      <c r="D51" s="11"/>
      <c r="E51" t="s">
        <v>233</v>
      </c>
      <c r="F51" s="116" t="s">
        <v>111</v>
      </c>
    </row>
    <row r="52" spans="1:7" x14ac:dyDescent="0.3">
      <c r="A52" s="43">
        <v>45951</v>
      </c>
      <c r="B52" t="s">
        <v>55</v>
      </c>
      <c r="C52" s="11">
        <v>4100</v>
      </c>
      <c r="D52" s="11"/>
      <c r="E52" t="s">
        <v>234</v>
      </c>
      <c r="F52" s="116" t="s">
        <v>111</v>
      </c>
    </row>
    <row r="53" spans="1:7" x14ac:dyDescent="0.3">
      <c r="A53" s="43">
        <v>45951</v>
      </c>
      <c r="B53" t="s">
        <v>50</v>
      </c>
      <c r="C53" s="11">
        <v>450</v>
      </c>
      <c r="D53" s="11"/>
      <c r="E53" t="s">
        <v>235</v>
      </c>
      <c r="F53" s="116" t="s">
        <v>111</v>
      </c>
    </row>
    <row r="54" spans="1:7" x14ac:dyDescent="0.3">
      <c r="A54" s="43">
        <v>45951</v>
      </c>
      <c r="B54" t="s">
        <v>97</v>
      </c>
      <c r="C54" s="11">
        <v>303200</v>
      </c>
      <c r="D54" s="11"/>
      <c r="E54" t="s">
        <v>236</v>
      </c>
      <c r="F54" s="116" t="s">
        <v>111</v>
      </c>
    </row>
    <row r="55" spans="1:7" x14ac:dyDescent="0.3">
      <c r="A55" s="43">
        <v>45951</v>
      </c>
      <c r="B55" t="s">
        <v>21</v>
      </c>
      <c r="C55" s="11"/>
      <c r="D55" s="11">
        <v>180000</v>
      </c>
      <c r="E55" t="s">
        <v>237</v>
      </c>
      <c r="F55" s="116" t="s">
        <v>111</v>
      </c>
    </row>
    <row r="56" spans="1:7" x14ac:dyDescent="0.3">
      <c r="A56" s="43">
        <v>45951</v>
      </c>
      <c r="B56" t="s">
        <v>21</v>
      </c>
      <c r="C56" s="11"/>
      <c r="D56" s="11">
        <v>12000</v>
      </c>
      <c r="E56" t="s">
        <v>238</v>
      </c>
      <c r="F56" s="116" t="s">
        <v>111</v>
      </c>
    </row>
    <row r="57" spans="1:7" x14ac:dyDescent="0.3">
      <c r="A57" s="43">
        <v>45951</v>
      </c>
      <c r="B57" t="s">
        <v>64</v>
      </c>
      <c r="C57" s="11">
        <v>12000</v>
      </c>
      <c r="D57" s="11"/>
      <c r="E57" t="s">
        <v>238</v>
      </c>
      <c r="F57" s="116" t="s">
        <v>111</v>
      </c>
    </row>
    <row r="58" spans="1:7" x14ac:dyDescent="0.3">
      <c r="A58" s="43">
        <v>45951</v>
      </c>
      <c r="B58" t="s">
        <v>97</v>
      </c>
      <c r="C58" s="11">
        <v>100000</v>
      </c>
      <c r="D58" s="11"/>
      <c r="E58" t="s">
        <v>243</v>
      </c>
      <c r="F58" s="116" t="s">
        <v>111</v>
      </c>
    </row>
    <row r="59" spans="1:7" x14ac:dyDescent="0.3">
      <c r="A59" s="43">
        <v>45951</v>
      </c>
      <c r="B59" t="s">
        <v>21</v>
      </c>
      <c r="C59" s="11"/>
      <c r="D59" s="11">
        <v>100000</v>
      </c>
      <c r="F59" s="116" t="s">
        <v>111</v>
      </c>
    </row>
    <row r="60" spans="1:7" x14ac:dyDescent="0.3">
      <c r="A60" s="43">
        <v>45951</v>
      </c>
      <c r="B60" t="s">
        <v>201</v>
      </c>
      <c r="C60" s="11"/>
      <c r="D60" s="11">
        <v>62000</v>
      </c>
      <c r="E60" t="s">
        <v>239</v>
      </c>
      <c r="F60" s="116" t="s">
        <v>112</v>
      </c>
    </row>
    <row r="61" spans="1:7" x14ac:dyDescent="0.3">
      <c r="A61" s="43">
        <v>45951</v>
      </c>
      <c r="B61" t="s">
        <v>212</v>
      </c>
      <c r="C61" s="11">
        <v>6000</v>
      </c>
      <c r="D61" s="11"/>
      <c r="E61" t="s">
        <v>240</v>
      </c>
      <c r="F61" s="116" t="s">
        <v>112</v>
      </c>
    </row>
    <row r="62" spans="1:7" x14ac:dyDescent="0.3">
      <c r="A62" s="43">
        <v>45951</v>
      </c>
      <c r="B62" t="s">
        <v>52</v>
      </c>
      <c r="C62" s="11">
        <v>13900</v>
      </c>
      <c r="D62" s="11"/>
      <c r="E62" t="s">
        <v>241</v>
      </c>
      <c r="F62" s="116" t="s">
        <v>111</v>
      </c>
    </row>
    <row r="63" spans="1:7" x14ac:dyDescent="0.3">
      <c r="A63" s="43">
        <v>45951</v>
      </c>
      <c r="B63" t="s">
        <v>55</v>
      </c>
      <c r="C63" s="11">
        <v>6000</v>
      </c>
      <c r="D63" s="11"/>
      <c r="E63" t="s">
        <v>242</v>
      </c>
      <c r="F63" s="116" t="s">
        <v>111</v>
      </c>
    </row>
    <row r="64" spans="1:7" x14ac:dyDescent="0.3">
      <c r="A64" s="43">
        <v>45951</v>
      </c>
      <c r="B64" s="125" t="s">
        <v>21</v>
      </c>
      <c r="C64" s="117"/>
      <c r="D64" s="117">
        <v>6000</v>
      </c>
      <c r="E64" s="125" t="s">
        <v>242</v>
      </c>
      <c r="F64" s="126" t="s">
        <v>111</v>
      </c>
      <c r="G64" s="125"/>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C69" s="11"/>
      <c r="D69" s="11"/>
      <c r="F69" s="116"/>
    </row>
    <row r="70" spans="1:6" x14ac:dyDescent="0.3">
      <c r="A70" s="43">
        <v>45951</v>
      </c>
      <c r="C70" s="11"/>
      <c r="D70" s="11"/>
      <c r="F70" s="116"/>
    </row>
    <row r="71" spans="1:6" x14ac:dyDescent="0.3">
      <c r="A71" s="43">
        <v>45951</v>
      </c>
      <c r="C71" s="11"/>
      <c r="D71" s="11"/>
      <c r="F71" s="116"/>
    </row>
    <row r="72" spans="1:6" x14ac:dyDescent="0.3">
      <c r="A72" s="43"/>
      <c r="C72" s="14">
        <f>SUBTOTAL(109,Table14[Debit])</f>
        <v>4426309</v>
      </c>
      <c r="D72" s="14">
        <f>SUBTOTAL(109,Table14[Credit])</f>
        <v>4499832</v>
      </c>
      <c r="F72" s="59">
        <f>(Table14[[#Totals],[Credit]]-Table14[[#Totals],[Debit]])</f>
        <v>73523</v>
      </c>
    </row>
    <row r="163" spans="10:12" x14ac:dyDescent="0.3">
      <c r="J163" s="3" t="s">
        <v>6</v>
      </c>
      <c r="K163" t="s">
        <v>121</v>
      </c>
      <c r="L163" t="s">
        <v>122</v>
      </c>
    </row>
    <row r="164" spans="10:12" x14ac:dyDescent="0.3">
      <c r="J164" s="4" t="s">
        <v>191</v>
      </c>
      <c r="K164" s="14"/>
      <c r="L164" s="14">
        <v>10000</v>
      </c>
    </row>
    <row r="165" spans="10:12" x14ac:dyDescent="0.3">
      <c r="J165" s="4" t="s">
        <v>21</v>
      </c>
      <c r="K165" s="14">
        <v>3368488</v>
      </c>
      <c r="L165" s="14"/>
    </row>
    <row r="166" spans="10:12" x14ac:dyDescent="0.3">
      <c r="J166" s="4" t="s">
        <v>97</v>
      </c>
      <c r="K166" s="14"/>
      <c r="L166" s="14">
        <v>940600</v>
      </c>
    </row>
    <row r="167" spans="10:12" x14ac:dyDescent="0.3">
      <c r="J167" s="4" t="s">
        <v>50</v>
      </c>
      <c r="K167" s="14"/>
      <c r="L167" s="14">
        <v>7090</v>
      </c>
    </row>
    <row r="168" spans="10:12" x14ac:dyDescent="0.3">
      <c r="J168" s="4" t="s">
        <v>55</v>
      </c>
      <c r="K168" s="14"/>
      <c r="L168" s="14">
        <v>65670</v>
      </c>
    </row>
    <row r="169" spans="10:12" x14ac:dyDescent="0.3">
      <c r="J169" s="4" t="s">
        <v>52</v>
      </c>
      <c r="K169" s="14"/>
      <c r="L169" s="14">
        <v>27750</v>
      </c>
    </row>
    <row r="170" spans="10:12" x14ac:dyDescent="0.3">
      <c r="J170" s="4" t="s">
        <v>54</v>
      </c>
      <c r="K170" s="14"/>
      <c r="L170" s="14">
        <v>11641</v>
      </c>
    </row>
    <row r="171" spans="10:12" x14ac:dyDescent="0.3">
      <c r="J171" s="4" t="s">
        <v>212</v>
      </c>
      <c r="K171" s="14"/>
      <c r="L171" s="14">
        <v>132900</v>
      </c>
    </row>
    <row r="172" spans="10:12" x14ac:dyDescent="0.3">
      <c r="J172" s="4" t="s">
        <v>209</v>
      </c>
      <c r="K172" s="14">
        <v>3000</v>
      </c>
      <c r="L172" s="14"/>
    </row>
    <row r="173" spans="10:12" x14ac:dyDescent="0.3">
      <c r="J173" s="4" t="s">
        <v>194</v>
      </c>
      <c r="K173" s="14">
        <v>4000</v>
      </c>
      <c r="L173" s="14">
        <v>2700</v>
      </c>
    </row>
    <row r="174" spans="10:12" x14ac:dyDescent="0.3">
      <c r="J174" s="4" t="s">
        <v>106</v>
      </c>
      <c r="K174" s="14"/>
      <c r="L174" s="14"/>
    </row>
    <row r="175" spans="10:12" x14ac:dyDescent="0.3">
      <c r="J175" s="4" t="s">
        <v>201</v>
      </c>
      <c r="K175" s="14">
        <v>652170</v>
      </c>
      <c r="L175" s="14"/>
    </row>
    <row r="176" spans="10:12" x14ac:dyDescent="0.3">
      <c r="J176" s="4" t="s">
        <v>118</v>
      </c>
      <c r="K176" s="14"/>
      <c r="L176" s="14">
        <v>300000</v>
      </c>
    </row>
    <row r="177" spans="10:12" x14ac:dyDescent="0.3">
      <c r="J177" s="4" t="s">
        <v>64</v>
      </c>
      <c r="K177" s="14"/>
      <c r="L177" s="14">
        <v>12000</v>
      </c>
    </row>
    <row r="178" spans="10:12" x14ac:dyDescent="0.3">
      <c r="J178" s="4" t="s">
        <v>174</v>
      </c>
      <c r="K178" s="14"/>
      <c r="L178" s="14">
        <v>212475</v>
      </c>
    </row>
    <row r="179" spans="10:12" x14ac:dyDescent="0.3">
      <c r="J179" s="4" t="s">
        <v>182</v>
      </c>
      <c r="K179" s="14"/>
      <c r="L179" s="14">
        <v>1000</v>
      </c>
    </row>
    <row r="180" spans="10:12" x14ac:dyDescent="0.3">
      <c r="J180" s="4" t="s">
        <v>187</v>
      </c>
      <c r="K180" s="14">
        <v>1778</v>
      </c>
      <c r="L180" s="14"/>
    </row>
    <row r="181" spans="10:12" x14ac:dyDescent="0.3">
      <c r="J181" s="4" t="s">
        <v>198</v>
      </c>
      <c r="K181" s="14">
        <v>415571</v>
      </c>
      <c r="L181" s="14"/>
    </row>
    <row r="182" spans="10:12" x14ac:dyDescent="0.3">
      <c r="J182" s="4" t="s">
        <v>206</v>
      </c>
      <c r="K182" s="14"/>
      <c r="L182" s="14">
        <v>162250</v>
      </c>
    </row>
    <row r="183" spans="10:12" x14ac:dyDescent="0.3">
      <c r="J183" s="4" t="s">
        <v>214</v>
      </c>
      <c r="K183" s="14">
        <v>54825</v>
      </c>
      <c r="L183" s="14">
        <v>35195</v>
      </c>
    </row>
    <row r="184" spans="10:12" x14ac:dyDescent="0.3">
      <c r="J184" s="4" t="s">
        <v>222</v>
      </c>
      <c r="K184" s="14"/>
      <c r="L184" s="14">
        <v>2000</v>
      </c>
    </row>
    <row r="185" spans="10:12" x14ac:dyDescent="0.3">
      <c r="J185" s="4" t="s">
        <v>244</v>
      </c>
      <c r="K185" s="14"/>
      <c r="L185" s="14">
        <v>2503038</v>
      </c>
    </row>
    <row r="186" spans="10:12" x14ac:dyDescent="0.3">
      <c r="J186" s="4" t="s">
        <v>28</v>
      </c>
      <c r="K186" s="14">
        <v>4499832</v>
      </c>
      <c r="L186" s="14">
        <v>4426309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L10" s="127"/>
      <c r="M10" s="127">
        <v>640125</v>
      </c>
    </row>
    <row r="11" spans="1:14" x14ac:dyDescent="0.3">
      <c r="K11" s="27">
        <v>45948</v>
      </c>
      <c r="L11" s="127"/>
      <c r="M11" s="127">
        <v>-462250</v>
      </c>
    </row>
    <row r="12" spans="1:14" x14ac:dyDescent="0.3">
      <c r="K12" s="4" t="s">
        <v>106</v>
      </c>
      <c r="L12" s="127"/>
      <c r="M12" s="127">
        <v>0</v>
      </c>
    </row>
    <row r="13" spans="1:14" x14ac:dyDescent="0.3">
      <c r="A13" t="s">
        <v>57</v>
      </c>
      <c r="B13" t="s">
        <v>159</v>
      </c>
      <c r="C13" t="s">
        <v>160</v>
      </c>
      <c r="D13" t="s">
        <v>4</v>
      </c>
      <c r="E13" t="s">
        <v>161</v>
      </c>
      <c r="K13" s="4" t="s">
        <v>28</v>
      </c>
      <c r="L13" s="127"/>
      <c r="M13" s="127">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106</v>
      </c>
      <c r="K5" s="127">
        <v>0</v>
      </c>
      <c r="L5" s="127">
        <v>0</v>
      </c>
      <c r="M5" s="127">
        <v>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119</v>
      </c>
      <c r="K6" s="127">
        <v>128000</v>
      </c>
      <c r="L6" s="127">
        <v>0</v>
      </c>
      <c r="M6" s="127">
        <v>123000</v>
      </c>
    </row>
    <row r="7" spans="1:13" x14ac:dyDescent="0.3">
      <c r="A7" s="90">
        <v>45947</v>
      </c>
      <c r="B7" s="90" t="s">
        <v>168</v>
      </c>
      <c r="C7" s="87" t="s">
        <v>184</v>
      </c>
      <c r="F7">
        <v>0</v>
      </c>
      <c r="G7">
        <v>0</v>
      </c>
      <c r="H7" s="86">
        <v>0</v>
      </c>
      <c r="J7" s="4" t="s">
        <v>120</v>
      </c>
      <c r="K7" s="127">
        <v>0</v>
      </c>
      <c r="L7" s="127">
        <v>0</v>
      </c>
      <c r="M7" s="12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s="127">
        <v>0</v>
      </c>
      <c r="L8" s="127">
        <v>0</v>
      </c>
      <c r="M8" s="127">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s="127">
        <v>128000</v>
      </c>
      <c r="L9" s="127">
        <v>0</v>
      </c>
      <c r="M9" s="127">
        <v>476250</v>
      </c>
    </row>
    <row r="10" spans="1:13" x14ac:dyDescent="0.3">
      <c r="A10" s="1"/>
      <c r="F10">
        <f>SUBTOTAL(109,Table2[Price])</f>
        <v>128000</v>
      </c>
      <c r="G10">
        <f>SUBTOTAL(109,Table2[Paid])</f>
        <v>0</v>
      </c>
      <c r="H10">
        <f>SUBTOTAL(109,Table2[Balance])</f>
        <v>476250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189149</v>
      </c>
      <c r="C2" s="37">
        <f>GETPIVOTDATA("Sum of Tiyaar/gaz",$A$3)</f>
        <v>193254</v>
      </c>
      <c r="D2" s="36">
        <f>((B2*48)+((C2/1.0936)*10))/C2</f>
        <v>56.124520394788952</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t="s">
        <v>28</v>
      </c>
      <c r="B14" s="35">
        <v>35598</v>
      </c>
      <c r="C14" s="35">
        <v>193254</v>
      </c>
      <c r="D14" s="33">
        <f t="shared" si="1"/>
        <v>17.985863497648396</v>
      </c>
      <c r="E14" s="11">
        <f t="shared" si="2"/>
        <v>38929.972799999996</v>
      </c>
      <c r="F14" s="11">
        <f t="shared" si="0"/>
        <v>193254</v>
      </c>
      <c r="G14" s="83">
        <f t="shared" si="4"/>
        <v>-396.41442338742149</v>
      </c>
      <c r="H14" s="33">
        <f t="shared" si="3"/>
        <v>176713.60643745429</v>
      </c>
      <c r="I14" s="33">
        <f t="shared" si="5"/>
        <v>17.985863497648396</v>
      </c>
    </row>
    <row r="15" spans="1:12" x14ac:dyDescent="0.3">
      <c r="D15" s="33" t="e">
        <f t="shared" si="1"/>
        <v>#DIV/0!</v>
      </c>
      <c r="E15" s="11">
        <f>B15 * 1.0936</f>
        <v>0</v>
      </c>
      <c r="F15" s="11">
        <f t="shared" si="0"/>
        <v>0</v>
      </c>
      <c r="G15" s="83" t="e">
        <f t="shared" si="4"/>
        <v>#DIV/0!</v>
      </c>
      <c r="H15" s="33">
        <f t="shared" si="3"/>
        <v>0</v>
      </c>
      <c r="I15" s="33" t="e">
        <f>((B15*48)+(H15*10))/C15</f>
        <v>#DIV/0!</v>
      </c>
    </row>
    <row r="16" spans="1:12" x14ac:dyDescent="0.3">
      <c r="D16" s="33" t="e">
        <f t="shared" si="1"/>
        <v>#DIV/0!</v>
      </c>
      <c r="E16" s="11">
        <f t="shared" si="2"/>
        <v>0</v>
      </c>
      <c r="F16" s="11">
        <f t="shared" si="0"/>
        <v>0</v>
      </c>
      <c r="G16" s="83" t="e">
        <f t="shared" si="4"/>
        <v>#DIV/0!</v>
      </c>
      <c r="H16" s="33">
        <f t="shared" si="3"/>
        <v>0</v>
      </c>
      <c r="I16" s="33" t="e">
        <f>((B16*48)+(H16*10))/C16</f>
        <v>#DIV/0!</v>
      </c>
    </row>
    <row r="17" spans="4:9" x14ac:dyDescent="0.3">
      <c r="D17" s="33" t="e">
        <f t="shared" si="1"/>
        <v>#DIV/0!</v>
      </c>
      <c r="E17" s="11">
        <f t="shared" si="2"/>
        <v>0</v>
      </c>
      <c r="F17" s="11">
        <f t="shared" si="0"/>
        <v>0</v>
      </c>
      <c r="G17" s="83" t="e">
        <f t="shared" si="4"/>
        <v>#DIV/0!</v>
      </c>
      <c r="H17" s="33">
        <f t="shared" si="3"/>
        <v>0</v>
      </c>
      <c r="I17" s="33" t="e">
        <f>((B17*48)+(H17*10))/C17</f>
        <v>#DIV/0!</v>
      </c>
    </row>
    <row r="18" spans="4:9" x14ac:dyDescent="0.3">
      <c r="D18" s="33" t="e">
        <f t="shared" si="1"/>
        <v>#DIV/0!</v>
      </c>
      <c r="E18" s="11">
        <f t="shared" si="2"/>
        <v>0</v>
      </c>
      <c r="F18" s="11">
        <f t="shared" si="0"/>
        <v>0</v>
      </c>
      <c r="G18" s="83" t="e">
        <f t="shared" si="4"/>
        <v>#DIV/0!</v>
      </c>
      <c r="H18" s="33">
        <f t="shared" si="3"/>
        <v>0</v>
      </c>
      <c r="I18" s="33" t="e">
        <f>((B18*48)+(H18*10))/C18</f>
        <v>#DIV/0!</v>
      </c>
    </row>
    <row r="19" spans="4:9" x14ac:dyDescent="0.3">
      <c r="D19" s="33" t="e">
        <f t="shared" si="1"/>
        <v>#DIV/0!</v>
      </c>
      <c r="E19" s="11">
        <f t="shared" si="2"/>
        <v>0</v>
      </c>
      <c r="F19" s="11">
        <f t="shared" si="0"/>
        <v>0</v>
      </c>
      <c r="G19" s="83" t="e">
        <f t="shared" ref="G19:G38" si="6">100- (F19/E19 *100)</f>
        <v>#DIV/0!</v>
      </c>
      <c r="H19" s="33">
        <f t="shared" si="3"/>
        <v>0</v>
      </c>
      <c r="I19" s="33" t="e">
        <f t="shared" si="5"/>
        <v>#DIV/0!</v>
      </c>
    </row>
    <row r="20" spans="4:9" x14ac:dyDescent="0.3">
      <c r="D20" s="33" t="e">
        <f t="shared" si="1"/>
        <v>#DIV/0!</v>
      </c>
      <c r="E20" s="11">
        <f>B20 * 1.0936</f>
        <v>0</v>
      </c>
      <c r="F20" s="11">
        <f t="shared" si="0"/>
        <v>0</v>
      </c>
      <c r="G20" s="83" t="e">
        <f t="shared" si="6"/>
        <v>#DIV/0!</v>
      </c>
      <c r="H20" s="33">
        <f t="shared" si="3"/>
        <v>0</v>
      </c>
      <c r="I20" s="33" t="e">
        <f t="shared" si="5"/>
        <v>#DIV/0!</v>
      </c>
    </row>
    <row r="21" spans="4:9" x14ac:dyDescent="0.3">
      <c r="D21" s="33" t="e">
        <f t="shared" si="1"/>
        <v>#DIV/0!</v>
      </c>
      <c r="E21" s="11">
        <f t="shared" si="2"/>
        <v>0</v>
      </c>
      <c r="F21" s="11">
        <f t="shared" si="0"/>
        <v>0</v>
      </c>
      <c r="G21" s="83" t="e">
        <f t="shared" si="6"/>
        <v>#DIV/0!</v>
      </c>
      <c r="H21" s="33">
        <f t="shared" si="3"/>
        <v>0</v>
      </c>
      <c r="I21" s="33" t="e">
        <f t="shared" si="5"/>
        <v>#DIV/0!</v>
      </c>
    </row>
    <row r="22" spans="4:9" x14ac:dyDescent="0.3">
      <c r="D22" s="33" t="e">
        <f t="shared" si="1"/>
        <v>#DIV/0!</v>
      </c>
      <c r="E22" s="11">
        <f t="shared" si="2"/>
        <v>0</v>
      </c>
      <c r="F22" s="11">
        <f t="shared" si="0"/>
        <v>0</v>
      </c>
      <c r="G22" s="83" t="e">
        <f t="shared" si="6"/>
        <v>#DIV/0!</v>
      </c>
      <c r="H22" s="33">
        <f t="shared" si="3"/>
        <v>0</v>
      </c>
      <c r="I22" s="33" t="e">
        <f t="shared" si="5"/>
        <v>#DIV/0!</v>
      </c>
    </row>
    <row r="23" spans="4:9" x14ac:dyDescent="0.3">
      <c r="D23" s="33" t="e">
        <f t="shared" si="1"/>
        <v>#DIV/0!</v>
      </c>
      <c r="E23" s="11">
        <f t="shared" si="2"/>
        <v>0</v>
      </c>
      <c r="F23" s="11">
        <f t="shared" si="0"/>
        <v>0</v>
      </c>
      <c r="G23" s="83" t="e">
        <f t="shared" si="6"/>
        <v>#DIV/0!</v>
      </c>
      <c r="H23" s="33">
        <f t="shared" si="3"/>
        <v>0</v>
      </c>
      <c r="I23" s="33" t="e">
        <f t="shared" si="5"/>
        <v>#DIV/0!</v>
      </c>
    </row>
    <row r="24" spans="4:9" x14ac:dyDescent="0.3">
      <c r="D24" s="33" t="e">
        <f t="shared" si="1"/>
        <v>#DIV/0!</v>
      </c>
      <c r="E24" s="11">
        <f t="shared" si="2"/>
        <v>0</v>
      </c>
      <c r="F24" s="11">
        <f t="shared" si="0"/>
        <v>0</v>
      </c>
      <c r="G24" s="83" t="e">
        <f t="shared" si="6"/>
        <v>#DIV/0!</v>
      </c>
      <c r="H24" s="33">
        <f t="shared" si="3"/>
        <v>0</v>
      </c>
      <c r="I24" s="33" t="e">
        <f t="shared" si="5"/>
        <v>#DIV/0!</v>
      </c>
    </row>
    <row r="25" spans="4:9" x14ac:dyDescent="0.3">
      <c r="D25" s="33" t="e">
        <f t="shared" si="1"/>
        <v>#DIV/0!</v>
      </c>
      <c r="E25" s="11">
        <f t="shared" si="2"/>
        <v>0</v>
      </c>
      <c r="F25" s="11">
        <f t="shared" si="0"/>
        <v>0</v>
      </c>
      <c r="G25" s="83" t="e">
        <f t="shared" si="6"/>
        <v>#DIV/0!</v>
      </c>
      <c r="H25" s="33">
        <f t="shared" si="3"/>
        <v>0</v>
      </c>
      <c r="I25" s="33" t="e">
        <f t="shared" si="5"/>
        <v>#DIV/0!</v>
      </c>
    </row>
    <row r="26" spans="4:9" x14ac:dyDescent="0.3">
      <c r="D26" s="33" t="e">
        <f t="shared" si="1"/>
        <v>#DIV/0!</v>
      </c>
      <c r="E26" s="11">
        <f t="shared" si="2"/>
        <v>0</v>
      </c>
      <c r="F26" s="11">
        <f t="shared" si="0"/>
        <v>0</v>
      </c>
      <c r="G26" s="83" t="e">
        <f t="shared" si="6"/>
        <v>#DIV/0!</v>
      </c>
      <c r="H26" s="33">
        <f t="shared" si="3"/>
        <v>0</v>
      </c>
      <c r="I26" s="33" t="e">
        <f t="shared" si="5"/>
        <v>#DIV/0!</v>
      </c>
    </row>
    <row r="27" spans="4:9" x14ac:dyDescent="0.3">
      <c r="D27" s="33" t="e">
        <f t="shared" si="1"/>
        <v>#DIV/0!</v>
      </c>
      <c r="E27" s="11">
        <f t="shared" si="2"/>
        <v>0</v>
      </c>
      <c r="F27" s="11">
        <f t="shared" si="0"/>
        <v>0</v>
      </c>
      <c r="G27" s="83" t="e">
        <f t="shared" si="6"/>
        <v>#DIV/0!</v>
      </c>
      <c r="H27" s="33">
        <f t="shared" si="3"/>
        <v>0</v>
      </c>
      <c r="I27" s="33" t="e">
        <f t="shared" si="5"/>
        <v>#DIV/0!</v>
      </c>
    </row>
    <row r="28" spans="4:9" x14ac:dyDescent="0.3">
      <c r="D28" s="33" t="e">
        <f t="shared" si="1"/>
        <v>#DIV/0!</v>
      </c>
      <c r="E28" s="11">
        <f t="shared" si="2"/>
        <v>0</v>
      </c>
      <c r="F28" s="11">
        <f t="shared" si="0"/>
        <v>0</v>
      </c>
      <c r="G28" s="83" t="e">
        <f t="shared" si="6"/>
        <v>#DIV/0!</v>
      </c>
      <c r="H28" s="33">
        <f t="shared" si="3"/>
        <v>0</v>
      </c>
      <c r="I28" s="33" t="e">
        <f t="shared" si="5"/>
        <v>#DIV/0!</v>
      </c>
    </row>
    <row r="29" spans="4:9" x14ac:dyDescent="0.3">
      <c r="D29" s="33" t="e">
        <f t="shared" si="1"/>
        <v>#DIV/0!</v>
      </c>
      <c r="E29" s="11">
        <f t="shared" si="2"/>
        <v>0</v>
      </c>
      <c r="F29" s="11">
        <f t="shared" si="0"/>
        <v>0</v>
      </c>
      <c r="G29" s="83" t="e">
        <f t="shared" si="6"/>
        <v>#DIV/0!</v>
      </c>
      <c r="H29" s="33">
        <f t="shared" si="3"/>
        <v>0</v>
      </c>
      <c r="I29" s="33" t="e">
        <f t="shared" si="5"/>
        <v>#DIV/0!</v>
      </c>
    </row>
    <row r="30" spans="4:9" x14ac:dyDescent="0.3">
      <c r="D30" s="33" t="e">
        <f t="shared" si="1"/>
        <v>#DIV/0!</v>
      </c>
      <c r="E30" s="11">
        <f t="shared" si="2"/>
        <v>0</v>
      </c>
      <c r="F30" s="11">
        <f t="shared" si="0"/>
        <v>0</v>
      </c>
      <c r="G30" s="83" t="e">
        <f t="shared" si="6"/>
        <v>#DIV/0!</v>
      </c>
      <c r="H30" s="33">
        <f t="shared" si="3"/>
        <v>0</v>
      </c>
      <c r="I30" s="33" t="e">
        <f t="shared" si="5"/>
        <v>#DIV/0!</v>
      </c>
    </row>
    <row r="31" spans="4:9" x14ac:dyDescent="0.3">
      <c r="D31" s="33" t="e">
        <f t="shared" si="1"/>
        <v>#DIV/0!</v>
      </c>
      <c r="E31" s="11">
        <f t="shared" si="2"/>
        <v>0</v>
      </c>
      <c r="F31" s="11">
        <f t="shared" si="0"/>
        <v>0</v>
      </c>
      <c r="G31" s="83" t="e">
        <f t="shared" si="6"/>
        <v>#DIV/0!</v>
      </c>
      <c r="H31" s="33">
        <f t="shared" si="3"/>
        <v>0</v>
      </c>
      <c r="I31" s="33" t="e">
        <f t="shared" si="5"/>
        <v>#DIV/0!</v>
      </c>
    </row>
    <row r="32" spans="4: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0</v>
      </c>
    </row>
    <row r="9" spans="2:10" x14ac:dyDescent="0.3">
      <c r="B9" s="1">
        <v>45953</v>
      </c>
      <c r="C9" t="s">
        <v>116</v>
      </c>
      <c r="D9">
        <f>SUMIFS(Table14[Debit], Table14[Date], Table5[[#This Row],[Date]], Table14[Party], "Rashan")</f>
        <v>0</v>
      </c>
      <c r="H9" s="1">
        <v>45953</v>
      </c>
      <c r="J9">
        <f>SUMIFS(Table14[Debit], Table14[Date], Table15[[#This Row],[Date]], Table14[Party], "Parts")</f>
        <v>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0</v>
      </c>
      <c r="H35" s="1"/>
      <c r="J35">
        <f>SUM(Table15[Amount])</f>
        <v>65670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16223141</v>
      </c>
      <c r="C2" s="101">
        <f>Billing!X5</f>
        <v>-231314.00658375584</v>
      </c>
    </row>
    <row r="3" spans="1:3" ht="18" x14ac:dyDescent="0.35">
      <c r="A3" s="86" t="str">
        <f>Billing!O6</f>
        <v>Ejaz Sahab</v>
      </c>
      <c r="B3" s="14">
        <f>Billing!W6</f>
        <v>859904</v>
      </c>
      <c r="C3" s="101">
        <f>Billing!X6</f>
        <v>1155421.5303584493</v>
      </c>
    </row>
    <row r="4" spans="1:3" ht="18" x14ac:dyDescent="0.35">
      <c r="A4" s="86" t="str">
        <f>Billing!O7</f>
        <v>Arshad</v>
      </c>
      <c r="B4" s="14">
        <f>Billing!W7</f>
        <v>2306701</v>
      </c>
      <c r="C4" s="102">
        <f>Billing!X7</f>
        <v>445711.21653255308</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916.59692757856101</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0</v>
      </c>
      <c r="C19" s="101">
        <f>Billing!X22</f>
        <v>90790.051207022683</v>
      </c>
    </row>
    <row r="20" spans="1:3" ht="18" x14ac:dyDescent="0.35">
      <c r="A20">
        <f>Billing!O23</f>
        <v>0</v>
      </c>
      <c r="B20" s="14">
        <f>Billing!W23</f>
        <v>0</v>
      </c>
      <c r="C20" s="101">
        <f>Billing!X23</f>
        <v>0</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2025-10-21T21:55:01Z</dcterms:modified>
  <cp:category/>
  <cp:contentStatus/>
</cp:coreProperties>
</file>