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116" documentId="8_{4BA2F63F-AD4E-4F04-A724-5F712AF3C5FD}" xr6:coauthVersionLast="47" xr6:coauthVersionMax="47" xr10:uidLastSave="{A0F6E7D3-3E89-4CE3-9101-9833B3109971}"/>
  <bookViews>
    <workbookView xWindow="-108" yWindow="-108" windowWidth="23256" windowHeight="12456"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5" r:id="rId19"/>
    <pivotCache cacheId="19" r:id="rId20"/>
    <pivotCache cacheId="24" r:id="rId21"/>
    <pivotCache cacheId="30" r:id="rId22"/>
    <pivotCache cacheId="34" r:id="rId23"/>
    <pivotCache cacheId="41"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6" l="1"/>
  <c r="G32" i="6"/>
  <c r="I32" i="6"/>
  <c r="I76" i="1"/>
  <c r="J76" i="1" a="1"/>
  <c r="J76" i="1"/>
  <c r="I77" i="1"/>
  <c r="J77" i="1" a="1"/>
  <c r="J77" i="1"/>
  <c r="I78" i="1"/>
  <c r="J78" i="1" a="1"/>
  <c r="J78" i="1"/>
  <c r="I79" i="1"/>
  <c r="J79" i="1" a="1"/>
  <c r="J79" i="1"/>
  <c r="D3" i="17"/>
  <c r="N6" i="17" s="1"/>
  <c r="I71" i="1"/>
  <c r="J71" i="1" s="1" a="1"/>
  <c r="J71" i="1" s="1"/>
  <c r="I72" i="1"/>
  <c r="J72" i="1" a="1"/>
  <c r="J72" i="1" s="1"/>
  <c r="I73" i="1"/>
  <c r="J73" i="1" a="1"/>
  <c r="J73" i="1" s="1"/>
  <c r="I74" i="1"/>
  <c r="J74" i="1" s="1" a="1"/>
  <c r="J74" i="1" s="1"/>
  <c r="I75" i="1"/>
  <c r="J75" i="1" s="1" a="1"/>
  <c r="J75" i="1" s="1"/>
  <c r="H31" i="6"/>
  <c r="I31" i="6" s="1"/>
  <c r="G31" i="6"/>
  <c r="X26" i="9" a="1"/>
  <c r="X26" i="9" s="1"/>
  <c r="X27" i="9" a="1"/>
  <c r="X27" i="9" s="1"/>
  <c r="X28" i="9" a="1"/>
  <c r="X28" i="9" s="1"/>
  <c r="V26" i="9" a="1"/>
  <c r="V26" i="9" s="1"/>
  <c r="V27" i="9" a="1"/>
  <c r="V27" i="9" s="1"/>
  <c r="V28" i="9" a="1"/>
  <c r="V28" i="9" s="1"/>
  <c r="G66" i="1"/>
  <c r="I66" i="1" s="1"/>
  <c r="J66" i="1" s="1" a="1"/>
  <c r="J66" i="1" s="1"/>
  <c r="I64" i="1"/>
  <c r="J64" i="1" s="1" a="1"/>
  <c r="J64" i="1" s="1"/>
  <c r="I65" i="1"/>
  <c r="J65" i="1" s="1" a="1"/>
  <c r="J65" i="1" s="1"/>
  <c r="I67" i="1"/>
  <c r="J67" i="1" s="1" a="1"/>
  <c r="J67" i="1" s="1"/>
  <c r="I68" i="1"/>
  <c r="J68" i="1" a="1"/>
  <c r="J68" i="1" s="1"/>
  <c r="I69" i="1"/>
  <c r="J69" i="1" s="1" a="1"/>
  <c r="J69" i="1" s="1"/>
  <c r="I70" i="1"/>
  <c r="J70" i="1" s="1" a="1"/>
  <c r="J70" i="1" s="1"/>
  <c r="H29" i="6"/>
  <c r="I29" i="6" s="1"/>
  <c r="H28" i="6"/>
  <c r="I28" i="6" s="1"/>
  <c r="H27" i="6"/>
  <c r="I27" i="6" s="1"/>
  <c r="G26" i="6"/>
  <c r="G27" i="6"/>
  <c r="G28" i="6"/>
  <c r="G29" i="6"/>
  <c r="G30" i="6"/>
  <c r="I26" i="6"/>
  <c r="I30" i="6"/>
  <c r="I58" i="1"/>
  <c r="J58" i="1" a="1"/>
  <c r="J58" i="1" s="1"/>
  <c r="I59" i="1"/>
  <c r="J59" i="1" s="1" a="1"/>
  <c r="J59" i="1" s="1"/>
  <c r="I60" i="1"/>
  <c r="J60" i="1" a="1"/>
  <c r="J60" i="1" s="1"/>
  <c r="I61" i="1"/>
  <c r="J61" i="1" s="1" a="1"/>
  <c r="J61" i="1" s="1"/>
  <c r="I62" i="1"/>
  <c r="J62" i="1" s="1" a="1"/>
  <c r="J62" i="1" s="1"/>
  <c r="G63" i="1"/>
  <c r="I63" i="1" s="1"/>
  <c r="J63" i="1" s="1" a="1"/>
  <c r="J63" i="1" s="1"/>
  <c r="H25" i="6"/>
  <c r="I25" i="6" s="1"/>
  <c r="H24" i="6"/>
  <c r="I24" i="6" s="1"/>
  <c r="I50" i="1"/>
  <c r="J50" i="1" s="1" a="1"/>
  <c r="J50" i="1" s="1"/>
  <c r="I51" i="1"/>
  <c r="J51" i="1" a="1"/>
  <c r="J51" i="1" s="1"/>
  <c r="I52" i="1"/>
  <c r="J52" i="1" s="1" a="1"/>
  <c r="J52" i="1" s="1"/>
  <c r="I53" i="1"/>
  <c r="J53" i="1" s="1" a="1"/>
  <c r="J53" i="1" s="1"/>
  <c r="I54" i="1"/>
  <c r="J54" i="1" s="1" a="1"/>
  <c r="J54" i="1" s="1"/>
  <c r="I55" i="1"/>
  <c r="J55" i="1" s="1" a="1"/>
  <c r="J55" i="1" s="1"/>
  <c r="I56" i="1"/>
  <c r="J56" i="1" s="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I47" i="1"/>
  <c r="J47" i="1" s="1" a="1"/>
  <c r="J47" i="1" s="1"/>
  <c r="I48" i="1"/>
  <c r="J48" i="1" s="1" a="1"/>
  <c r="J48" i="1" s="1"/>
  <c r="I49" i="1"/>
  <c r="J49" i="1" s="1" a="1"/>
  <c r="J49" i="1" s="1"/>
  <c r="I44" i="1"/>
  <c r="J44" i="1" s="1" a="1"/>
  <c r="J44" i="1" s="1"/>
  <c r="I45" i="1"/>
  <c r="J45" i="1" s="1" a="1"/>
  <c r="J45" i="1" s="1"/>
  <c r="I46" i="1"/>
  <c r="J46" i="1" s="1" a="1"/>
  <c r="J46" i="1" s="1"/>
  <c r="C37" i="17"/>
  <c r="C193" i="17" s="1"/>
  <c r="K4" i="17"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s="1" a="1"/>
  <c r="J37" i="1" s="1"/>
  <c r="I36" i="1"/>
  <c r="J36" i="1" s="1" a="1"/>
  <c r="J36" i="1" s="1"/>
  <c r="I35" i="1"/>
  <c r="J35" i="1" s="1" a="1"/>
  <c r="J35" i="1" s="1"/>
  <c r="I34" i="1"/>
  <c r="J34" i="1" s="1" a="1"/>
  <c r="J34" i="1" s="1"/>
  <c r="R26" i="9" a="1"/>
  <c r="R26" i="9" s="1"/>
  <c r="S26" i="9" a="1"/>
  <c r="S26" i="9" s="1"/>
  <c r="T26" i="9" a="1"/>
  <c r="T26" i="9" s="1"/>
  <c r="U26" i="9" a="1"/>
  <c r="U26" i="9" s="1"/>
  <c r="W26" i="9" a="1"/>
  <c r="W26" i="9" s="1"/>
  <c r="AA26" i="9"/>
  <c r="B23" i="20" s="1"/>
  <c r="R27" i="9" a="1"/>
  <c r="R27" i="9" s="1"/>
  <c r="S27" i="9" a="1"/>
  <c r="S27" i="9" s="1"/>
  <c r="T27" i="9" a="1"/>
  <c r="T27" i="9" s="1"/>
  <c r="U27" i="9" a="1"/>
  <c r="U27" i="9" s="1"/>
  <c r="W27" i="9" a="1"/>
  <c r="W27" i="9" s="1"/>
  <c r="AA27" i="9"/>
  <c r="B24" i="20" s="1"/>
  <c r="R28" i="9" a="1"/>
  <c r="R28" i="9" s="1"/>
  <c r="S28" i="9" a="1"/>
  <c r="S28" i="9" s="1"/>
  <c r="T28" i="9" a="1"/>
  <c r="T28" i="9" s="1"/>
  <c r="U28" i="9" a="1"/>
  <c r="U28" i="9" s="1"/>
  <c r="W28" i="9" a="1"/>
  <c r="W28" i="9" s="1"/>
  <c r="AA28" i="9"/>
  <c r="B25" i="20" s="1"/>
  <c r="R29" i="9" a="1"/>
  <c r="R29" i="9" s="1"/>
  <c r="S29" i="9" a="1"/>
  <c r="S29" i="9" s="1"/>
  <c r="T29" i="9" a="1"/>
  <c r="T29" i="9" s="1"/>
  <c r="U29" i="9" a="1"/>
  <c r="U29" i="9" s="1"/>
  <c r="V29" i="9" a="1"/>
  <c r="V29" i="9" s="1"/>
  <c r="W29" i="9" a="1"/>
  <c r="W29" i="9" s="1"/>
  <c r="AA29" i="9"/>
  <c r="B26" i="20" s="1"/>
  <c r="R30" i="9" a="1"/>
  <c r="R30" i="9" s="1"/>
  <c r="S30" i="9" a="1"/>
  <c r="S30" i="9" s="1"/>
  <c r="T30" i="9" a="1"/>
  <c r="T30" i="9" s="1"/>
  <c r="U30" i="9" a="1"/>
  <c r="U30" i="9" s="1"/>
  <c r="V30" i="9" a="1"/>
  <c r="V30" i="9" s="1"/>
  <c r="W30" i="9" a="1"/>
  <c r="W30" i="9" s="1"/>
  <c r="AA30" i="9"/>
  <c r="B27" i="20" s="1"/>
  <c r="R31" i="9" a="1"/>
  <c r="R31" i="9" s="1"/>
  <c r="S31" i="9" a="1"/>
  <c r="S31" i="9" s="1"/>
  <c r="T31" i="9" a="1"/>
  <c r="T31" i="9" s="1"/>
  <c r="U31" i="9" a="1"/>
  <c r="U31" i="9" s="1"/>
  <c r="V31" i="9" a="1"/>
  <c r="V31" i="9" s="1"/>
  <c r="W31" i="9" a="1"/>
  <c r="W31" i="9" s="1"/>
  <c r="AA31" i="9"/>
  <c r="B28" i="20" s="1"/>
  <c r="R32" i="9" a="1"/>
  <c r="R32" i="9" s="1"/>
  <c r="S32" i="9" a="1"/>
  <c r="S32" i="9" s="1"/>
  <c r="T32" i="9" a="1"/>
  <c r="T32" i="9" s="1"/>
  <c r="U32" i="9" a="1"/>
  <c r="U32" i="9" s="1"/>
  <c r="V32" i="9" a="1"/>
  <c r="V32" i="9" s="1"/>
  <c r="W32" i="9" a="1"/>
  <c r="W32" i="9" s="1"/>
  <c r="AA32" i="9"/>
  <c r="R33" i="9" a="1"/>
  <c r="R33" i="9" s="1"/>
  <c r="S33" i="9" a="1"/>
  <c r="S33" i="9" s="1"/>
  <c r="T33" i="9" a="1"/>
  <c r="T33" i="9" s="1"/>
  <c r="U33" i="9" a="1"/>
  <c r="U33" i="9" s="1"/>
  <c r="V33" i="9" a="1"/>
  <c r="V33" i="9" s="1"/>
  <c r="W33" i="9" a="1"/>
  <c r="W33" i="9" s="1"/>
  <c r="AA33" i="9"/>
  <c r="R34" i="9" a="1"/>
  <c r="R34" i="9" s="1"/>
  <c r="S34" i="9" a="1"/>
  <c r="S34" i="9" s="1"/>
  <c r="T34" i="9" a="1"/>
  <c r="T34" i="9" s="1"/>
  <c r="U34" i="9" a="1"/>
  <c r="U34" i="9" s="1"/>
  <c r="V34" i="9" a="1"/>
  <c r="V34" i="9" s="1"/>
  <c r="W34" i="9" a="1"/>
  <c r="W34" i="9" s="1"/>
  <c r="AA34" i="9"/>
  <c r="R35" i="9" a="1"/>
  <c r="R35" i="9" s="1"/>
  <c r="S35" i="9" a="1"/>
  <c r="S35" i="9" s="1"/>
  <c r="T35" i="9" a="1"/>
  <c r="T35" i="9" s="1"/>
  <c r="U35" i="9" a="1"/>
  <c r="U35" i="9" s="1"/>
  <c r="V35" i="9" a="1"/>
  <c r="V35" i="9" s="1"/>
  <c r="W35" i="9" a="1"/>
  <c r="W35" i="9" s="1"/>
  <c r="AA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G8" i="15"/>
  <c r="H8" i="15" s="1"/>
  <c r="G9" i="15"/>
  <c r="B84" i="9" a="1"/>
  <c r="B84" i="9" s="1"/>
  <c r="J27" i="15"/>
  <c r="J26" i="15"/>
  <c r="J25" i="15"/>
  <c r="J30" i="15"/>
  <c r="C6" i="8"/>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Q5" i="9" a="1"/>
  <c r="A9" i="21" s="1"/>
  <c r="B49" i="9" a="1"/>
  <c r="I58" i="9" s="1" a="1"/>
  <c r="I58" i="9" s="1"/>
  <c r="L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K6" i="6" s="1"/>
  <c r="C4" i="8" s="1"/>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G33" i="6" s="1"/>
  <c r="C19" i="8"/>
  <c r="D16" i="14"/>
  <c r="J18" i="14"/>
  <c r="J19" i="14"/>
  <c r="J20" i="14"/>
  <c r="E33" i="2"/>
  <c r="F33" i="2"/>
  <c r="G33" i="2"/>
  <c r="H78" i="1" s="1"/>
  <c r="E34" i="2"/>
  <c r="F34" i="2"/>
  <c r="H34" i="2" s="1"/>
  <c r="I34" i="2" s="1"/>
  <c r="D34" i="2" s="1"/>
  <c r="E35" i="2"/>
  <c r="F35" i="2"/>
  <c r="G35" i="2" s="1"/>
  <c r="H35" i="2"/>
  <c r="I35" i="2"/>
  <c r="D35" i="2" s="1"/>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G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s="1"/>
  <c r="H58" i="1" s="1"/>
  <c r="F22" i="2"/>
  <c r="H22" i="2" s="1"/>
  <c r="I22" i="2" s="1"/>
  <c r="D22" i="2" s="1"/>
  <c r="F23" i="2"/>
  <c r="H23" i="2" s="1"/>
  <c r="I23" i="2" s="1"/>
  <c r="D23" i="2" s="1"/>
  <c r="F24" i="2"/>
  <c r="F25" i="2"/>
  <c r="H25" i="2" s="1"/>
  <c r="I25" i="2" s="1"/>
  <c r="D25" i="2" s="1"/>
  <c r="F26" i="2"/>
  <c r="G26" i="2" s="1"/>
  <c r="H26" i="2"/>
  <c r="I26" i="2"/>
  <c r="D26" i="2"/>
  <c r="F27" i="2"/>
  <c r="H27" i="2"/>
  <c r="I27" i="2"/>
  <c r="D27" i="2" s="1"/>
  <c r="F28" i="2"/>
  <c r="F29" i="2"/>
  <c r="H29" i="2"/>
  <c r="I29" i="2" s="1"/>
  <c r="D29" i="2" s="1"/>
  <c r="F30" i="2"/>
  <c r="H30" i="2"/>
  <c r="I30" i="2"/>
  <c r="D30" i="2" s="1"/>
  <c r="F31" i="2"/>
  <c r="G31" i="2" s="1"/>
  <c r="F32" i="2"/>
  <c r="H32" i="2" s="1"/>
  <c r="I32" i="2" s="1"/>
  <c r="D32" i="2" s="1"/>
  <c r="E22" i="2"/>
  <c r="E23" i="2"/>
  <c r="E24" i="2"/>
  <c r="G24" i="2" s="1"/>
  <c r="H61" i="1" s="1"/>
  <c r="E25" i="2"/>
  <c r="E26" i="2"/>
  <c r="E27" i="2"/>
  <c r="G27" i="2" s="1"/>
  <c r="E28" i="2"/>
  <c r="E29" i="2"/>
  <c r="E30" i="2"/>
  <c r="E31" i="2"/>
  <c r="E32" i="2"/>
  <c r="E20" i="2"/>
  <c r="E21" i="2"/>
  <c r="N4" i="17"/>
  <c r="F20" i="2"/>
  <c r="G20" i="2" s="1"/>
  <c r="H20" i="2"/>
  <c r="I20" i="2"/>
  <c r="D20" i="2"/>
  <c r="E15" i="2"/>
  <c r="F15" i="2"/>
  <c r="H15" i="2"/>
  <c r="I15" i="2" s="1"/>
  <c r="D15" i="2" s="1"/>
  <c r="E16" i="2"/>
  <c r="E17" i="2"/>
  <c r="E18" i="2"/>
  <c r="G18" i="2" s="1"/>
  <c r="E19" i="2"/>
  <c r="E7" i="2"/>
  <c r="E8" i="2"/>
  <c r="G8" i="2" s="1"/>
  <c r="E9" i="2"/>
  <c r="E10" i="2"/>
  <c r="E11" i="2"/>
  <c r="E12" i="2"/>
  <c r="G12" i="2" s="1"/>
  <c r="E13" i="2"/>
  <c r="E14" i="2"/>
  <c r="E5" i="2"/>
  <c r="E6" i="2"/>
  <c r="E4" i="2"/>
  <c r="F13" i="2"/>
  <c r="G13" i="2" s="1"/>
  <c r="H47" i="1" s="1"/>
  <c r="F14" i="2"/>
  <c r="G14" i="2" s="1"/>
  <c r="H48" i="1" s="1"/>
  <c r="F16" i="2"/>
  <c r="G16" i="2" s="1"/>
  <c r="H50" i="1" s="1"/>
  <c r="H16" i="2"/>
  <c r="I16" i="2" s="1"/>
  <c r="D16" i="2" s="1"/>
  <c r="F17" i="2"/>
  <c r="G17" i="2" s="1"/>
  <c r="H51" i="1" s="1"/>
  <c r="F18" i="2"/>
  <c r="H18" i="2"/>
  <c r="I18" i="2" s="1"/>
  <c r="D18" i="2" s="1"/>
  <c r="F19" i="2"/>
  <c r="G19" i="2" s="1"/>
  <c r="H19" i="2"/>
  <c r="I19" i="2"/>
  <c r="D19" i="2"/>
  <c r="C8" i="8"/>
  <c r="F11" i="2"/>
  <c r="H11" i="2"/>
  <c r="I11" i="2"/>
  <c r="F10" i="2"/>
  <c r="H10" i="2"/>
  <c r="I10" i="2" s="1"/>
  <c r="D10" i="2" s="1"/>
  <c r="F6" i="2"/>
  <c r="H6" i="2"/>
  <c r="I6" i="2"/>
  <c r="D6" i="2"/>
  <c r="F7" i="2"/>
  <c r="G7" i="2" s="1"/>
  <c r="H38" i="1" s="1"/>
  <c r="F8" i="2"/>
  <c r="H8" i="2"/>
  <c r="I8" i="2"/>
  <c r="D8" i="2" s="1"/>
  <c r="F9" i="2"/>
  <c r="H9" i="2" s="1"/>
  <c r="I9" i="2" s="1"/>
  <c r="D9" i="2" s="1"/>
  <c r="N3" i="7"/>
  <c r="N5" i="7"/>
  <c r="E6" i="11"/>
  <c r="D6" i="11"/>
  <c r="F12" i="2"/>
  <c r="H12" i="2"/>
  <c r="I12" i="2"/>
  <c r="D12" i="2" s="1"/>
  <c r="F5" i="2"/>
  <c r="H5" i="2" s="1"/>
  <c r="I5" i="2" s="1"/>
  <c r="D5" i="2" s="1"/>
  <c r="F3" i="2"/>
  <c r="F4" i="2"/>
  <c r="H4" i="2" s="1"/>
  <c r="I4" i="2" s="1"/>
  <c r="D4" i="2" s="1"/>
  <c r="G4" i="2"/>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86" i="2"/>
  <c r="G70" i="2"/>
  <c r="G56" i="2"/>
  <c r="G39" i="2"/>
  <c r="G65" i="2"/>
  <c r="G44" i="2"/>
  <c r="G77" i="2"/>
  <c r="G75" i="2"/>
  <c r="G45" i="2"/>
  <c r="G64" i="2"/>
  <c r="G74" i="2"/>
  <c r="G68" i="2"/>
  <c r="G82" i="2"/>
  <c r="G78" i="2"/>
  <c r="H85" i="2"/>
  <c r="I85" i="2"/>
  <c r="D85" i="2"/>
  <c r="G47" i="2"/>
  <c r="G46" i="2"/>
  <c r="G79" i="2"/>
  <c r="G49" i="2"/>
  <c r="G52" i="2"/>
  <c r="H56" i="2"/>
  <c r="I56" i="2"/>
  <c r="D56" i="2"/>
  <c r="G53" i="2"/>
  <c r="H82" i="2"/>
  <c r="I82" i="2"/>
  <c r="D82" i="2"/>
  <c r="G34" i="2"/>
  <c r="H79" i="1" s="1"/>
  <c r="G37" i="2"/>
  <c r="G40" i="2"/>
  <c r="G59" i="2"/>
  <c r="G63" i="2"/>
  <c r="H74" i="2"/>
  <c r="I74" i="2"/>
  <c r="D74" i="2"/>
  <c r="H81" i="2"/>
  <c r="I81" i="2"/>
  <c r="D81" i="2"/>
  <c r="H76" i="2"/>
  <c r="I76" i="2"/>
  <c r="D76" i="2"/>
  <c r="G32" i="2"/>
  <c r="H76" i="1" s="1"/>
  <c r="H28" i="1"/>
  <c r="G43" i="2"/>
  <c r="G73" i="2"/>
  <c r="G69" i="2"/>
  <c r="G66" i="2"/>
  <c r="G62" i="2"/>
  <c r="G57" i="2"/>
  <c r="H33" i="2"/>
  <c r="I33" i="2" s="1"/>
  <c r="D33" i="2" s="1"/>
  <c r="H41" i="2"/>
  <c r="I41" i="2"/>
  <c r="D41" i="2"/>
  <c r="H65" i="2"/>
  <c r="I65" i="2"/>
  <c r="D65" i="2"/>
  <c r="G51" i="2"/>
  <c r="G54" i="2"/>
  <c r="G48" i="2"/>
  <c r="H36" i="2"/>
  <c r="I36" i="2"/>
  <c r="D36" i="2"/>
  <c r="H42" i="2"/>
  <c r="I42" i="2"/>
  <c r="D42" i="2"/>
  <c r="G61" i="2"/>
  <c r="H5" i="1"/>
  <c r="H27" i="1"/>
  <c r="H33" i="1"/>
  <c r="H19" i="1"/>
  <c r="H22" i="1"/>
  <c r="H2" i="1"/>
  <c r="H20" i="1"/>
  <c r="H8" i="1"/>
  <c r="H9" i="1"/>
  <c r="H12" i="1"/>
  <c r="H6" i="1"/>
  <c r="H13" i="1"/>
  <c r="E37" i="7"/>
  <c r="C5" i="8"/>
  <c r="B2" i="2"/>
  <c r="F10" i="15"/>
  <c r="G15" i="2"/>
  <c r="H49" i="1"/>
  <c r="G25" i="2"/>
  <c r="H62" i="1" s="1"/>
  <c r="H63" i="1"/>
  <c r="J69" i="9" a="1"/>
  <c r="J69" i="9" s="1"/>
  <c r="I69" i="9" a="1"/>
  <c r="I69" i="9" s="1"/>
  <c r="X25" i="9" a="1"/>
  <c r="X25" i="9" s="1"/>
  <c r="V25" i="9" a="1"/>
  <c r="V25" i="9" s="1"/>
  <c r="G69" i="9" a="1"/>
  <c r="G69" i="9" s="1"/>
  <c r="H69" i="9" a="1"/>
  <c r="H69" i="9" s="1"/>
  <c r="H29" i="1"/>
  <c r="H18" i="1"/>
  <c r="H16" i="1"/>
  <c r="H32" i="1"/>
  <c r="H11" i="1"/>
  <c r="H25" i="1"/>
  <c r="H26" i="1"/>
  <c r="H10" i="1"/>
  <c r="G29" i="2"/>
  <c r="H4" i="1"/>
  <c r="H15" i="1"/>
  <c r="H31" i="1"/>
  <c r="G10" i="2"/>
  <c r="H42" i="1" s="1"/>
  <c r="H44" i="1"/>
  <c r="G6" i="2"/>
  <c r="H37" i="1" s="1"/>
  <c r="H7" i="1"/>
  <c r="H24" i="1"/>
  <c r="H17" i="1"/>
  <c r="H3" i="1"/>
  <c r="H21" i="1"/>
  <c r="H30" i="1"/>
  <c r="G9" i="2"/>
  <c r="H41" i="1" s="1"/>
  <c r="H14" i="1"/>
  <c r="H23" i="1"/>
  <c r="G30" i="2"/>
  <c r="H72" i="1" s="1"/>
  <c r="G28" i="2"/>
  <c r="H67" i="1" s="1"/>
  <c r="G5" i="2"/>
  <c r="H34" i="1" s="1"/>
  <c r="H35" i="1"/>
  <c r="H14" i="2"/>
  <c r="I14" i="2"/>
  <c r="D14" i="2" s="1"/>
  <c r="G11" i="2"/>
  <c r="H43" i="1"/>
  <c r="H31" i="2"/>
  <c r="I31" i="2"/>
  <c r="D31" i="2" s="1"/>
  <c r="H28" i="2"/>
  <c r="I28" i="2"/>
  <c r="D28" i="2" s="1"/>
  <c r="H24" i="2"/>
  <c r="I24" i="2" s="1"/>
  <c r="D24" i="2" s="1"/>
  <c r="H17" i="2"/>
  <c r="I17" i="2" s="1"/>
  <c r="D17" i="2" s="1"/>
  <c r="T25" i="9" a="1"/>
  <c r="T25" i="9" s="1"/>
  <c r="AA25" i="9"/>
  <c r="B22" i="20" s="1"/>
  <c r="A22" i="20"/>
  <c r="L69" i="9"/>
  <c r="S25" i="9" a="1"/>
  <c r="S25" i="9" s="1"/>
  <c r="R25" i="9" a="1"/>
  <c r="R25" i="9" s="1"/>
  <c r="U25" i="9" a="1"/>
  <c r="U25" i="9" s="1"/>
  <c r="W25" i="9" a="1"/>
  <c r="W25" i="9" s="1"/>
  <c r="L57" i="9"/>
  <c r="H70" i="1"/>
  <c r="H74" i="1"/>
  <c r="H71" i="1"/>
  <c r="C2" i="2"/>
  <c r="H63" i="9" l="1" a="1"/>
  <c r="H63" i="9" s="1"/>
  <c r="X14" i="9" a="1"/>
  <c r="X14" i="9" s="1"/>
  <c r="H39" i="1"/>
  <c r="H40" i="1"/>
  <c r="H75" i="1"/>
  <c r="H73" i="1"/>
  <c r="H56" i="1"/>
  <c r="H54" i="1"/>
  <c r="H64" i="1"/>
  <c r="H69" i="1"/>
  <c r="H53" i="1"/>
  <c r="H57" i="1"/>
  <c r="H45" i="1"/>
  <c r="H46" i="1"/>
  <c r="H55" i="1"/>
  <c r="H52" i="1"/>
  <c r="H65" i="1"/>
  <c r="H68" i="1"/>
  <c r="G23" i="2"/>
  <c r="H60" i="1" s="1"/>
  <c r="H66" i="1"/>
  <c r="H21" i="2"/>
  <c r="I21" i="2" s="1"/>
  <c r="D21" i="2" s="1"/>
  <c r="H77" i="1"/>
  <c r="G22" i="2"/>
  <c r="H59" i="1" s="1"/>
  <c r="H7" i="2"/>
  <c r="I7" i="2" s="1"/>
  <c r="D7" i="2" s="1"/>
  <c r="H13" i="2"/>
  <c r="I13" i="2" s="1"/>
  <c r="D13" i="2" s="1"/>
  <c r="H36" i="1"/>
  <c r="A11" i="20"/>
  <c r="S21" i="9" a="1"/>
  <c r="S21" i="9" s="1"/>
  <c r="U23" i="9" a="1"/>
  <c r="U23" i="9" s="1"/>
  <c r="J52" i="9" a="1"/>
  <c r="J52" i="9" s="1"/>
  <c r="L58" i="9"/>
  <c r="W24" i="9" a="1"/>
  <c r="W24" i="9" s="1"/>
  <c r="X18" i="9" a="1"/>
  <c r="X18" i="9" s="1"/>
  <c r="B12" i="9"/>
  <c r="E12" i="9" s="1"/>
  <c r="L53" i="9"/>
  <c r="B9" i="9"/>
  <c r="E9" i="9" s="1"/>
  <c r="U21" i="9" a="1"/>
  <c r="U21" i="9" s="1"/>
  <c r="T22" i="9" a="1"/>
  <c r="T22" i="9" s="1"/>
  <c r="X23" i="9" a="1"/>
  <c r="X23" i="9" s="1"/>
  <c r="T21" i="9" a="1"/>
  <c r="T21" i="9" s="1"/>
  <c r="I50" i="9" a="1"/>
  <c r="I50" i="9" s="1"/>
  <c r="H51" i="9" a="1"/>
  <c r="H51" i="9" s="1"/>
  <c r="I51" i="9" a="1"/>
  <c r="I51" i="9" s="1"/>
  <c r="H61" i="9" a="1"/>
  <c r="H61" i="9" s="1"/>
  <c r="S24" i="9" a="1"/>
  <c r="S24" i="9" s="1"/>
  <c r="X16" i="9" a="1"/>
  <c r="X16" i="9" s="1"/>
  <c r="X17" i="9" a="1"/>
  <c r="X17" i="9" s="1"/>
  <c r="S23" i="9" a="1"/>
  <c r="S23" i="9" s="1"/>
  <c r="B8" i="9"/>
  <c r="E8" i="9" s="1"/>
  <c r="H52" i="9" a="1"/>
  <c r="H52" i="9" s="1"/>
  <c r="J57" i="9" a="1"/>
  <c r="J57" i="9" s="1"/>
  <c r="B5" i="9"/>
  <c r="C5" i="9" s="1"/>
  <c r="L61" i="9"/>
  <c r="H54" i="9" a="1"/>
  <c r="H54" i="9" s="1"/>
  <c r="J53" i="9" a="1"/>
  <c r="J53" i="9" s="1"/>
  <c r="U22" i="9" a="1"/>
  <c r="U22" i="9" s="1"/>
  <c r="D14" i="19" s="1" a="1"/>
  <c r="D14" i="19" s="1"/>
  <c r="B15" i="9"/>
  <c r="E15" i="9" s="1"/>
  <c r="A7" i="21"/>
  <c r="J59" i="9" a="1"/>
  <c r="J59" i="9" s="1"/>
  <c r="T24" i="9" a="1"/>
  <c r="T24" i="9" s="1"/>
  <c r="L56" i="9"/>
  <c r="H56" i="9" a="1"/>
  <c r="H56" i="9" s="1"/>
  <c r="I67" i="9" a="1"/>
  <c r="I67" i="9" s="1"/>
  <c r="U24" i="9" a="1"/>
  <c r="U24" i="9" s="1"/>
  <c r="G68" i="9" a="1"/>
  <c r="G68" i="9" s="1"/>
  <c r="G55" i="9" a="1"/>
  <c r="G55" i="9" s="1"/>
  <c r="I66" i="9" a="1"/>
  <c r="I66" i="9" s="1"/>
  <c r="R24" i="9" a="1"/>
  <c r="R24" i="9" s="1"/>
  <c r="H60" i="9" a="1"/>
  <c r="H60" i="9" s="1"/>
  <c r="A3" i="21"/>
  <c r="L68" i="9"/>
  <c r="B7" i="9"/>
  <c r="E7" i="9" s="1" a="1"/>
  <c r="E7" i="9" s="1"/>
  <c r="G52" i="9" a="1"/>
  <c r="G52" i="9" s="1"/>
  <c r="J64" i="9" a="1"/>
  <c r="J64" i="9" s="1"/>
  <c r="Z28" i="9"/>
  <c r="AB28" i="9" s="1"/>
  <c r="C25" i="20" s="1"/>
  <c r="Z34" i="9"/>
  <c r="A18" i="21"/>
  <c r="A21" i="20"/>
  <c r="A11" i="21"/>
  <c r="B11" i="21" s="1"/>
  <c r="A6" i="20"/>
  <c r="C15" i="9"/>
  <c r="A18" i="20"/>
  <c r="A8" i="20"/>
  <c r="H68" i="9" a="1"/>
  <c r="H68" i="9" s="1"/>
  <c r="H64" i="9" a="1"/>
  <c r="H64" i="9" s="1"/>
  <c r="H62" i="9" a="1"/>
  <c r="H62" i="9" s="1"/>
  <c r="J55" i="9" a="1"/>
  <c r="J55" i="9" s="1"/>
  <c r="I68" i="9" a="1"/>
  <c r="I68" i="9" s="1"/>
  <c r="A6" i="21"/>
  <c r="A13" i="20"/>
  <c r="A15" i="20"/>
  <c r="A12" i="21"/>
  <c r="A4" i="20"/>
  <c r="A7" i="20"/>
  <c r="AA22" i="9"/>
  <c r="B19" i="20" s="1"/>
  <c r="A8" i="21"/>
  <c r="A5" i="20"/>
  <c r="B4" i="9"/>
  <c r="AA23" i="9"/>
  <c r="B20" i="20" s="1"/>
  <c r="A15" i="21"/>
  <c r="R22" i="9" a="1"/>
  <c r="R22" i="9" s="1"/>
  <c r="H57" i="9" a="1"/>
  <c r="H57" i="9" s="1"/>
  <c r="G58" i="9" a="1"/>
  <c r="G58" i="9" s="1"/>
  <c r="I62" i="9" a="1"/>
  <c r="I62" i="9" s="1"/>
  <c r="X24" i="9" a="1"/>
  <c r="X24" i="9" s="1"/>
  <c r="S22" i="9" a="1"/>
  <c r="S22" i="9" s="1"/>
  <c r="A4" i="21"/>
  <c r="L67" i="9"/>
  <c r="AA21" i="9"/>
  <c r="B18" i="20" s="1"/>
  <c r="L51" i="9"/>
  <c r="B6" i="9"/>
  <c r="E6" i="9" s="1"/>
  <c r="A17" i="20"/>
  <c r="B3" i="9"/>
  <c r="C3" i="9" s="1"/>
  <c r="A9" i="20"/>
  <c r="A10" i="21"/>
  <c r="B10" i="21" s="1"/>
  <c r="L65" i="9"/>
  <c r="G53" i="9" a="1"/>
  <c r="G53" i="9" s="1"/>
  <c r="X20" i="9" a="1"/>
  <c r="X20" i="9" s="1"/>
  <c r="J51" i="9" a="1"/>
  <c r="J51" i="9" s="1"/>
  <c r="V24" i="9" a="1"/>
  <c r="V24" i="9" s="1"/>
  <c r="Z35" i="9"/>
  <c r="AB35" i="9" s="1"/>
  <c r="Z31" i="9"/>
  <c r="AB31" i="9" s="1"/>
  <c r="C28" i="20" s="1"/>
  <c r="AA24" i="9"/>
  <c r="B21" i="20" s="1"/>
  <c r="A16" i="20"/>
  <c r="A12" i="20"/>
  <c r="A10" i="20"/>
  <c r="A5" i="21"/>
  <c r="A16" i="21"/>
  <c r="A17" i="21"/>
  <c r="J66" i="9" a="1"/>
  <c r="J66" i="9" s="1"/>
  <c r="Z26" i="9"/>
  <c r="AB26" i="9" s="1"/>
  <c r="C23" i="20" s="1"/>
  <c r="C7" i="9"/>
  <c r="G64" i="9" a="1"/>
  <c r="G64" i="9" s="1"/>
  <c r="G62" i="9" a="1"/>
  <c r="G62" i="9" s="1"/>
  <c r="J67" i="9" a="1"/>
  <c r="J67" i="9" s="1"/>
  <c r="I52" i="9" a="1"/>
  <c r="I52" i="9" s="1"/>
  <c r="J68" i="9" a="1"/>
  <c r="J68" i="9" s="1"/>
  <c r="Z29" i="9"/>
  <c r="C12" i="9"/>
  <c r="Z25" i="9"/>
  <c r="AB25" i="9" s="1"/>
  <c r="C22" i="20" s="1"/>
  <c r="Z32" i="9"/>
  <c r="AB32" i="9" s="1"/>
  <c r="L55" i="9"/>
  <c r="L62" i="9"/>
  <c r="H53" i="9" a="1"/>
  <c r="H53" i="9" s="1"/>
  <c r="X8" i="9" a="1"/>
  <c r="X8" i="9" s="1"/>
  <c r="J60" i="9" a="1"/>
  <c r="J60" i="9" s="1"/>
  <c r="J56" i="9" a="1"/>
  <c r="J56" i="9" s="1"/>
  <c r="G65" i="9" a="1"/>
  <c r="G65" i="9" s="1"/>
  <c r="X15" i="9" a="1"/>
  <c r="X15" i="9" s="1"/>
  <c r="J61" i="9" a="1"/>
  <c r="J61" i="9" s="1"/>
  <c r="A3" i="20"/>
  <c r="A13" i="21"/>
  <c r="B13" i="21" s="1"/>
  <c r="A20" i="20"/>
  <c r="A14" i="21"/>
  <c r="B14" i="21" s="1"/>
  <c r="Q5" i="9"/>
  <c r="E18" i="19" s="1" a="1"/>
  <c r="E18" i="19" s="1"/>
  <c r="J58" i="9" a="1"/>
  <c r="J58" i="9" s="1"/>
  <c r="J65" i="9" a="1"/>
  <c r="J65" i="9" s="1"/>
  <c r="I55" i="9" a="1"/>
  <c r="I55" i="9" s="1"/>
  <c r="X19" i="9" a="1"/>
  <c r="X19" i="9" s="1"/>
  <c r="X7" i="9" a="1"/>
  <c r="X7" i="9" s="1"/>
  <c r="H55" i="9" a="1"/>
  <c r="H55" i="9" s="1"/>
  <c r="G50" i="9" a="1"/>
  <c r="G50" i="9" s="1"/>
  <c r="B18" i="9"/>
  <c r="B11" i="9"/>
  <c r="L50" i="9"/>
  <c r="L60" i="9"/>
  <c r="I64" i="9" a="1"/>
  <c r="I64" i="9" s="1"/>
  <c r="J63" i="9" a="1"/>
  <c r="J63" i="9" s="1"/>
  <c r="J54" i="9" a="1"/>
  <c r="J54" i="9" s="1"/>
  <c r="X12" i="9" a="1"/>
  <c r="X12" i="9" s="1"/>
  <c r="X13" i="9" a="1"/>
  <c r="X13" i="9" s="1"/>
  <c r="G57" i="9" a="1"/>
  <c r="G57" i="9" s="1"/>
  <c r="H58" i="9" a="1"/>
  <c r="H58" i="9" s="1"/>
  <c r="L52" i="9"/>
  <c r="I59" i="9" a="1"/>
  <c r="I59" i="9" s="1"/>
  <c r="J62" i="9" a="1"/>
  <c r="J62" i="9" s="1"/>
  <c r="I61" i="9" a="1"/>
  <c r="I61" i="9" s="1"/>
  <c r="X11" i="9" a="1"/>
  <c r="X11" i="9" s="1"/>
  <c r="X6" i="9" a="1"/>
  <c r="X6" i="9" s="1"/>
  <c r="G67" i="9" a="1"/>
  <c r="G67" i="9" s="1"/>
  <c r="G63" i="9" a="1"/>
  <c r="G63" i="9" s="1"/>
  <c r="B17" i="9"/>
  <c r="B16" i="9"/>
  <c r="R23" i="9" a="1"/>
  <c r="R23" i="9" s="1"/>
  <c r="E5" i="9"/>
  <c r="R21" i="9" a="1"/>
  <c r="R21" i="9" s="1"/>
  <c r="L63" i="9"/>
  <c r="V21" i="9" a="1"/>
  <c r="V21" i="9" s="1"/>
  <c r="G56" i="9" a="1"/>
  <c r="G56" i="9" s="1"/>
  <c r="X9" i="9" a="1"/>
  <c r="X9" i="9" s="1"/>
  <c r="I53" i="9" a="1"/>
  <c r="I53" i="9" s="1"/>
  <c r="I56" i="9" a="1"/>
  <c r="I56" i="9" s="1"/>
  <c r="J50" i="9" a="1"/>
  <c r="J50" i="9" s="1"/>
  <c r="Z33" i="9"/>
  <c r="AB33" i="9" s="1"/>
  <c r="G54" i="9" a="1"/>
  <c r="G54" i="9" s="1"/>
  <c r="A19" i="20"/>
  <c r="T23" i="9" a="1"/>
  <c r="T23" i="9" s="1"/>
  <c r="B10" i="9"/>
  <c r="A14" i="20"/>
  <c r="L59" i="9"/>
  <c r="V23" i="9" a="1"/>
  <c r="V23" i="9" s="1"/>
  <c r="H59" i="9" a="1"/>
  <c r="H59" i="9" s="1"/>
  <c r="G61" i="9" a="1"/>
  <c r="G61" i="9" s="1"/>
  <c r="X22" i="9" a="1"/>
  <c r="X22" i="9" s="1"/>
  <c r="I60" i="9" a="1"/>
  <c r="I60" i="9" s="1"/>
  <c r="I63" i="9" a="1"/>
  <c r="I63" i="9" s="1"/>
  <c r="I57" i="9" a="1"/>
  <c r="I57" i="9" s="1"/>
  <c r="Z27" i="9"/>
  <c r="AB27" i="9" s="1"/>
  <c r="C24" i="20" s="1"/>
  <c r="B49" i="9"/>
  <c r="C49" i="9" s="1" a="1"/>
  <c r="C49" i="9" s="1"/>
  <c r="E3" i="9"/>
  <c r="L54" i="9"/>
  <c r="B14" i="9"/>
  <c r="L66" i="9"/>
  <c r="B13" i="9"/>
  <c r="Z30" i="9"/>
  <c r="AB30" i="9" s="1"/>
  <c r="C27" i="20" s="1"/>
  <c r="C84" i="9"/>
  <c r="R5" i="9" s="1" a="1"/>
  <c r="R5" i="9" s="1"/>
  <c r="D8" i="19" s="1" a="1"/>
  <c r="D8" i="19" s="1"/>
  <c r="I27" i="1"/>
  <c r="J27" i="1" s="1" a="1"/>
  <c r="J27" i="1" s="1"/>
  <c r="C90" i="9"/>
  <c r="R11" i="9" s="1" a="1"/>
  <c r="R11" i="9" s="1"/>
  <c r="B3" i="21"/>
  <c r="L96" i="9"/>
  <c r="AA17" i="9" s="1"/>
  <c r="B14" i="20" s="1"/>
  <c r="I11" i="1"/>
  <c r="J11" i="1" s="1" a="1"/>
  <c r="J11" i="1" s="1"/>
  <c r="L91" i="9"/>
  <c r="AA12" i="9" s="1"/>
  <c r="B9" i="20" s="1"/>
  <c r="C94" i="9"/>
  <c r="R15" i="9" s="1" a="1"/>
  <c r="R15" i="9" s="1"/>
  <c r="H89" i="9"/>
  <c r="W10" i="9" s="1" a="1"/>
  <c r="W10" i="9" s="1"/>
  <c r="L89" i="9"/>
  <c r="AA10" i="9" s="1"/>
  <c r="B7" i="20" s="1"/>
  <c r="H93" i="9"/>
  <c r="W14" i="9" s="1" a="1"/>
  <c r="W14" i="9" s="1"/>
  <c r="I12" i="1"/>
  <c r="J12" i="1" s="1" a="1"/>
  <c r="J12" i="1" s="1"/>
  <c r="D88" i="9"/>
  <c r="S9" i="9" s="1" a="1"/>
  <c r="S9" i="9" s="1"/>
  <c r="H88" i="9"/>
  <c r="W9" i="9" s="1" a="1"/>
  <c r="W9" i="9" s="1"/>
  <c r="E85" i="9"/>
  <c r="T6" i="9" s="1" a="1"/>
  <c r="T6" i="9" s="1"/>
  <c r="I23" i="1"/>
  <c r="J23" i="1" s="1" a="1"/>
  <c r="J23" i="1" s="1"/>
  <c r="E87" i="9"/>
  <c r="T8" i="9" s="1" a="1"/>
  <c r="T8" i="9" s="1"/>
  <c r="F90" i="9"/>
  <c r="U11" i="9" s="1" a="1"/>
  <c r="U11" i="9" s="1"/>
  <c r="B18" i="21"/>
  <c r="D87" i="9"/>
  <c r="S8" i="9" s="1" a="1"/>
  <c r="S8" i="9" s="1"/>
  <c r="H94" i="9"/>
  <c r="W15" i="9" s="1" a="1"/>
  <c r="W15" i="9" s="1"/>
  <c r="F91" i="9"/>
  <c r="U12" i="9" s="1" a="1"/>
  <c r="U12" i="9" s="1"/>
  <c r="D90" i="9"/>
  <c r="S11" i="9" s="1" a="1"/>
  <c r="S11" i="9" s="1"/>
  <c r="G92" i="9"/>
  <c r="V13" i="9" s="1" a="1"/>
  <c r="V13" i="9" s="1"/>
  <c r="C93" i="9"/>
  <c r="R14" i="9" s="1" a="1"/>
  <c r="R14" i="9" s="1"/>
  <c r="D91" i="9"/>
  <c r="S12" i="9" s="1" a="1"/>
  <c r="S12" i="9" s="1"/>
  <c r="I4" i="1"/>
  <c r="J4" i="1" s="1" a="1"/>
  <c r="J4" i="1" s="1"/>
  <c r="H87" i="9"/>
  <c r="W8" i="9" s="1" a="1"/>
  <c r="W8" i="9" s="1"/>
  <c r="I21" i="1"/>
  <c r="J21" i="1" s="1" a="1"/>
  <c r="J21" i="1" s="1"/>
  <c r="D94" i="9"/>
  <c r="S15" i="9" s="1" a="1"/>
  <c r="S15" i="9" s="1"/>
  <c r="I20" i="1"/>
  <c r="J20" i="1" s="1" a="1"/>
  <c r="J20" i="1" s="1"/>
  <c r="I22" i="1"/>
  <c r="J22" i="1" s="1" a="1"/>
  <c r="J22" i="1" s="1"/>
  <c r="C88" i="9"/>
  <c r="R9" i="9" s="1" a="1"/>
  <c r="R9" i="9" s="1"/>
  <c r="C92" i="9"/>
  <c r="R13" i="9" s="1" a="1"/>
  <c r="R13" i="9" s="1"/>
  <c r="F92" i="9"/>
  <c r="U13" i="9" s="1" a="1"/>
  <c r="U13" i="9" s="1"/>
  <c r="H90" i="9"/>
  <c r="W11" i="9" s="1" a="1"/>
  <c r="W11" i="9" s="1"/>
  <c r="L93" i="9"/>
  <c r="AA14" i="9" s="1"/>
  <c r="B11" i="20" s="1"/>
  <c r="L94" i="9"/>
  <c r="AA15" i="9" s="1"/>
  <c r="B12" i="20" s="1"/>
  <c r="L95" i="9"/>
  <c r="L87" i="9"/>
  <c r="AA8" i="9" s="1"/>
  <c r="B5" i="20" s="1"/>
  <c r="I2" i="1"/>
  <c r="G87" i="9"/>
  <c r="V8" i="9" s="1" a="1"/>
  <c r="V8" i="9" s="1"/>
  <c r="E89" i="9"/>
  <c r="T10" i="9" s="1" a="1"/>
  <c r="T10" i="9" s="1"/>
  <c r="I7" i="1"/>
  <c r="J7" i="1" s="1" a="1"/>
  <c r="J7" i="1" s="1"/>
  <c r="E92" i="9"/>
  <c r="T13" i="9" s="1" a="1"/>
  <c r="T13" i="9" s="1"/>
  <c r="I10" i="1"/>
  <c r="J10" i="1" s="1" a="1"/>
  <c r="J10" i="1" s="1"/>
  <c r="I3" i="1"/>
  <c r="J3" i="1" s="1" a="1"/>
  <c r="J3" i="1" s="1"/>
  <c r="I19" i="1"/>
  <c r="J19" i="1" s="1" a="1"/>
  <c r="J19" i="1" s="1"/>
  <c r="F85" i="9"/>
  <c r="U6" i="9" s="1" a="1"/>
  <c r="U6" i="9" s="1"/>
  <c r="I24" i="1"/>
  <c r="J24" i="1" s="1" a="1"/>
  <c r="J24" i="1" s="1"/>
  <c r="L98" i="9"/>
  <c r="AA19" i="9" s="1"/>
  <c r="B16" i="20" s="1"/>
  <c r="L88" i="9"/>
  <c r="AA9" i="9" s="1"/>
  <c r="B6" i="20" s="1"/>
  <c r="I28" i="1"/>
  <c r="J28" i="1" s="1" a="1"/>
  <c r="J28" i="1" s="1"/>
  <c r="F94" i="9"/>
  <c r="U15" i="9" s="1" a="1"/>
  <c r="U15" i="9" s="1"/>
  <c r="C89" i="9"/>
  <c r="R10" i="9" s="1" a="1"/>
  <c r="R10" i="9" s="1"/>
  <c r="I8" i="1"/>
  <c r="J8" i="1" s="1" a="1"/>
  <c r="J8" i="1" s="1"/>
  <c r="E90" i="9"/>
  <c r="T11" i="9" s="1" a="1"/>
  <c r="T11" i="9" s="1"/>
  <c r="G85" i="9"/>
  <c r="V6" i="9" s="1" a="1"/>
  <c r="V6" i="9" s="1"/>
  <c r="L92" i="9"/>
  <c r="AA13" i="9" s="1"/>
  <c r="B10" i="20" s="1"/>
  <c r="L85" i="9"/>
  <c r="AA6" i="9" s="1"/>
  <c r="B3" i="20" s="1"/>
  <c r="G89" i="9"/>
  <c r="V10" i="9" s="1" a="1"/>
  <c r="V10" i="9" s="1"/>
  <c r="E93" i="9"/>
  <c r="T14" i="9" s="1" a="1"/>
  <c r="T14" i="9" s="1"/>
  <c r="L99" i="9"/>
  <c r="AA20" i="9" s="1"/>
  <c r="B17" i="20" s="1"/>
  <c r="E94" i="9"/>
  <c r="T15" i="9" s="1" a="1"/>
  <c r="T15" i="9" s="1"/>
  <c r="J35" i="14"/>
  <c r="C12" i="8" s="1"/>
  <c r="H33" i="6"/>
  <c r="G10" i="15"/>
  <c r="D35" i="14"/>
  <c r="C10" i="8" s="1"/>
  <c r="D35" i="18"/>
  <c r="C11" i="8" s="1"/>
  <c r="E35" i="18"/>
  <c r="I36" i="12"/>
  <c r="C37" i="12"/>
  <c r="I33" i="6"/>
  <c r="L42" i="6" s="1"/>
  <c r="H8" i="7"/>
  <c r="C16" i="10"/>
  <c r="H9" i="15"/>
  <c r="H10" i="15" s="1"/>
  <c r="AB34" i="9"/>
  <c r="AB29" i="9"/>
  <c r="C26" i="20" s="1"/>
  <c r="W22" i="9" a="1"/>
  <c r="W22" i="9" s="1"/>
  <c r="H66" i="9" a="1"/>
  <c r="H66" i="9" s="1"/>
  <c r="G66" i="9" a="1"/>
  <c r="G66" i="9" s="1"/>
  <c r="V22" i="9" a="1"/>
  <c r="V22" i="9" s="1"/>
  <c r="K69" i="9"/>
  <c r="M69" i="9" s="1"/>
  <c r="G51" i="9" a="1"/>
  <c r="G51" i="9" s="1"/>
  <c r="I65" i="9" a="1"/>
  <c r="I65" i="9" s="1"/>
  <c r="X21" i="9" a="1"/>
  <c r="X21" i="9" s="1"/>
  <c r="W21" i="9" a="1"/>
  <c r="W21" i="9" s="1"/>
  <c r="H65" i="9" a="1"/>
  <c r="H65" i="9" s="1"/>
  <c r="I54" i="9" a="1"/>
  <c r="I54" i="9" s="1"/>
  <c r="X10" i="9" a="1"/>
  <c r="X10" i="9" s="1"/>
  <c r="G60" i="9" a="1"/>
  <c r="G60" i="9" s="1"/>
  <c r="H50" i="9" a="1"/>
  <c r="H50" i="9" s="1"/>
  <c r="K80" i="1"/>
  <c r="H67" i="9" a="1"/>
  <c r="H67" i="9" s="1"/>
  <c r="W23" i="9" a="1"/>
  <c r="W23" i="9" s="1"/>
  <c r="G59" i="9" a="1"/>
  <c r="G59" i="9" s="1"/>
  <c r="C12" i="19" a="1"/>
  <c r="C12" i="19" s="1"/>
  <c r="D2" i="2"/>
  <c r="E84" i="9" l="1"/>
  <c r="T5" i="9" s="1" a="1"/>
  <c r="T5" i="9" s="1"/>
  <c r="Z24" i="9"/>
  <c r="C8" i="9"/>
  <c r="C9" i="9"/>
  <c r="K52" i="9"/>
  <c r="M52" i="9" s="1"/>
  <c r="K64" i="9"/>
  <c r="M64" i="9" s="1"/>
  <c r="K56" i="9"/>
  <c r="M56" i="9" s="1"/>
  <c r="K62" i="9"/>
  <c r="M62" i="9" s="1"/>
  <c r="E4" i="9"/>
  <c r="C4" i="9"/>
  <c r="K53" i="9"/>
  <c r="M53" i="9" s="1"/>
  <c r="AB24" i="9"/>
  <c r="C21" i="20" s="1"/>
  <c r="K51" i="9"/>
  <c r="M51" i="9" s="1"/>
  <c r="K87" i="9"/>
  <c r="M87" i="9" s="1"/>
  <c r="Z23" i="9"/>
  <c r="AB23" i="9" s="1"/>
  <c r="C20" i="20" s="1"/>
  <c r="K67" i="9"/>
  <c r="M67" i="9" s="1"/>
  <c r="C6" i="9"/>
  <c r="K66" i="9"/>
  <c r="M66" i="9" s="1"/>
  <c r="K57" i="9"/>
  <c r="M57" i="9" s="1"/>
  <c r="K58" i="9"/>
  <c r="M58" i="9" s="1"/>
  <c r="K55" i="9"/>
  <c r="M55" i="9" s="1"/>
  <c r="K68" i="9"/>
  <c r="M68" i="9" s="1"/>
  <c r="H49" i="9" a="1"/>
  <c r="H49" i="9" s="1"/>
  <c r="D84" i="9"/>
  <c r="S5" i="9" s="1" a="1"/>
  <c r="S5" i="9" s="1"/>
  <c r="D10" i="19" s="1" a="1"/>
  <c r="D10" i="19" s="1"/>
  <c r="Z21" i="9"/>
  <c r="AB21" i="9" s="1"/>
  <c r="C18" i="20" s="1"/>
  <c r="K61" i="9"/>
  <c r="M61" i="9" s="1"/>
  <c r="K63" i="9"/>
  <c r="M63" i="9" s="1"/>
  <c r="G49" i="9" a="1"/>
  <c r="G49" i="9" s="1"/>
  <c r="E16" i="9"/>
  <c r="C16" i="9"/>
  <c r="C17" i="9"/>
  <c r="E17" i="9"/>
  <c r="D12" i="19" a="1"/>
  <c r="D12" i="19" s="1"/>
  <c r="E12" i="19" s="1"/>
  <c r="A2" i="21"/>
  <c r="B2" i="21" s="1"/>
  <c r="A2" i="20"/>
  <c r="K54" i="9"/>
  <c r="M54" i="9" s="1"/>
  <c r="F84" i="9"/>
  <c r="U5" i="9" s="1" a="1"/>
  <c r="U5" i="9" s="1"/>
  <c r="E14" i="9"/>
  <c r="C14" i="9"/>
  <c r="K50" i="9"/>
  <c r="M50" i="9" s="1"/>
  <c r="K60" i="9"/>
  <c r="M60" i="9" s="1"/>
  <c r="E13" i="9"/>
  <c r="C13" i="9"/>
  <c r="K59" i="9"/>
  <c r="M59" i="9" s="1"/>
  <c r="K65" i="9"/>
  <c r="M65" i="9" s="1"/>
  <c r="C10" i="9"/>
  <c r="E10" i="9"/>
  <c r="E11" i="9"/>
  <c r="C11" i="9"/>
  <c r="D49" i="9" a="1"/>
  <c r="D49" i="9" s="1"/>
  <c r="E49" i="9" a="1"/>
  <c r="E49" i="9" s="1"/>
  <c r="J49" i="9" a="1"/>
  <c r="J49" i="9" s="1"/>
  <c r="B2" i="9"/>
  <c r="X5" i="9" a="1"/>
  <c r="X5" i="9" s="1"/>
  <c r="C14" i="19" a="1"/>
  <c r="C14" i="19" s="1"/>
  <c r="E14" i="19" s="1"/>
  <c r="L49" i="9"/>
  <c r="I49" i="9" a="1"/>
  <c r="I49" i="9" s="1"/>
  <c r="F49" i="9" a="1"/>
  <c r="F49" i="9" s="1"/>
  <c r="E18" i="9"/>
  <c r="C18" i="9"/>
  <c r="L90" i="9"/>
  <c r="AA11" i="9" s="1"/>
  <c r="B8" i="20" s="1"/>
  <c r="B8" i="21"/>
  <c r="L84" i="9"/>
  <c r="AA5" i="9" s="1"/>
  <c r="B2" i="20" s="1"/>
  <c r="G84" i="9"/>
  <c r="Z10" i="9"/>
  <c r="AB10" i="9" s="1"/>
  <c r="C7" i="20" s="1"/>
  <c r="E88" i="9"/>
  <c r="T9" i="9" s="1" a="1"/>
  <c r="T9" i="9" s="1"/>
  <c r="C85" i="9"/>
  <c r="R6" i="9" s="1" a="1"/>
  <c r="R6" i="9" s="1"/>
  <c r="Z22" i="9"/>
  <c r="AB22" i="9" s="1"/>
  <c r="C19" i="20" s="1"/>
  <c r="L86" i="9"/>
  <c r="AA7" i="9" s="1"/>
  <c r="B4" i="20" s="1"/>
  <c r="B15" i="21"/>
  <c r="K89" i="9"/>
  <c r="M89" i="9" s="1"/>
  <c r="I5" i="1"/>
  <c r="J5" i="1" s="1" a="1"/>
  <c r="J5" i="1" s="1"/>
  <c r="B17" i="21"/>
  <c r="G86" i="9"/>
  <c r="B6" i="21"/>
  <c r="C86" i="9"/>
  <c r="R7" i="9" s="1" a="1"/>
  <c r="R7" i="9" s="1"/>
  <c r="L97" i="9"/>
  <c r="AA18" i="9" s="1"/>
  <c r="B15" i="20" s="1"/>
  <c r="B9" i="21"/>
  <c r="B4" i="21"/>
  <c r="H92" i="9"/>
  <c r="W13" i="9" s="1" a="1"/>
  <c r="W13" i="9" s="1"/>
  <c r="Z13" i="9" s="1"/>
  <c r="AB13" i="9" s="1"/>
  <c r="C10" i="20" s="1"/>
  <c r="B12" i="21"/>
  <c r="D85" i="9"/>
  <c r="S6" i="9" s="1" a="1"/>
  <c r="S6" i="9" s="1"/>
  <c r="B7" i="21"/>
  <c r="B16" i="21"/>
  <c r="I14" i="1"/>
  <c r="J14" i="1" s="1" a="1"/>
  <c r="J14" i="1" s="1"/>
  <c r="F97" i="9"/>
  <c r="U18" i="9" s="1" a="1"/>
  <c r="U18" i="9" s="1"/>
  <c r="F99" i="9"/>
  <c r="U20" i="9" s="1" a="1"/>
  <c r="U20" i="9" s="1"/>
  <c r="I32" i="1"/>
  <c r="J32" i="1" s="1" a="1"/>
  <c r="J32" i="1" s="1"/>
  <c r="F88" i="9"/>
  <c r="U9" i="9" s="1" a="1"/>
  <c r="U9" i="9" s="1"/>
  <c r="F86" i="9"/>
  <c r="U7" i="9" s="1" a="1"/>
  <c r="U7" i="9" s="1"/>
  <c r="F93" i="9"/>
  <c r="U14" i="9" s="1" a="1"/>
  <c r="U14" i="9" s="1"/>
  <c r="I13" i="1"/>
  <c r="J13" i="1" s="1" a="1"/>
  <c r="J13" i="1" s="1"/>
  <c r="D96" i="9"/>
  <c r="S17" i="9" s="1" a="1"/>
  <c r="S17" i="9" s="1"/>
  <c r="G99" i="9"/>
  <c r="F98" i="9"/>
  <c r="U19" i="9" s="1" a="1"/>
  <c r="U19" i="9" s="1"/>
  <c r="D92" i="9"/>
  <c r="S13" i="9" s="1" a="1"/>
  <c r="S13" i="9" s="1"/>
  <c r="I17" i="1"/>
  <c r="J17" i="1" s="1" a="1"/>
  <c r="J17" i="1" s="1"/>
  <c r="G98" i="9"/>
  <c r="F87" i="9"/>
  <c r="U8" i="9" s="1" a="1"/>
  <c r="U8" i="9" s="1"/>
  <c r="E99" i="9"/>
  <c r="T20" i="9" s="1" a="1"/>
  <c r="T20" i="9" s="1"/>
  <c r="C98" i="9"/>
  <c r="R19" i="9" s="1" a="1"/>
  <c r="R19" i="9" s="1"/>
  <c r="C97" i="9"/>
  <c r="R18" i="9" s="1" a="1"/>
  <c r="R18" i="9" s="1"/>
  <c r="I6" i="1"/>
  <c r="I16" i="1"/>
  <c r="J16" i="1" s="1" a="1"/>
  <c r="J16" i="1" s="1"/>
  <c r="E96" i="9"/>
  <c r="T17" i="9" s="1" a="1"/>
  <c r="T17" i="9" s="1"/>
  <c r="D99" i="9"/>
  <c r="S20" i="9" s="1" a="1"/>
  <c r="S20" i="9" s="1"/>
  <c r="C91" i="9"/>
  <c r="R12" i="9" s="1" a="1"/>
  <c r="R12" i="9" s="1"/>
  <c r="H91" i="9"/>
  <c r="W12" i="9" s="1" a="1"/>
  <c r="W12" i="9" s="1"/>
  <c r="F96" i="9"/>
  <c r="U17" i="9" s="1" a="1"/>
  <c r="U17" i="9" s="1"/>
  <c r="H84" i="9"/>
  <c r="W5" i="9" s="1" a="1"/>
  <c r="W5" i="9" s="1"/>
  <c r="H96" i="9"/>
  <c r="W17" i="9" s="1" a="1"/>
  <c r="W17" i="9" s="1"/>
  <c r="D95" i="9"/>
  <c r="S16" i="9" s="1" a="1"/>
  <c r="S16" i="9" s="1"/>
  <c r="D97" i="9"/>
  <c r="S18" i="9" s="1" a="1"/>
  <c r="S18" i="9" s="1"/>
  <c r="H97" i="9"/>
  <c r="W18" i="9" s="1" a="1"/>
  <c r="W18" i="9" s="1"/>
  <c r="C87" i="9"/>
  <c r="R8" i="9" s="1" a="1"/>
  <c r="R8" i="9" s="1"/>
  <c r="I26" i="1"/>
  <c r="J26" i="1" s="1" a="1"/>
  <c r="J26" i="1" s="1"/>
  <c r="D98" i="9"/>
  <c r="S19" i="9" s="1" a="1"/>
  <c r="S19" i="9" s="1"/>
  <c r="I31" i="1"/>
  <c r="J31" i="1" s="1" a="1"/>
  <c r="J31" i="1" s="1"/>
  <c r="G97" i="9"/>
  <c r="C96" i="9"/>
  <c r="R17" i="9" s="1" a="1"/>
  <c r="R17" i="9" s="1"/>
  <c r="G90" i="9"/>
  <c r="G96" i="9"/>
  <c r="H95" i="9"/>
  <c r="D93" i="9"/>
  <c r="S14" i="9" s="1" a="1"/>
  <c r="S14" i="9" s="1"/>
  <c r="C99" i="9"/>
  <c r="R20" i="9" s="1" a="1"/>
  <c r="R20" i="9" s="1"/>
  <c r="E98" i="9"/>
  <c r="T19" i="9" s="1" a="1"/>
  <c r="T19" i="9" s="1"/>
  <c r="G93" i="9"/>
  <c r="H85" i="9"/>
  <c r="W6" i="9" s="1" a="1"/>
  <c r="W6" i="9" s="1"/>
  <c r="Z6" i="9" s="1"/>
  <c r="AB6" i="9" s="1"/>
  <c r="C3" i="20" s="1"/>
  <c r="H98" i="9"/>
  <c r="W19" i="9" s="1" a="1"/>
  <c r="W19" i="9" s="1"/>
  <c r="E86" i="9"/>
  <c r="T7" i="9" s="1" a="1"/>
  <c r="T7" i="9" s="1"/>
  <c r="I30" i="1"/>
  <c r="J30" i="1" s="1" a="1"/>
  <c r="J30" i="1" s="1"/>
  <c r="G95" i="9"/>
  <c r="V16" i="9" s="1" a="1"/>
  <c r="V16" i="9" s="1"/>
  <c r="F89" i="9"/>
  <c r="U10" i="9" s="1" a="1"/>
  <c r="U10" i="9" s="1"/>
  <c r="I29" i="1"/>
  <c r="J29" i="1" s="1" a="1"/>
  <c r="J29" i="1" s="1"/>
  <c r="E95" i="9"/>
  <c r="T16" i="9" s="1" a="1"/>
  <c r="T16" i="9" s="1"/>
  <c r="C95" i="9"/>
  <c r="R16" i="9" s="1" a="1"/>
  <c r="R16" i="9" s="1"/>
  <c r="E97" i="9"/>
  <c r="T18" i="9" s="1" a="1"/>
  <c r="T18" i="9" s="1"/>
  <c r="I25" i="1"/>
  <c r="J25" i="1" s="1" a="1"/>
  <c r="J25" i="1" s="1"/>
  <c r="D89" i="9"/>
  <c r="S10" i="9" s="1" a="1"/>
  <c r="S10" i="9" s="1"/>
  <c r="I9" i="1"/>
  <c r="J9" i="1" s="1" a="1"/>
  <c r="J9" i="1" s="1"/>
  <c r="I15" i="1"/>
  <c r="J15" i="1" s="1" a="1"/>
  <c r="J15" i="1" s="1"/>
  <c r="H99" i="9"/>
  <c r="W20" i="9" s="1" a="1"/>
  <c r="W20" i="9" s="1"/>
  <c r="I18" i="1"/>
  <c r="J18" i="1" s="1" a="1"/>
  <c r="J18" i="1" s="1"/>
  <c r="I33" i="1"/>
  <c r="J33" i="1" s="1" a="1"/>
  <c r="J33" i="1" s="1"/>
  <c r="F95" i="9"/>
  <c r="U16" i="9" s="1" a="1"/>
  <c r="U16" i="9" s="1"/>
  <c r="E91" i="9"/>
  <c r="T12" i="9" s="1" a="1"/>
  <c r="T12" i="9" s="1"/>
  <c r="D86" i="9"/>
  <c r="S7" i="9" s="1" a="1"/>
  <c r="S7" i="9" s="1"/>
  <c r="B5" i="21"/>
  <c r="D2" i="17"/>
  <c r="AA16" i="9"/>
  <c r="B13" i="20" s="1"/>
  <c r="G88" i="9"/>
  <c r="Z8" i="9"/>
  <c r="AB8" i="9" s="1"/>
  <c r="C5" i="20" s="1"/>
  <c r="J2" i="1" a="1"/>
  <c r="J2" i="1" s="1"/>
  <c r="F35" i="18"/>
  <c r="C9" i="8"/>
  <c r="C14" i="8" s="1"/>
  <c r="C4" i="10" s="1"/>
  <c r="C15" i="10" s="1"/>
  <c r="C17" i="10" s="1"/>
  <c r="C21" i="9" l="1"/>
  <c r="K85" i="9"/>
  <c r="M85" i="9" s="1"/>
  <c r="K49" i="9"/>
  <c r="M49" i="9" s="1"/>
  <c r="E16" i="19"/>
  <c r="K92" i="9"/>
  <c r="M92" i="9" s="1"/>
  <c r="C2" i="9"/>
  <c r="E2" i="9"/>
  <c r="K99" i="9"/>
  <c r="M99" i="9" s="1"/>
  <c r="V20" i="9" a="1"/>
  <c r="V20" i="9" s="1"/>
  <c r="Z20" i="9" s="1"/>
  <c r="AB20" i="9" s="1"/>
  <c r="C17" i="20" s="1"/>
  <c r="K84" i="9"/>
  <c r="M84" i="9" s="1"/>
  <c r="V5" i="9" a="1"/>
  <c r="V5" i="9" s="1"/>
  <c r="Z5" i="9" s="1"/>
  <c r="AB5" i="9" s="1"/>
  <c r="C2" i="20" s="1"/>
  <c r="I80" i="1" a="1"/>
  <c r="I80" i="1" s="1"/>
  <c r="V14" i="9" a="1"/>
  <c r="V14" i="9" s="1"/>
  <c r="Z14" i="9" s="1"/>
  <c r="AB14" i="9" s="1"/>
  <c r="C11" i="20" s="1"/>
  <c r="K93" i="9"/>
  <c r="M93" i="9" s="1"/>
  <c r="K95" i="9"/>
  <c r="M95" i="9" s="1"/>
  <c r="W16" i="9" a="1"/>
  <c r="W16" i="9" s="1"/>
  <c r="Z16" i="9" s="1"/>
  <c r="AB16" i="9" s="1"/>
  <c r="C13" i="20" s="1"/>
  <c r="H86" i="9"/>
  <c r="W7" i="9" s="1" a="1"/>
  <c r="W7" i="9" s="1"/>
  <c r="K97" i="9"/>
  <c r="M97" i="9" s="1"/>
  <c r="V18" i="9" a="1"/>
  <c r="V18" i="9" s="1"/>
  <c r="Z18" i="9" s="1"/>
  <c r="AB18" i="9" s="1"/>
  <c r="C15" i="20" s="1"/>
  <c r="G91" i="9"/>
  <c r="V7" i="9" a="1"/>
  <c r="V7" i="9" s="1"/>
  <c r="G94" i="9"/>
  <c r="E20" i="19" a="1"/>
  <c r="E20" i="19" s="1"/>
  <c r="V17" i="9" a="1"/>
  <c r="V17" i="9" s="1"/>
  <c r="Z17" i="9" s="1"/>
  <c r="AB17" i="9" s="1"/>
  <c r="C14" i="20" s="1"/>
  <c r="K96" i="9"/>
  <c r="M96" i="9" s="1"/>
  <c r="V11" i="9" a="1"/>
  <c r="V11" i="9" s="1"/>
  <c r="Z11" i="9" s="1"/>
  <c r="AB11" i="9" s="1"/>
  <c r="C8" i="20" s="1"/>
  <c r="K90" i="9"/>
  <c r="M90" i="9" s="1"/>
  <c r="K98" i="9"/>
  <c r="M98" i="9" s="1"/>
  <c r="V19" i="9" a="1"/>
  <c r="V19" i="9" s="1"/>
  <c r="Z19" i="9" s="1"/>
  <c r="AB19" i="9" s="1"/>
  <c r="C16" i="20" s="1"/>
  <c r="D193" i="17"/>
  <c r="N5" i="17"/>
  <c r="N7" i="17" s="1"/>
  <c r="C12" i="10"/>
  <c r="V9" i="9" a="1"/>
  <c r="V9" i="9" s="1"/>
  <c r="Z9" i="9" s="1"/>
  <c r="AB9" i="9" s="1"/>
  <c r="C6" i="20" s="1"/>
  <c r="K88" i="9"/>
  <c r="J6" i="1"/>
  <c r="J80" i="1" s="1" a="1"/>
  <c r="J80" i="1" s="1"/>
  <c r="K86" i="9" l="1"/>
  <c r="M86" i="9" s="1"/>
  <c r="Z7" i="9"/>
  <c r="AB7" i="9" s="1"/>
  <c r="C4" i="20" s="1"/>
  <c r="V12" i="9" a="1"/>
  <c r="V12" i="9" s="1"/>
  <c r="Z12" i="9" s="1"/>
  <c r="AB12" i="9" s="1"/>
  <c r="C9" i="20" s="1"/>
  <c r="K91" i="9"/>
  <c r="M91" i="9" s="1"/>
  <c r="V15" i="9" a="1"/>
  <c r="V15" i="9" s="1"/>
  <c r="Z15" i="9" s="1"/>
  <c r="AB15" i="9" s="1"/>
  <c r="C12" i="20" s="1"/>
  <c r="K94" i="9"/>
  <c r="M94" i="9" s="1"/>
  <c r="P7" i="17"/>
  <c r="C19" i="10"/>
  <c r="K5" i="17"/>
  <c r="K6" i="17" s="1"/>
  <c r="F193" i="17"/>
  <c r="M88" i="9"/>
  <c r="C23" i="9" l="1"/>
  <c r="C3" i="10" s="1"/>
  <c r="C5" i="10" s="1"/>
  <c r="F21" i="10" s="1"/>
  <c r="C11" i="10" l="1"/>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<sst xmlns="http://schemas.openxmlformats.org/spreadsheetml/2006/main" count="1249" uniqueCount="340">
  <si>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</si>
  <si>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</si>
  <si>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</si>
  <si>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</si>
  <si>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</si>
  <si>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</si>
  <si>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</si>
  <si>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</si>
  <si>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</si>
  <si>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</si>
  <si>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</si>
  <si>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</si>
  <si>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</si>
  <si>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</si>
  <si>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</si>
  <si>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</si>
  <si>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</si>
  <si>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</si>
  <si>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</si>
  <si>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</si>
  <si>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</si>
  <si>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</si>
  <si>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</si>
  <si>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</si>
  <si>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</si>
  <si>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</si>
  <si>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</si>
  <si>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</si>
  <si>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</si>
  <si>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</si>
  <si>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</si>
  <si>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</si>
  <si>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</si>
  <si>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</si>
  <si>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</si>
  <si>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</si>
  <si>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</si>
  <si>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</si>
  <si>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</si>
  <si>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</si>
  <si>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</si>
  <si>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</si>
  <si>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</si>
  <si>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</si>
  <si>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</si>
  <si>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</si>
  <si>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</si>
  <si>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</si>
  <si>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</si>
  <si>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</si>
  <si>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</si>
  <si>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</si>
  <si>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</si>
  <si>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</si>
  <si>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</si>
  <si>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</si>
  <si>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</si>
  <si>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</si>
  <si>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</si>
  <si>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</si>
  <si>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</si>
  <si>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</si>
  <si>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</si>
  <si>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</si>
  <si>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</si>
  <si>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</si>
  <si>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</si>
  <si>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</si>
  <si>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</si>
  <si>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</si>
  <si>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</si>
  <si>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</si>
  <si>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</si>
  <si>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</si>
  <si>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</si>
  <si>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</si>
  <si>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</si>
  <si>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</si>
  <si>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</si>
  <si>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</si>
  <si>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</si>
  <si>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</si>
  <si>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</si>
  <si>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</si>
  <si>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</si>
  <si>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</si>
  <si>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</si>
  <si>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</si>
  <si>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</si>
  <si>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</si>
  <si>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</si>
  <si>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</si>
  <si>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</si>
  <si>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</si>
  <si>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</si>
  <si>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</si>
  <si>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</si>
  <si>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</si>
  <si>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</si>
  <si>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</si>
  <si>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</si>
  <si>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</si>
  <si>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</si>
  <si>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</si>
  <si>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</si>
  <si>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</si>
  <si>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</si>
  <si>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</si>
  <si>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</si>
  <si>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</si>
  <si>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</si>
  <si>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</si>
  <si>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</si>
  <si>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</si>
  <si>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</si>
  <si>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</si>
  <si>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</si>
  <si>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</si>
  <si>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</si>
  <si>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</si>
  <si>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</si>
  <si>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</si>
  <si>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</si>
  <si>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</si>
  <si>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</si>
  <si>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</si>
  <si>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</si>
  <si>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</si>
  <si>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</si>
  <si>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</si>
  <si>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</si>
  <si>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</si>
  <si>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</si>
  <si>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</si>
  <si>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</si>
  <si>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</si>
  <si>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</si>
  <si>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</si>
  <si>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</si>
  <si>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</si>
  <si>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</si>
  <si>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</si>
  <si>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</si>
  <si>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</si>
  <si>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</si>
  <si>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</si>
  <si>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</si>
  <si>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</si>
  <si>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</si>
  <si>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</si>
  <si>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</si>
  <si>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</si>
  <si>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</si>
  <si>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</si>
  <si>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</si>
  <si>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</si>
  <si>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</si>
  <si>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</si>
  <si>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</si>
  <si>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</si>
  <si>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</si>
  <si>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</si>
  <si>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</si>
  <si>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</si>
  <si>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</si>
  <si>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</si>
  <si>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</si>
  <si>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</si>
  <si>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</si>
  <si>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</si>
  <si>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</si>
  <si>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</si>
  <si>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</si>
  <si>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</si>
  <si>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</si>
  <si>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</si>
  <si>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</si>
  <si>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</si>
  <si>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</si>
  <si>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</si>
  <si>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</si>
  <si>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</si>
  <si>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</si>
  <si>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</si>
  <si>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</si>
  <si>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</si>
  <si>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</si>
  <si>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</si>
  <si>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</si>
  <si>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</si>
  <si>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</si>
  <si>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</si>
  <si>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</si>
  <si>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</si>
  <si>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</si>
  <si>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</si>
  <si>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</si>
  <si>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</si>
  <si>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</si>
  <si>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</si>
  <si>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</si>
  <si>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</si>
  <si>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</si>
  <si>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</si>
  <si>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</si>
  <si>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</si>
  <si>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</si>
  <si>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</si>
  <si>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</si>
  <si>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</si>
  <si>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</si>
  <si>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</si>
  <si>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</si>
  <si>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</si>
  <si>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</si>
  <si>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</si>
  <si>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</si>
  <si>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</si>
  <si>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</si>
  <si>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</si>
  <si>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</si>
  <si>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</si>
  <si>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</si>
  <si>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</si>
  <si>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</si>
  <si>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</si>
  <si>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</si>
  <si>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</si>
  <si>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</si>
  <si>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</si>
  <si>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</si>
  <si>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</si>
  <si>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</si>
  <si>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</si>
  <si>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</si>
  <si>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</si>
  <si>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</si>
  <si>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</si>
  <si>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</si>
  <si>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</si>
  <si>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</si>
  <si>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</si>
  <si>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</si>
  <si>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</si>
  <si>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</si>
  <si>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</si>
  <si>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</si>
  <si>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</si>
  <si>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</si>
  <si>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</si>
  <si>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</si>
  <si>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</si>
  <si>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</si>
  <si>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</si>
  <si>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</si>
  <si>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</si>
  <si>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</si>
  <si>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</si>
  <si>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</si>
  <si>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</si>
  <si>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</si>
  <si>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</si>
  <si>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</si>
  <si>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</si>
  <si>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</si>
  <si>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</si>
  <si>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</si>
  <si>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</si>
  <si>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</si>
  <si>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</si>
  <si>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</si>
  <si>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</si>
  <si>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</si>
  <si>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</si>
  <si>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</si>
  <si>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</si>
  <si>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</si>
  <si>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</si>
  <si>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</si>
  <si>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</si>
  <si>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</si>
  <si>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</si>
  <si>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</si>
  <si>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</si>
  <si>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</si>
  <si>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</si>
  <si>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</si>
  <si>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</si>
  <si>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</si>
  <si>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</si>
  <si>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</si>
  <si>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</si>
  <si>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</si>
  <si>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</si>
  <si>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</si>
  <si>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</si>
  <si>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</si>
  <si>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</si>
  <si>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</si>
  <si>
    <t>mubashir</t>
  </si>
  <si>
    <t>E 9399</t>
  </si>
  <si>
    <t>starch</t>
  </si>
  <si>
    <t>Haseeb shamsi</t>
  </si>
  <si>
    <t>Sohaib shamsi</t>
  </si>
  <si>
    <t>Hazrat khan</t>
  </si>
  <si>
    <t>353250 poora</t>
  </si>
  <si>
    <t>food/home</t>
  </si>
  <si>
    <t>695k cash+ 305 transfer</t>
  </si>
  <si>
    <t>TID:773769</t>
  </si>
  <si>
    <t>M tag</t>
  </si>
  <si>
    <t>Screws</t>
  </si>
  <si>
    <t>bottles</t>
  </si>
  <si>
    <t>boiler theka</t>
  </si>
  <si>
    <t>Slub</t>
  </si>
  <si>
    <t>Satin</t>
  </si>
  <si>
    <t>Billing (Slub)</t>
  </si>
  <si>
    <t>Billing (Satin)</t>
  </si>
  <si>
    <t>Qadeer Driver</t>
  </si>
  <si>
    <t>car kharcha</t>
  </si>
  <si>
    <t>oxygen cylinder</t>
  </si>
  <si>
    <t>FDS 1187</t>
  </si>
  <si>
    <t>137 mann</t>
  </si>
  <si>
    <t>301 Mann</t>
  </si>
  <si>
    <t>KFC home</t>
  </si>
  <si>
    <t>juices etc</t>
  </si>
  <si>
    <t>challan-omer</t>
  </si>
  <si>
    <t>189+100+50+*169*</t>
  </si>
  <si>
    <t>169k (sufi)</t>
  </si>
  <si>
    <t>500k poora</t>
  </si>
  <si>
    <t>301 mann</t>
  </si>
  <si>
    <t>Badshah</t>
  </si>
  <si>
    <t>ghar</t>
  </si>
  <si>
    <t>teabags</t>
  </si>
  <si>
    <t>200k+100k</t>
  </si>
  <si>
    <t>general</t>
  </si>
  <si>
    <t>gloves</t>
  </si>
  <si>
    <t>Al madina</t>
  </si>
  <si>
    <t>clips karaya</t>
  </si>
  <si>
    <t>engine oil (AZM 697)</t>
  </si>
  <si>
    <t>1856+1857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</si>
</sst>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14" fontId="0" fillId="0" borderId="7"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5">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232874</xdr:colOff>
      <xdr:row>110</xdr:row>
      <xdr:rowOff>2672</xdr:rowOff>
    </xdr:from>
    <xdr:to>
      <xdr:col>15</xdr:col>
      <xdr:colOff>425230</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-789504</v>
          </cell>
        </row>
        <row r="6">
          <cell r="N6">
            <v>-520515</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1293981483" createdVersion="8" refreshedVersion="8" minRefreshableVersion="3" recordCount="191" xr:uid="{B5BDFB73-D93A-4A7A-8149-666BC190B09B}">
  <cacheSource type="worksheet">
    <worksheetSource name="Table14"/>
  </cacheSource>
  <cacheFields count="7">
    <cacheField name="Date" numFmtId="14">
      <sharedItems containsSemiMixedTypes="0" containsNonDate="0" containsDate="1" containsString="0" minDate="2025-10-17T00:00:00" maxDate="2025-10-31T00:00:00"/>
    </cacheField>
    <cacheField name="Party" numFmtId="0">
      <sharedItems containsBlank="1" count="58">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ARB dasti"/>
        <s v="Amjad Sohail"/>
        <s v="Finish"/>
        <s v="Haseeb shamsi"/>
        <s v="Hazrat khan"/>
        <s v="Sufi Nawaz Sahab"/>
        <s v="Badshah Fabrics"/>
        <s v="Al madina"/>
        <s v="Closing August CF" u="1"/>
        <s v="Ejaz Sahab" u="1"/>
        <s v="Hafiz Qureshi" u="1"/>
        <s v="Azam" u="1"/>
        <s v="Shehzad Kamoki" u="1"/>
        <s v="Cash" u="1"/>
        <s v="Raaz Fabrics" u="1"/>
        <s v="Shamil"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80" maxValue="2503038"/>
    </cacheField>
    <cacheField name="Credit" numFmtId="164">
      <sharedItems containsString="0" containsBlank="1" containsNumber="1" containsInteger="1" minValue="-789504"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129444444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200908.9246525238"/>
    </cacheField>
    <cacheField name="Rate" numFmtId="0">
      <sharedItems containsString="0" containsBlank="1" containsNumber="1" minValue="10" maxValue="12"/>
    </cacheField>
    <cacheField name="Total" numFmtId="164">
      <sharedItems containsSemiMixedTypes="0" containsString="0" containsNumber="1" minValue="0" maxValue="2125424.286759327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129467593"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1295023146" createdVersion="8" refreshedVersion="8" minRefreshableVersion="3" recordCount="30" xr:uid="{3E5C2981-ACF5-44A9-8567-B1D65DB3A8D2}">
  <cacheSource type="worksheet">
    <worksheetSource name="Table3"/>
  </cacheSource>
  <cacheFields count="9">
    <cacheField name="Date" numFmtId="14">
      <sharedItems containsSemiMixedTypes="0" containsNonDate="0" containsDate="1" containsString="0" minDate="2025-05-02T00:00:00" maxDate="2025-10-30T00:00:00" count="92">
        <d v="2025-10-17T00:00:00"/>
        <d v="2025-10-18T00:00:00"/>
        <d v="2025-10-20T00:00:00"/>
        <d v="2025-10-21T00:00:00"/>
        <d v="2025-10-22T00:00:00"/>
        <d v="2025-10-23T00:00:00"/>
        <d v="2025-10-24T00:00:00"/>
        <d v="2025-10-25T00:00:00"/>
        <d v="2025-10-26T00:00:00"/>
        <d v="2025-10-27T00:00:00"/>
        <d v="2025-10-28T00:00:00"/>
        <d v="2025-10-29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7">
        <s v="Closing Balance CF"/>
        <m/>
        <s v="LES 3747"/>
        <s v="TKL 364"/>
        <s v="TKQ 364"/>
        <s v="LXT 8141"/>
        <s v="RPT 5560"/>
        <s v="266 man"/>
        <s v="TAT 098"/>
        <s v="CAR 6957"/>
        <s v="E 9399"/>
        <s v="SGI 9875"/>
        <s v="301 mann"/>
        <s v="FDS 1187"/>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3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35000" maxValue="76850"/>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1295138891"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1.031295486115" createdVersion="8" refreshedVersion="8" minRefreshableVersion="3" recordCount="83" xr:uid="{46CBB50D-3613-4E5B-8212-DD0313DCD05A}">
  <cacheSource type="worksheet">
    <worksheetSource name="Table1"/>
  </cacheSource>
  <cacheFields count="14">
    <cacheField name="Date" numFmtId="14">
      <sharedItems containsSemiMixedTypes="0" containsNonDate="0" containsDate="1" containsString="0" minDate="2025-07-25T00:00:00" maxDate="2025-10-31T00:00:00" count="80">
        <d v="2025-10-17T00:00:00"/>
        <d v="2025-10-18T00:00:00"/>
        <d v="2025-10-20T00:00:00"/>
        <d v="2025-10-21T00:00:00"/>
        <d v="2025-10-22T00:00:00"/>
        <d v="2025-10-23T00:00:00"/>
        <d v="2025-10-24T00:00:00"/>
        <d v="2025-10-25T00:00:00"/>
        <d v="2025-10-26T00:00:00"/>
        <d v="2025-10-27T00:00:00"/>
        <d v="2025-10-28T00:00:00"/>
        <d v="2025-10-29T00:00:00"/>
        <d v="2025-10-30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s v="YING" u="1"/>
        <s v="Meow" u="1"/>
        <s v="Umer Sb" u="1"/>
        <s v="-" u="1"/>
        <s v="Sajjad" u="1"/>
        <s v="Haji Ejaz" u="1"/>
      </sharedItems>
    </cacheField>
    <cacheField name="Bill Number" numFmtId="0">
      <sharedItems containsBlank="1" containsMixedTypes="1" containsNumber="1" containsInteger="1" minValue="604" maxValue="1030" count="414">
        <s v="September Closing CF"/>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m/>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219">
        <m/>
        <n v="1818"/>
        <n v="1780"/>
        <n v="1800"/>
        <n v="1826"/>
        <n v="1803"/>
        <n v="1829"/>
        <n v="1813"/>
        <n v="1827"/>
        <n v="1761"/>
        <n v="1786"/>
        <n v="1834"/>
        <n v="1796"/>
        <n v="1836"/>
        <n v="1828"/>
        <n v="1837"/>
        <n v="1840"/>
        <n v="1825"/>
        <n v="1838"/>
        <n v="1845"/>
        <n v="1807"/>
        <s v="1821+1820+1819"/>
        <n v="1791"/>
        <n v="1850"/>
        <n v="1801"/>
        <n v="1824"/>
        <n v="1814"/>
        <n v="1815"/>
        <n v="1833"/>
        <n v="1665"/>
        <s v="1856+1857"/>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037" maxValue="100849"/>
    </cacheField>
    <cacheField name="Tiyaar/gaz" numFmtId="164">
      <sharedItems containsString="0" containsBlank="1" containsNumber="1" containsInteger="1" minValue="837" maxValue="46732"/>
    </cacheField>
    <cacheField name="shortage %" numFmtId="165">
      <sharedItems containsMixedTypes="1" containsNumber="1" minValue="-8.9429716796790615" maxValue="91.584987374443145"/>
    </cacheField>
    <cacheField name="tiyar/meters" numFmtId="165">
      <sharedItems containsString="0" containsBlank="1" containsNumber="1" minValue="0" maxValue="1493155.6327724946"/>
    </cacheField>
    <cacheField name="billing" numFmtId="165">
      <sharedItems containsString="0" containsBlank="1"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1">
  <r>
    <d v="2025-10-17T00:00:00"/>
    <x v="0"/>
    <m/>
    <n v="-789504"/>
    <m/>
    <s v="Bank"/>
    <m/>
  </r>
  <r>
    <d v="2025-10-17T00:00:00"/>
    <x v="0"/>
    <m/>
    <n v="-520515"/>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6T00:00:00"/>
    <x v="12"/>
    <m/>
    <n v="414511"/>
    <m/>
    <s v="Bank"/>
    <m/>
  </r>
  <r>
    <d v="2025-10-26T00:00:00"/>
    <x v="2"/>
    <n v="53700"/>
    <m/>
    <s v="CAR 6957"/>
    <s v="Bank"/>
    <m/>
  </r>
  <r>
    <d v="2025-10-26T00:00:00"/>
    <x v="2"/>
    <n v="76850"/>
    <m/>
    <s v="TKL 364"/>
    <s v="Bank"/>
    <m/>
  </r>
  <r>
    <d v="2025-10-26T00:00:00"/>
    <x v="7"/>
    <n v="2600"/>
    <m/>
    <s v="package device"/>
    <s v="Bank"/>
    <m/>
  </r>
  <r>
    <d v="2025-10-26T00:00:00"/>
    <x v="8"/>
    <m/>
    <m/>
    <s v="5000 khalid sahab"/>
    <s v="Bank"/>
    <m/>
  </r>
  <r>
    <d v="2025-10-26T00:00:00"/>
    <x v="14"/>
    <n v="20000"/>
    <m/>
    <s v="clips advance"/>
    <s v="Bank"/>
    <m/>
  </r>
  <r>
    <d v="2025-10-26T00:00:00"/>
    <x v="29"/>
    <n v="80000"/>
    <m/>
    <s v="sajad khan (100000)"/>
    <s v="Bank"/>
    <m/>
  </r>
  <r>
    <d v="2025-10-26T00:00:00"/>
    <x v="30"/>
    <m/>
    <n v="300000"/>
    <s v="cheque"/>
    <s v="Bank"/>
    <m/>
  </r>
  <r>
    <d v="2025-10-26T00:00:00"/>
    <x v="29"/>
    <n v="300000"/>
    <m/>
    <s v="amjad sohail cheque"/>
    <s v="Bank"/>
    <m/>
  </r>
  <r>
    <d v="2025-10-27T00:00:00"/>
    <x v="8"/>
    <m/>
    <m/>
    <s v="mubashir"/>
    <s v="Bank"/>
    <m/>
  </r>
  <r>
    <d v="2025-10-27T00:00:00"/>
    <x v="8"/>
    <m/>
    <m/>
    <s v="khalid sahab"/>
    <s v="Bank"/>
    <m/>
  </r>
  <r>
    <d v="2025-10-27T00:00:00"/>
    <x v="2"/>
    <n v="45335"/>
    <m/>
    <s v="E 9399"/>
    <s v="Bank"/>
    <m/>
  </r>
  <r>
    <d v="2025-10-27T00:00:00"/>
    <x v="31"/>
    <n v="353250"/>
    <m/>
    <s v="starch"/>
    <s v="Bank"/>
    <m/>
  </r>
  <r>
    <d v="2025-10-27T00:00:00"/>
    <x v="32"/>
    <m/>
    <n v="256200"/>
    <s v="Sohaib shamsi"/>
    <s v="Bank"/>
    <m/>
  </r>
  <r>
    <d v="2025-10-27T00:00:00"/>
    <x v="33"/>
    <m/>
    <n v="95000"/>
    <m/>
    <s v="Bank"/>
    <m/>
  </r>
  <r>
    <d v="2025-10-27T00:00:00"/>
    <x v="16"/>
    <m/>
    <n v="2050"/>
    <s v="353250 poora"/>
    <s v="Bank"/>
    <m/>
  </r>
  <r>
    <d v="2025-10-26T00:00:00"/>
    <x v="16"/>
    <n v="3000"/>
    <m/>
    <s v="food/home"/>
    <s v="Bank"/>
    <m/>
  </r>
  <r>
    <d v="2025-10-27T00:00:00"/>
    <x v="14"/>
    <n v="3300"/>
    <m/>
    <m/>
    <s v="Bank"/>
    <m/>
  </r>
  <r>
    <d v="2025-10-27T00:00:00"/>
    <x v="14"/>
    <n v="13750"/>
    <m/>
    <m/>
    <s v="Bank"/>
    <m/>
  </r>
  <r>
    <d v="2025-10-27T00:00:00"/>
    <x v="14"/>
    <n v="5500"/>
    <m/>
    <m/>
    <s v="Bank"/>
    <m/>
  </r>
  <r>
    <d v="2025-10-27T00:00:00"/>
    <x v="8"/>
    <n v="5000"/>
    <m/>
    <s v="Master Tanveer"/>
    <s v="Bank"/>
    <m/>
  </r>
  <r>
    <d v="2025-10-27T00:00:00"/>
    <x v="5"/>
    <n v="500"/>
    <m/>
    <m/>
    <s v="Cash"/>
    <m/>
  </r>
  <r>
    <d v="2025-10-28T00:00:00"/>
    <x v="34"/>
    <m/>
    <n v="1000000"/>
    <s v="695k cash+ 305 transfer"/>
    <s v="Bank"/>
    <m/>
  </r>
  <r>
    <d v="2025-10-28T00:00:00"/>
    <x v="2"/>
    <n v="350000"/>
    <m/>
    <s v="TID:773769"/>
    <s v="Bank"/>
    <m/>
  </r>
  <r>
    <d v="2025-10-28T00:00:00"/>
    <x v="2"/>
    <n v="49850"/>
    <m/>
    <s v="SGI 9875"/>
    <s v="Bank"/>
    <m/>
  </r>
  <r>
    <d v="2025-10-28T00:00:00"/>
    <x v="4"/>
    <n v="2000"/>
    <m/>
    <s v="M tag"/>
    <s v="Bank"/>
    <m/>
  </r>
  <r>
    <d v="2025-10-28T00:00:00"/>
    <x v="14"/>
    <n v="1200"/>
    <m/>
    <s v="Screws"/>
    <s v="Bank"/>
    <m/>
  </r>
  <r>
    <d v="2025-10-28T00:00:00"/>
    <x v="7"/>
    <n v="180"/>
    <m/>
    <s v="bottles"/>
    <s v="Bank"/>
    <m/>
  </r>
  <r>
    <d v="2025-10-28T00:00:00"/>
    <x v="3"/>
    <n v="10000"/>
    <m/>
    <s v="boiler theka"/>
    <s v="Bank"/>
    <m/>
  </r>
  <r>
    <d v="2025-10-28T00:00:00"/>
    <x v="35"/>
    <m/>
    <n v="140000"/>
    <m/>
    <s v="Bank"/>
    <m/>
  </r>
  <r>
    <d v="2025-10-28T00:00:00"/>
    <x v="8"/>
    <n v="25000"/>
    <m/>
    <s v="Master Tanveer"/>
    <s v="Bank"/>
    <m/>
  </r>
  <r>
    <d v="2025-10-28T00:00:00"/>
    <x v="3"/>
    <n v="1500"/>
    <m/>
    <s v="Qadeer Driver"/>
    <s v="Bank"/>
    <m/>
  </r>
  <r>
    <d v="2025-10-29T00:00:00"/>
    <x v="4"/>
    <n v="5303"/>
    <m/>
    <s v="petrol"/>
    <s v="Bank"/>
    <m/>
  </r>
  <r>
    <d v="2025-10-29T00:00:00"/>
    <x v="4"/>
    <n v="1000"/>
    <m/>
    <s v="car kharcha"/>
    <s v="Bank"/>
    <m/>
  </r>
  <r>
    <d v="2025-10-29T00:00:00"/>
    <x v="14"/>
    <n v="2700"/>
    <m/>
    <s v="oxygen cylinder"/>
    <s v="Bank"/>
    <m/>
  </r>
  <r>
    <d v="2025-10-29T00:00:00"/>
    <x v="4"/>
    <n v="1000"/>
    <m/>
    <s v="toll"/>
    <s v="Cash"/>
    <m/>
  </r>
  <r>
    <d v="2025-10-29T00:00:00"/>
    <x v="14"/>
    <n v="2340"/>
    <m/>
    <m/>
    <s v="Bank"/>
    <m/>
  </r>
  <r>
    <d v="2025-10-29T00:00:00"/>
    <x v="2"/>
    <n v="48850"/>
    <m/>
    <s v="301 Mann"/>
    <s v="Bank"/>
    <m/>
  </r>
  <r>
    <d v="2025-10-29T00:00:00"/>
    <x v="2"/>
    <n v="35000"/>
    <m/>
    <s v="137 mann"/>
    <s v="Bank"/>
    <m/>
  </r>
  <r>
    <d v="2025-10-29T00:00:00"/>
    <x v="16"/>
    <n v="2640"/>
    <m/>
    <s v="KFC home"/>
    <s v="Bank"/>
    <m/>
  </r>
  <r>
    <d v="2025-10-29T00:00:00"/>
    <x v="16"/>
    <n v="1000"/>
    <m/>
    <s v="juices etc"/>
    <s v="Bank"/>
    <m/>
  </r>
  <r>
    <d v="2025-10-29T00:00:00"/>
    <x v="7"/>
    <n v="1000"/>
    <m/>
    <s v="challan-omer"/>
    <s v="Bank"/>
    <m/>
  </r>
  <r>
    <d v="2025-10-29T00:00:00"/>
    <x v="35"/>
    <m/>
    <n v="160000"/>
    <m/>
    <s v="Bank"/>
    <m/>
  </r>
  <r>
    <d v="2025-10-29T00:00:00"/>
    <x v="34"/>
    <m/>
    <n v="500000"/>
    <s v="189+100+50+*169*"/>
    <s v="Bank"/>
    <m/>
  </r>
  <r>
    <d v="2025-10-29T00:00:00"/>
    <x v="29"/>
    <n v="169000"/>
    <m/>
    <s v="169k (sufi)"/>
    <s v="Bank"/>
    <m/>
  </r>
  <r>
    <d v="2025-10-29T00:00:00"/>
    <x v="35"/>
    <m/>
    <n v="200000"/>
    <s v="500k poora"/>
    <s v="Bank"/>
    <m/>
  </r>
  <r>
    <d v="2025-10-29T00:00:00"/>
    <x v="29"/>
    <n v="200000"/>
    <m/>
    <s v="Badshah"/>
    <s v="Bank"/>
    <m/>
  </r>
  <r>
    <d v="2025-10-30T00:00:00"/>
    <x v="16"/>
    <n v="1000"/>
    <m/>
    <s v="ghar"/>
    <s v="Cash"/>
    <m/>
  </r>
  <r>
    <d v="2025-10-30T00:00:00"/>
    <x v="7"/>
    <n v="500"/>
    <m/>
    <s v="teabags"/>
    <s v="Cash"/>
    <m/>
  </r>
  <r>
    <d v="2025-10-30T00:00:00"/>
    <x v="7"/>
    <n v="420"/>
    <m/>
    <s v="chai"/>
    <s v="Cash"/>
    <m/>
  </r>
  <r>
    <d v="2025-10-30T00:00:00"/>
    <x v="21"/>
    <m/>
    <n v="300000"/>
    <s v="200k+100k"/>
    <s v="Bank"/>
    <m/>
  </r>
  <r>
    <d v="2025-10-30T00:00:00"/>
    <x v="2"/>
    <n v="300000"/>
    <m/>
    <s v="200k+100k"/>
    <s v="Bank"/>
    <m/>
  </r>
  <r>
    <d v="2025-10-30T00:00:00"/>
    <x v="4"/>
    <n v="1000"/>
    <m/>
    <s v="toll"/>
    <s v="Cash"/>
    <m/>
  </r>
  <r>
    <d v="2025-10-30T00:00:00"/>
    <x v="8"/>
    <m/>
    <m/>
    <s v="general"/>
    <m/>
    <m/>
  </r>
  <r>
    <d v="2025-10-30T00:00:00"/>
    <x v="14"/>
    <n v="890"/>
    <m/>
    <s v="gloves"/>
    <s v="Cash"/>
    <m/>
  </r>
  <r>
    <d v="2025-10-30T00:00:00"/>
    <x v="28"/>
    <m/>
    <n v="80000"/>
    <m/>
    <s v="Bank"/>
    <m/>
  </r>
  <r>
    <d v="2025-10-30T00:00:00"/>
    <x v="36"/>
    <n v="73500"/>
    <m/>
    <s v="BP26"/>
    <s v="Bank"/>
    <m/>
  </r>
  <r>
    <d v="2025-10-30T00:00:00"/>
    <x v="7"/>
    <n v="300"/>
    <m/>
    <s v="clips karaya"/>
    <s v="Bank"/>
    <m/>
  </r>
  <r>
    <d v="2025-10-30T00:00:00"/>
    <x v="4"/>
    <n v="5311"/>
    <m/>
    <s v="petrol"/>
    <s v="Bank"/>
    <m/>
  </r>
  <r>
    <d v="2025-10-30T00:00:00"/>
    <x v="16"/>
    <n v="4836"/>
    <m/>
    <s v="engine oil (AZM 697)"/>
    <s v="Bank"/>
    <m/>
  </r>
  <r>
    <d v="2025-10-30T00:00:00"/>
    <x v="25"/>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200908.9246525238"/>
    <n v="10"/>
    <n v="2125424.2867593272"/>
  </r>
  <r>
    <x v="1"/>
    <n v="44246.525237746893"/>
    <n v="10"/>
    <n v="530958.30285296275"/>
  </r>
  <r>
    <x v="2"/>
    <n v="118173.00658376007"/>
    <n v="10"/>
    <n v="1181730.0658376007"/>
  </r>
  <r>
    <x v="3"/>
    <n v="0"/>
    <n v="10.5"/>
    <n v="0"/>
  </r>
  <r>
    <x v="4"/>
    <n v="0"/>
    <n v="10"/>
    <n v="0"/>
  </r>
  <r>
    <x v="5"/>
    <n v="46940.380395025604"/>
    <n v="10"/>
    <n v="414511.70446232631"/>
  </r>
  <r>
    <x v="6"/>
    <n v="0"/>
    <n v="10"/>
    <n v="0"/>
  </r>
  <r>
    <x v="7"/>
    <n v="0"/>
    <n v="10"/>
    <n v="0"/>
  </r>
  <r>
    <x v="8"/>
    <n v="1004.0234089246526"/>
    <n v="10"/>
    <n v="10040.234089246525"/>
  </r>
  <r>
    <x v="9"/>
    <n v="0"/>
    <n v="12"/>
    <n v="0"/>
  </r>
  <r>
    <x v="10"/>
    <n v="49517.190929041702"/>
    <m/>
    <n v="495171.90929041704"/>
  </r>
  <r>
    <x v="11"/>
    <n v="69038.953913679594"/>
    <m/>
    <n v="690389.53913679591"/>
  </r>
  <r>
    <x v="12"/>
    <n v="0"/>
    <m/>
    <n v="0"/>
  </r>
  <r>
    <x v="13"/>
    <n v="0"/>
    <m/>
    <n v="0"/>
  </r>
  <r>
    <x v="14"/>
    <n v="0"/>
    <m/>
    <n v="0"/>
  </r>
  <r>
    <x v="15"/>
    <n v="0"/>
    <m/>
    <n v="0"/>
  </r>
  <r>
    <x v="16"/>
    <n v="34937.820043891734"/>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r>
    <x v="8"/>
    <x v="0"/>
    <x v="9"/>
    <n v="333"/>
    <n v="810"/>
    <n v="53700"/>
    <n v="269730"/>
    <m/>
    <n v="269730"/>
  </r>
  <r>
    <x v="8"/>
    <x v="0"/>
    <x v="3"/>
    <n v="439"/>
    <n v="810"/>
    <n v="76850"/>
    <n v="355590"/>
    <n v="130550"/>
    <n v="225040"/>
  </r>
  <r>
    <x v="9"/>
    <x v="0"/>
    <x v="10"/>
    <n v="277"/>
    <n v="810"/>
    <n v="45335"/>
    <n v="224370"/>
    <n v="45335"/>
    <n v="179035"/>
  </r>
  <r>
    <x v="10"/>
    <x v="0"/>
    <x v="11"/>
    <n v="307"/>
    <n v="810"/>
    <n v="49850"/>
    <n v="248670"/>
    <n v="399850"/>
    <n v="-151180"/>
  </r>
  <r>
    <x v="11"/>
    <x v="0"/>
    <x v="12"/>
    <n v="301"/>
    <n v="810"/>
    <n v="48850"/>
    <n v="243810"/>
    <m/>
    <n v="243810"/>
  </r>
  <r>
    <x v="11"/>
    <x v="0"/>
    <x v="13"/>
    <n v="137"/>
    <n v="810"/>
    <n v="35000"/>
    <n v="110970"/>
    <n v="83850"/>
    <n v="2712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408917.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0.34896515013701901"/>
    <n v="3434.5281638624729"/>
    <n v="34345.281638624729"/>
    <m/>
  </r>
  <r>
    <x v="7"/>
    <x v="0"/>
    <x v="30"/>
    <s v="Chamki"/>
    <x v="21"/>
    <n v="12811"/>
    <n v="4953"/>
    <n v="-0.34896515013701901"/>
    <n v="4529.0782735918074"/>
    <n v="45290.782735918074"/>
    <m/>
  </r>
  <r>
    <x v="8"/>
    <x v="11"/>
    <x v="31"/>
    <s v="Chamki"/>
    <x v="22"/>
    <n v="100849"/>
    <n v="39419"/>
    <n v="31.542252363752141"/>
    <n v="36045.171909290417"/>
    <n v="360451.71909290418"/>
    <m/>
  </r>
  <r>
    <x v="8"/>
    <x v="5"/>
    <x v="32"/>
    <s v="Slub"/>
    <x v="23"/>
    <n v="5511"/>
    <n v="837"/>
    <n v="0.39539196528799891"/>
    <n v="765.36210680321881"/>
    <n v="9949.7073884418442"/>
    <m/>
  </r>
  <r>
    <x v="8"/>
    <x v="0"/>
    <x v="33"/>
    <s v="Chamki"/>
    <x v="21"/>
    <n v="12811"/>
    <n v="5350"/>
    <n v="-0.34896515013701901"/>
    <n v="4892.0994879297732"/>
    <n v="48920.99487929773"/>
    <m/>
  </r>
  <r>
    <x v="9"/>
    <x v="16"/>
    <x v="34"/>
    <s v="Slub"/>
    <x v="24"/>
    <n v="3023"/>
    <n v="3248"/>
    <n v="1.7529832851817986"/>
    <n v="2970.007315288954"/>
    <n v="44550.109729334312"/>
    <m/>
  </r>
  <r>
    <x v="9"/>
    <x v="5"/>
    <x v="35"/>
    <s v="Slub"/>
    <x v="23"/>
    <n v="5511"/>
    <n v="5166"/>
    <n v="0.39539196528799891"/>
    <n v="4723.8478419897592"/>
    <n v="61410.021945866873"/>
    <m/>
  </r>
  <r>
    <x v="9"/>
    <x v="11"/>
    <x v="36"/>
    <s v="Chamki"/>
    <x v="22"/>
    <n v="100849"/>
    <n v="36082"/>
    <n v="31.542252363752141"/>
    <n v="32993.782004389177"/>
    <n v="329937.82004389178"/>
    <m/>
  </r>
  <r>
    <x v="10"/>
    <x v="10"/>
    <x v="37"/>
    <s v="Chamki"/>
    <x v="25"/>
    <n v="50784"/>
    <n v="4382"/>
    <n v="2.4945043142688661"/>
    <n v="4006.9495245062185"/>
    <n v="40069.495245062186"/>
    <m/>
  </r>
  <r>
    <x v="10"/>
    <x v="10"/>
    <x v="38"/>
    <s v="Chamki"/>
    <x v="25"/>
    <n v="50784"/>
    <n v="45820"/>
    <n v="2.4945043142688661"/>
    <n v="41898.317483540603"/>
    <n v="418983.17483540601"/>
    <m/>
  </r>
  <r>
    <x v="10"/>
    <x v="17"/>
    <x v="39"/>
    <s v="Satin"/>
    <x v="26"/>
    <n v="3702"/>
    <n v="3697"/>
    <n v="8.682390388239881"/>
    <n v="3380.5779078273595"/>
    <n v="94656.181419166067"/>
    <m/>
  </r>
  <r>
    <x v="10"/>
    <x v="17"/>
    <x v="40"/>
    <s v="Chamki"/>
    <x v="27"/>
    <n v="65932"/>
    <n v="46732"/>
    <n v="2.4745563705302374"/>
    <n v="42732.26042428676"/>
    <n v="427322.60424286762"/>
    <m/>
  </r>
  <r>
    <x v="11"/>
    <x v="10"/>
    <x v="41"/>
    <s v="Chamki"/>
    <x v="25"/>
    <n v="50784"/>
    <n v="3950"/>
    <n v="2.4945043142688661"/>
    <n v="3611.9239209948796"/>
    <n v="36119.239209948799"/>
    <m/>
  </r>
  <r>
    <x v="11"/>
    <x v="17"/>
    <x v="42"/>
    <s v="Chamki"/>
    <x v="27"/>
    <n v="65932"/>
    <n v="23587"/>
    <n v="2.4745563705302374"/>
    <n v="21568.215069495247"/>
    <n v="215682.15069495246"/>
    <m/>
  </r>
  <r>
    <x v="11"/>
    <x v="2"/>
    <x v="43"/>
    <s v="Chamki"/>
    <x v="28"/>
    <n v="50678"/>
    <n v="17191"/>
    <n v="68.981330062667709"/>
    <n v="15719.641550841259"/>
    <n v="157196.41550841258"/>
    <m/>
  </r>
  <r>
    <x v="12"/>
    <x v="2"/>
    <x v="44"/>
    <s v="Chamki"/>
    <x v="28"/>
    <n v="50678"/>
    <n v="36674"/>
    <n v="68.981330062667709"/>
    <m/>
    <m/>
    <m/>
  </r>
  <r>
    <x v="12"/>
    <x v="8"/>
    <x v="45"/>
    <s v="Chamki"/>
    <x v="29"/>
    <n v="1037"/>
    <n v="1098"/>
    <s v="NF"/>
    <m/>
    <m/>
    <m/>
  </r>
  <r>
    <x v="12"/>
    <x v="0"/>
    <x v="46"/>
    <s v="Chamki"/>
    <x v="30"/>
    <n v="61384"/>
    <n v="5540"/>
    <s v="NF"/>
    <m/>
    <m/>
    <m/>
  </r>
  <r>
    <x v="12"/>
    <x v="19"/>
    <x v="47"/>
    <m/>
    <x v="0"/>
    <m/>
    <m/>
    <e v="#DIV/0!"/>
    <m/>
    <m/>
    <m/>
  </r>
  <r>
    <x v="12"/>
    <x v="19"/>
    <x v="47"/>
    <m/>
    <x v="0"/>
    <m/>
    <m/>
    <e v="#DIV/0!"/>
    <m/>
    <m/>
    <m/>
  </r>
  <r>
    <x v="12"/>
    <x v="19"/>
    <x v="47"/>
    <m/>
    <x v="0"/>
    <m/>
    <m/>
    <e v="#DIV/0!"/>
    <m/>
    <m/>
    <m/>
  </r>
  <r>
    <x v="12"/>
    <x v="19"/>
    <x v="47"/>
    <m/>
    <x v="0"/>
    <m/>
    <m/>
    <e v="#DIV/0!"/>
    <m/>
    <m/>
    <m/>
  </r>
  <r>
    <x v="12"/>
    <x v="19"/>
    <x v="47"/>
    <m/>
    <x v="0"/>
    <m/>
    <m/>
    <e v="#DI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56:Z74"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44">
      <pivotArea field="0" grandRow="1" outline="0" collapsedLevelsAreSubtotals="1" axis="axisRow" fieldPosition="0">
        <references count="1">
          <reference field="4294967294" count="1" selected="0">
            <x v="1"/>
          </reference>
        </references>
      </pivotArea>
    </format>
    <format dxfId="143">
      <pivotArea field="0" grandRow="1" outline="0" collapsedLevelsAreSubtotals="1" axis="axisRow" fieldPosition="0">
        <references count="1">
          <reference field="4294967294" count="1" selected="0">
            <x v="0"/>
          </reference>
        </references>
      </pivotArea>
    </format>
    <format dxfId="142">
      <pivotArea collapsedLevelsAreSubtotals="1" fieldPosition="0">
        <references count="2">
          <reference field="4294967294" count="1" selected="0">
            <x v="1"/>
          </reference>
          <reference field="0" count="0"/>
        </references>
      </pivotArea>
    </format>
    <format dxfId="14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25:K139" firstHeaderRow="0" firstDataRow="1" firstDataCol="1"/>
  <pivotFields count="14">
    <pivotField axis="axisRow" numFmtId="14" showAll="0">
      <items count="81">
        <item m="1" x="64"/>
        <item m="1" x="65"/>
        <item m="1" x="66"/>
        <item m="1" x="67"/>
        <item m="1" x="68"/>
        <item m="1" x="69"/>
        <item m="1" x="79"/>
        <item m="1" x="70"/>
        <item m="1" x="71"/>
        <item m="1" x="72"/>
        <item m="1" x="73"/>
        <item m="1" x="74"/>
        <item m="1" x="75"/>
        <item m="1" x="76"/>
        <item m="1" x="77"/>
        <item m="1" x="78"/>
        <item m="1" x="41"/>
        <item m="1" x="40"/>
        <item m="1" x="35"/>
        <item m="1" x="42"/>
        <item m="1" x="43"/>
        <item m="1" x="44"/>
        <item m="1" x="45"/>
        <item m="1" x="46"/>
        <item m="1" x="47"/>
        <item m="1" x="48"/>
        <item m="1" x="49"/>
        <item m="1" x="50"/>
        <item m="1" x="51"/>
        <item m="1" x="52"/>
        <item m="1" x="53"/>
        <item m="1" x="54"/>
        <item m="1" x="55"/>
        <item m="1" x="56"/>
        <item m="1" x="57"/>
        <item m="1" x="58"/>
        <item m="1" x="59"/>
        <item m="1" x="60"/>
        <item m="1" x="61"/>
        <item m="1" x="62"/>
        <item m="1" x="63"/>
        <item m="1" x="13"/>
        <item m="1" x="14"/>
        <item m="1" x="15"/>
        <item m="1" x="16"/>
        <item m="1" x="17"/>
        <item m="1" x="18"/>
        <item m="1" x="19"/>
        <item m="1" x="20"/>
        <item m="1" x="21"/>
        <item m="1" x="22"/>
        <item m="1" x="23"/>
        <item m="1" x="24"/>
        <item m="1" x="25"/>
        <item m="1" x="26"/>
        <item m="1" x="36"/>
        <item m="1" x="27"/>
        <item m="1" x="28"/>
        <item m="1" x="37"/>
        <item m="1" x="29"/>
        <item m="1" x="30"/>
        <item m="1" x="31"/>
        <item m="1" x="38"/>
        <item m="1" x="39"/>
        <item m="1" x="32"/>
        <item m="1" x="33"/>
        <item m="1" x="34"/>
        <item x="0"/>
        <item x="1"/>
        <item x="2"/>
        <item x="3"/>
        <item x="4"/>
        <item x="5"/>
        <item x="6"/>
        <item x="7"/>
        <item x="8"/>
        <item x="9"/>
        <item x="10"/>
        <item x="11"/>
        <item x="1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4">
    <i>
      <x v="67"/>
    </i>
    <i>
      <x v="68"/>
    </i>
    <i>
      <x v="69"/>
    </i>
    <i>
      <x v="70"/>
    </i>
    <i>
      <x v="71"/>
    </i>
    <i>
      <x v="72"/>
    </i>
    <i>
      <x v="73"/>
    </i>
    <i>
      <x v="74"/>
    </i>
    <i>
      <x v="75"/>
    </i>
    <i>
      <x v="76"/>
    </i>
    <i>
      <x v="77"/>
    </i>
    <i>
      <x v="78"/>
    </i>
    <i>
      <x v="79"/>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25:G174" firstHeaderRow="0" firstDataRow="1" firstDataCol="1" rowPageCount="3" colPageCount="1"/>
  <pivotFields count="14">
    <pivotField axis="axisPage" showAll="0">
      <items count="81">
        <item m="1" x="64"/>
        <item m="1" x="65"/>
        <item m="1" x="66"/>
        <item m="1" x="67"/>
        <item m="1" x="68"/>
        <item m="1" x="69"/>
        <item m="1" x="79"/>
        <item m="1" x="70"/>
        <item m="1" x="71"/>
        <item m="1" x="72"/>
        <item m="1" x="73"/>
        <item m="1" x="74"/>
        <item m="1" x="75"/>
        <item m="1" x="76"/>
        <item m="1" x="77"/>
        <item m="1" x="78"/>
        <item m="1" x="41"/>
        <item m="1" x="40"/>
        <item m="1" x="35"/>
        <item m="1" x="42"/>
        <item m="1" x="43"/>
        <item m="1" x="44"/>
        <item m="1" x="45"/>
        <item m="1" x="46"/>
        <item m="1" x="47"/>
        <item m="1" x="48"/>
        <item m="1" x="49"/>
        <item m="1" x="50"/>
        <item m="1" x="51"/>
        <item m="1" x="52"/>
        <item m="1" x="53"/>
        <item m="1" x="54"/>
        <item m="1" x="55"/>
        <item m="1" x="56"/>
        <item m="1" x="57"/>
        <item m="1" x="58"/>
        <item m="1" x="59"/>
        <item m="1" x="60"/>
        <item m="1" x="61"/>
        <item m="1" x="62"/>
        <item m="1" x="63"/>
        <item m="1" x="13"/>
        <item m="1" x="14"/>
        <item m="1" x="15"/>
        <item m="1" x="16"/>
        <item m="1" x="17"/>
        <item m="1" x="18"/>
        <item m="1" x="19"/>
        <item m="1" x="20"/>
        <item m="1" x="21"/>
        <item m="1" x="22"/>
        <item m="1" x="23"/>
        <item m="1" x="24"/>
        <item m="1" x="25"/>
        <item m="1" x="26"/>
        <item m="1" x="36"/>
        <item m="1" x="27"/>
        <item m="1" x="28"/>
        <item m="1" x="37"/>
        <item m="1" x="29"/>
        <item m="1" x="30"/>
        <item m="1" x="31"/>
        <item m="1" x="38"/>
        <item m="1" x="39"/>
        <item m="1" x="32"/>
        <item m="1" x="33"/>
        <item m="1" x="34"/>
        <item x="0"/>
        <item x="1"/>
        <item x="2"/>
        <item x="3"/>
        <item x="4"/>
        <item x="5"/>
        <item x="6"/>
        <item x="7"/>
        <item x="8"/>
        <item x="9"/>
        <item x="10"/>
        <item x="11"/>
        <item x="12"/>
        <item t="default"/>
      </items>
    </pivotField>
    <pivotField axis="axisPage" multipleItemSelectionAllowed="1" showAll="0">
      <items count="27">
        <item x="2"/>
        <item x="0"/>
        <item m="1" x="25"/>
        <item x="6"/>
        <item m="1" x="24"/>
        <item m="1" x="23"/>
        <item m="1" x="22"/>
        <item x="1"/>
        <item x="3"/>
        <item m="1" x="21"/>
        <item x="4"/>
        <item m="1" x="20"/>
        <item x="19"/>
        <item x="5"/>
        <item x="10"/>
        <item x="8"/>
        <item x="9"/>
        <item x="7"/>
        <item x="11"/>
        <item x="12"/>
        <item x="13"/>
        <item x="14"/>
        <item x="15"/>
        <item x="16"/>
        <item x="17"/>
        <item x="18"/>
        <item t="default"/>
      </items>
    </pivotField>
    <pivotField axis="axisRow" numFmtId="164" showAll="0">
      <items count="41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304"/>
        <item m="1" x="305"/>
        <item m="1" x="306"/>
        <item m="1" x="307"/>
        <item m="1" x="308"/>
        <item m="1" x="309"/>
        <item m="1" x="310"/>
        <item m="1" x="311"/>
        <item m="1" x="312"/>
        <item m="1" x="313"/>
        <item m="1" x="314"/>
        <item m="1" x="315"/>
        <item m="1" x="316"/>
        <item m="1" x="317"/>
        <item m="1" x="318"/>
        <item m="1" x="319"/>
        <item m="1" x="320"/>
        <item m="1" x="321"/>
        <item m="1" x="350"/>
        <item m="1" x="322"/>
        <item m="1" x="323"/>
        <item m="1" x="324"/>
        <item m="1" x="325"/>
        <item m="1" x="326"/>
        <item m="1" x="327"/>
        <item m="1" x="339"/>
        <item m="1" x="328"/>
        <item m="1" x="329"/>
        <item m="1" x="330"/>
        <item m="1" x="331"/>
        <item m="1" x="332"/>
        <item m="1" x="333"/>
        <item m="1" x="334"/>
        <item m="1" x="335"/>
        <item m="1" x="336"/>
        <item m="1" x="337"/>
        <item m="1" x="338"/>
        <item m="1" x="340"/>
        <item m="1" x="341"/>
        <item m="1" x="342"/>
        <item m="1" x="343"/>
        <item m="1" x="344"/>
        <item m="1" x="345"/>
        <item m="1" x="346"/>
        <item m="1" x="347"/>
        <item m="1" x="348"/>
        <item m="1" x="349"/>
        <item m="1" x="351"/>
        <item m="1" x="352"/>
        <item m="1" x="353"/>
        <item m="1" x="354"/>
        <item m="1" x="355"/>
        <item m="1" x="356"/>
        <item m="1" x="357"/>
        <item m="1" x="358"/>
        <item m="1" x="359"/>
        <item m="1" x="360"/>
        <item m="1" x="361"/>
        <item m="1" x="362"/>
        <item m="1" x="363"/>
        <item m="1" x="364"/>
        <item m="1" x="365"/>
        <item m="1" x="196"/>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197"/>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4"/>
        <item m="1" x="295"/>
        <item m="1" x="296"/>
        <item m="1" x="293"/>
        <item m="1" x="297"/>
        <item m="1" x="298"/>
        <item m="1" x="299"/>
        <item m="1" x="300"/>
        <item m="1" x="301"/>
        <item m="1" x="302"/>
        <item m="1" x="303"/>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axis="axisPage" multipleItemSelectionAllowed="1" showAll="0">
      <items count="220">
        <item m="1" x="173"/>
        <item m="1" x="202"/>
        <item m="1" x="203"/>
        <item m="1" x="211"/>
        <item m="1" x="201"/>
        <item m="1" x="200"/>
        <item m="1" x="204"/>
        <item m="1" x="215"/>
        <item m="1" x="207"/>
        <item m="1" x="208"/>
        <item m="1" x="205"/>
        <item m="1" x="206"/>
        <item m="1" x="216"/>
        <item m="1" x="209"/>
        <item m="1" x="210"/>
        <item m="1" x="213"/>
        <item m="1" x="214"/>
        <item m="1" x="212"/>
        <item m="1" x="168"/>
        <item m="1" x="218"/>
        <item m="1" x="167"/>
        <item m="1" x="217"/>
        <item m="1" x="170"/>
        <item m="1" x="169"/>
        <item m="1" x="171"/>
        <item m="1" x="177"/>
        <item m="1" x="172"/>
        <item m="1" x="174"/>
        <item m="1" x="178"/>
        <item m="1" x="179"/>
        <item m="1" x="198"/>
        <item m="1" x="175"/>
        <item m="1" x="176"/>
        <item m="1" x="138"/>
        <item m="1" x="160"/>
        <item m="1" x="199"/>
        <item m="1" x="180"/>
        <item m="1" x="181"/>
        <item m="1" x="182"/>
        <item m="1" x="183"/>
        <item m="1" x="184"/>
        <item m="1" x="114"/>
        <item m="1" x="185"/>
        <item m="1" x="186"/>
        <item m="1" x="187"/>
        <item m="1" x="188"/>
        <item m="1" x="189"/>
        <item m="1" x="190"/>
        <item m="1" x="191"/>
        <item m="1" x="192"/>
        <item m="1" x="193"/>
        <item m="1" x="194"/>
        <item m="1" x="195"/>
        <item m="1" x="196"/>
        <item m="1" x="197"/>
        <item x="0"/>
        <item m="1" x="113"/>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1"/>
        <item m="1" x="162"/>
        <item m="1" x="163"/>
        <item m="1" x="164"/>
        <item m="1" x="165"/>
        <item m="1" x="16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112"/>
        <item m="1" x="93"/>
        <item m="1" x="94"/>
        <item m="1" x="95"/>
        <item m="1" x="96"/>
        <item m="1" x="97"/>
        <item m="1" x="98"/>
        <item m="1" x="99"/>
        <item m="1" x="100"/>
        <item m="1" x="101"/>
        <item m="1" x="102"/>
        <item m="1" x="103"/>
        <item m="1" x="104"/>
        <item m="1" x="105"/>
        <item m="1" x="106"/>
        <item m="1" x="107"/>
        <item m="1" x="108"/>
        <item m="1" x="109"/>
        <item m="1" x="110"/>
        <item m="1" x="111"/>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49">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41" firstHeaderRow="0" firstDataRow="1" firstDataCol="1" rowPageCount="1" colPageCount="1"/>
  <pivotFields count="9">
    <pivotField axis="axisRow" numFmtId="14" showAll="0">
      <items count="93">
        <item m="1" x="76"/>
        <item m="1" x="77"/>
        <item m="1" x="78"/>
        <item m="1" x="79"/>
        <item m="1" x="80"/>
        <item m="1" x="81"/>
        <item m="1" x="82"/>
        <item m="1" x="91"/>
        <item m="1" x="72"/>
        <item m="1" x="83"/>
        <item m="1" x="84"/>
        <item m="1" x="85"/>
        <item m="1" x="86"/>
        <item m="1" x="87"/>
        <item m="1" x="88"/>
        <item m="1" x="89"/>
        <item m="1" x="43"/>
        <item m="1" x="44"/>
        <item m="1" x="90"/>
        <item m="1" x="45"/>
        <item m="1" x="42"/>
        <item m="1" x="46"/>
        <item m="1" x="48"/>
        <item m="1" x="49"/>
        <item m="1" x="50"/>
        <item m="1" x="52"/>
        <item m="1" x="53"/>
        <item m="1" x="54"/>
        <item m="1" x="47"/>
        <item m="1" x="51"/>
        <item m="1" x="55"/>
        <item m="1" x="56"/>
        <item m="1" x="57"/>
        <item m="1" x="58"/>
        <item m="1" x="41"/>
        <item m="1" x="59"/>
        <item m="1" x="73"/>
        <item m="1" x="74"/>
        <item m="1" x="75"/>
        <item m="1" x="60"/>
        <item m="1" x="61"/>
        <item m="1" x="62"/>
        <item m="1" x="63"/>
        <item m="1" x="64"/>
        <item m="1" x="65"/>
        <item m="1" x="66"/>
        <item m="1" x="67"/>
        <item m="1" x="68"/>
        <item m="1" x="69"/>
        <item m="1" x="70"/>
        <item m="1" x="71"/>
        <item m="1" x="12"/>
        <item m="1" x="13"/>
        <item m="1" x="14"/>
        <item m="1" x="15"/>
        <item m="1" x="16"/>
        <item m="1" x="17"/>
        <item m="1" x="18"/>
        <item m="1" x="19"/>
        <item m="1" x="21"/>
        <item m="1" x="22"/>
        <item m="1" x="23"/>
        <item m="1" x="20"/>
        <item m="1" x="24"/>
        <item m="1" x="25"/>
        <item m="1" x="26"/>
        <item m="1" x="27"/>
        <item m="1" x="28"/>
        <item m="1" x="29"/>
        <item m="1" x="30"/>
        <item m="1" x="31"/>
        <item m="1" x="32"/>
        <item m="1" x="33"/>
        <item m="1" x="34"/>
        <item m="1" x="35"/>
        <item m="1" x="36"/>
        <item m="1" x="37"/>
        <item m="1" x="38"/>
        <item m="1" x="39"/>
        <item m="1" x="40"/>
        <item x="0"/>
        <item x="1"/>
        <item x="2"/>
        <item x="3"/>
        <item x="4"/>
        <item x="5"/>
        <item x="6"/>
        <item x="7"/>
        <item x="8"/>
        <item x="9"/>
        <item x="10"/>
        <item x="11"/>
        <item t="default"/>
      </items>
    </pivotField>
    <pivotField axis="axisPage" showAll="0">
      <items count="9">
        <item x="1"/>
        <item x="0"/>
        <item m="1" x="5"/>
        <item m="1" x="7"/>
        <item x="2"/>
        <item x="3"/>
        <item x="4"/>
        <item m="1" x="6"/>
        <item t="default"/>
      </items>
    </pivotField>
    <pivotField axis="axisRow" showAll="0">
      <items count="68">
        <item m="1" x="57"/>
        <item m="1" x="41"/>
        <item m="1" x="53"/>
        <item m="1" x="23"/>
        <item m="1" x="58"/>
        <item m="1" x="59"/>
        <item m="1" x="54"/>
        <item m="1" x="55"/>
        <item m="1" x="56"/>
        <item x="1"/>
        <item m="1" x="34"/>
        <item m="1" x="60"/>
        <item m="1" x="61"/>
        <item m="1" x="62"/>
        <item m="1" x="63"/>
        <item m="1" x="64"/>
        <item m="1" x="65"/>
        <item m="1" x="30"/>
        <item m="1" x="31"/>
        <item m="1" x="66"/>
        <item m="1" x="32"/>
        <item x="0"/>
        <item m="1" x="33"/>
        <item m="1" x="35"/>
        <item m="1" x="36"/>
        <item m="1" x="37"/>
        <item m="1" x="38"/>
        <item m="1" x="39"/>
        <item m="1" x="40"/>
        <item m="1" x="42"/>
        <item m="1" x="43"/>
        <item m="1" x="25"/>
        <item m="1" x="44"/>
        <item m="1" x="45"/>
        <item m="1" x="46"/>
        <item m="1" x="29"/>
        <item m="1" x="47"/>
        <item m="1" x="48"/>
        <item m="1" x="27"/>
        <item m="1" x="49"/>
        <item m="1" x="50"/>
        <item m="1" x="51"/>
        <item m="1" x="52"/>
        <item m="1" x="15"/>
        <item m="1" x="16"/>
        <item m="1" x="17"/>
        <item m="1" x="18"/>
        <item m="1" x="19"/>
        <item m="1" x="20"/>
        <item m="1" x="21"/>
        <item m="1" x="22"/>
        <item m="1" x="24"/>
        <item m="1" x="26"/>
        <item m="1" x="28"/>
        <item m="1" x="14"/>
        <item x="2"/>
        <item x="3"/>
        <item x="4"/>
        <item x="5"/>
        <item x="6"/>
        <item x="7"/>
        <item x="8"/>
        <item x="9"/>
        <item x="10"/>
        <item x="11"/>
        <item x="12"/>
        <item x="1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3">
    <i>
      <x v="80"/>
    </i>
    <i r="1">
      <x v="9"/>
    </i>
    <i r="1">
      <x v="21"/>
    </i>
    <i r="1">
      <x v="55"/>
    </i>
    <i>
      <x v="81"/>
    </i>
    <i r="1">
      <x v="9"/>
    </i>
    <i r="1">
      <x v="56"/>
    </i>
    <i r="1">
      <x v="57"/>
    </i>
    <i>
      <x v="82"/>
    </i>
    <i r="1">
      <x v="9"/>
    </i>
    <i>
      <x v="83"/>
    </i>
    <i r="1">
      <x v="9"/>
    </i>
    <i>
      <x v="84"/>
    </i>
    <i r="1">
      <x v="9"/>
    </i>
    <i>
      <x v="85"/>
    </i>
    <i r="1">
      <x v="58"/>
    </i>
    <i>
      <x v="86"/>
    </i>
    <i r="1">
      <x v="59"/>
    </i>
    <i>
      <x v="87"/>
    </i>
    <i r="1">
      <x v="9"/>
    </i>
    <i r="1">
      <x v="60"/>
    </i>
    <i r="1">
      <x v="61"/>
    </i>
    <i>
      <x v="88"/>
    </i>
    <i r="1">
      <x v="56"/>
    </i>
    <i r="1">
      <x v="62"/>
    </i>
    <i>
      <x v="89"/>
    </i>
    <i r="1">
      <x v="63"/>
    </i>
    <i>
      <x v="90"/>
    </i>
    <i r="1">
      <x v="64"/>
    </i>
    <i>
      <x v="91"/>
    </i>
    <i r="1">
      <x v="65"/>
    </i>
    <i r="1">
      <x v="66"/>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06">
      <pivotArea dataOnly="0" labelOnly="1" outline="0" fieldPosition="0">
        <references count="1">
          <reference field="1" count="1">
            <x v="1"/>
          </reference>
        </references>
      </pivotArea>
    </format>
    <format dxfId="10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201" firstHeaderRow="0" firstDataRow="1" firstDataCol="1"/>
  <pivotFields count="7">
    <pivotField numFmtId="14" showAll="0"/>
    <pivotField axis="axisRow" showAll="0">
      <items count="59">
        <item x="3"/>
        <item x="21"/>
        <item x="1"/>
        <item m="1" x="42"/>
        <item m="1" x="47"/>
        <item x="31"/>
        <item x="2"/>
        <item x="7"/>
        <item x="14"/>
        <item x="22"/>
        <item x="8"/>
        <item m="1" x="56"/>
        <item m="1" x="41"/>
        <item x="4"/>
        <item m="1" x="49"/>
        <item m="1" x="54"/>
        <item x="16"/>
        <item x="10"/>
        <item x="5"/>
        <item m="1" x="38"/>
        <item x="25"/>
        <item x="12"/>
        <item m="1" x="57"/>
        <item x="34"/>
        <item m="1" x="39"/>
        <item m="1" x="55"/>
        <item m="1" x="46"/>
        <item x="13"/>
        <item m="1" x="48"/>
        <item m="1" x="50"/>
        <item m="1" x="51"/>
        <item m="1" x="52"/>
        <item x="26"/>
        <item m="1" x="53"/>
        <item m="1" x="43"/>
        <item x="27"/>
        <item x="19"/>
        <item m="1" x="40"/>
        <item m="1" x="37"/>
        <item x="24"/>
        <item x="35"/>
        <item x="6"/>
        <item x="9"/>
        <item m="1" x="44"/>
        <item x="29"/>
        <item m="1" x="45"/>
        <item x="0"/>
        <item x="11"/>
        <item x="15"/>
        <item x="17"/>
        <item x="18"/>
        <item x="20"/>
        <item x="23"/>
        <item x="28"/>
        <item x="30"/>
        <item x="32"/>
        <item x="33"/>
        <item x="36"/>
        <item t="default"/>
      </items>
    </pivotField>
    <pivotField dataField="1" showAll="0"/>
    <pivotField dataField="1" showAll="0"/>
    <pivotField showAll="0"/>
    <pivotField showAll="0"/>
    <pivotField showAll="0"/>
  </pivotFields>
  <rowFields count="1">
    <field x="1"/>
  </rowFields>
  <rowItems count="38">
    <i>
      <x/>
    </i>
    <i>
      <x v="1"/>
    </i>
    <i>
      <x v="2"/>
    </i>
    <i>
      <x v="5"/>
    </i>
    <i>
      <x v="6"/>
    </i>
    <i>
      <x v="7"/>
    </i>
    <i>
      <x v="8"/>
    </i>
    <i>
      <x v="9"/>
    </i>
    <i>
      <x v="10"/>
    </i>
    <i>
      <x v="13"/>
    </i>
    <i>
      <x v="16"/>
    </i>
    <i>
      <x v="17"/>
    </i>
    <i>
      <x v="18"/>
    </i>
    <i>
      <x v="20"/>
    </i>
    <i>
      <x v="21"/>
    </i>
    <i>
      <x v="23"/>
    </i>
    <i>
      <x v="27"/>
    </i>
    <i>
      <x v="32"/>
    </i>
    <i>
      <x v="35"/>
    </i>
    <i>
      <x v="36"/>
    </i>
    <i>
      <x v="39"/>
    </i>
    <i>
      <x v="40"/>
    </i>
    <i>
      <x v="41"/>
    </i>
    <i>
      <x v="42"/>
    </i>
    <i>
      <x v="44"/>
    </i>
    <i>
      <x v="46"/>
    </i>
    <i>
      <x v="47"/>
    </i>
    <i>
      <x v="48"/>
    </i>
    <i>
      <x v="49"/>
    </i>
    <i>
      <x v="50"/>
    </i>
    <i>
      <x v="51"/>
    </i>
    <i>
      <x v="52"/>
    </i>
    <i>
      <x v="53"/>
    </i>
    <i>
      <x v="54"/>
    </i>
    <i>
      <x v="55"/>
    </i>
    <i>
      <x v="56"/>
    </i>
    <i>
      <x v="57"/>
    </i>
    <i t="grand">
      <x/>
    </i>
  </rowItems>
  <colFields count="1">
    <field x="-2"/>
  </colFields>
  <colItems count="2">
    <i>
      <x/>
    </i>
    <i i="1">
      <x v="1"/>
    </i>
  </colItems>
  <dataFields count="2">
    <dataField name="Sum of Credit" fld="3" baseField="0" baseItem="0"/>
    <dataField name="Sum of Debit" fld="2" baseField="0" baseItem="0"/>
  </dataFields>
  <formats count="1">
    <format dxfId="9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5"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x="19"/>
        <item x="5"/>
        <item x="10"/>
        <item x="8"/>
        <item x="9"/>
        <item x="7"/>
        <item x="11"/>
        <item x="12"/>
        <item x="13"/>
        <item x="14"/>
        <item x="15"/>
        <item x="16"/>
        <item x="17"/>
        <item x="18"/>
        <item t="default"/>
      </items>
    </pivotField>
    <pivotField showAll="0"/>
    <pivotField showAll="0"/>
    <pivotField axis="axisRow" showAll="0">
      <items count="220">
        <item m="1" x="202"/>
        <item m="1" x="203"/>
        <item m="1" x="201"/>
        <item m="1" x="200"/>
        <item m="1" x="204"/>
        <item m="1" x="206"/>
        <item m="1" x="205"/>
        <item m="1" x="207"/>
        <item m="1" x="208"/>
        <item m="1" x="209"/>
        <item m="1" x="210"/>
        <item m="1" x="211"/>
        <item m="1" x="212"/>
        <item m="1" x="213"/>
        <item m="1" x="138"/>
        <item m="1" x="160"/>
        <item m="1" x="214"/>
        <item m="1" x="215"/>
        <item m="1" x="216"/>
        <item m="1" x="168"/>
        <item m="1" x="167"/>
        <item m="1" x="217"/>
        <item m="1" x="218"/>
        <item m="1" x="177"/>
        <item m="1" x="169"/>
        <item m="1" x="170"/>
        <item m="1" x="171"/>
        <item m="1" x="172"/>
        <item m="1" x="173"/>
        <item m="1" x="174"/>
        <item m="1" x="175"/>
        <item m="1" x="176"/>
        <item m="1" x="178"/>
        <item m="1" x="198"/>
        <item m="1" x="179"/>
        <item m="1" x="199"/>
        <item m="1" x="180"/>
        <item m="1" x="181"/>
        <item m="1" x="182"/>
        <item m="1" x="183"/>
        <item m="1" x="184"/>
        <item m="1" x="114"/>
        <item m="1" x="185"/>
        <item m="1" x="186"/>
        <item m="1" x="187"/>
        <item m="1" x="188"/>
        <item m="1" x="189"/>
        <item m="1" x="190"/>
        <item m="1" x="191"/>
        <item m="1" x="192"/>
        <item m="1" x="193"/>
        <item m="1" x="194"/>
        <item m="1" x="195"/>
        <item m="1" x="196"/>
        <item m="1" x="197"/>
        <item x="0"/>
        <item m="1" x="113"/>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1"/>
        <item m="1" x="162"/>
        <item m="1" x="163"/>
        <item m="1" x="164"/>
        <item m="1" x="165"/>
        <item m="1" x="16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112"/>
        <item m="1" x="93"/>
        <item m="1" x="94"/>
        <item m="1" x="95"/>
        <item m="1" x="96"/>
        <item m="1" x="97"/>
        <item m="1" x="98"/>
        <item m="1" x="99"/>
        <item m="1" x="100"/>
        <item m="1" x="101"/>
        <item m="1" x="102"/>
        <item m="1" x="103"/>
        <item m="1" x="104"/>
        <item m="1" x="105"/>
        <item m="1" x="106"/>
        <item m="1" x="107"/>
        <item m="1" x="108"/>
        <item m="1" x="109"/>
        <item m="1" x="110"/>
        <item m="1" x="111"/>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2">
    <i>
      <x v="55"/>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50">
      <pivotArea type="all" dataOnly="0" outline="0" fieldPosition="0"/>
    </format>
    <format dxfId="49">
      <pivotArea outline="0" collapsedLevelsAreSubtotals="1" fieldPosition="0"/>
    </format>
    <format dxfId="48">
      <pivotArea field="4" type="button" dataOnly="0" labelOnly="1" outline="0" axis="axisRow" fieldPosition="0"/>
    </format>
    <format dxfId="47">
      <pivotArea dataOnly="0" labelOnly="1" fieldPosition="0">
        <references count="1">
          <reference field="4" count="0"/>
        </references>
      </pivotArea>
    </format>
    <format dxfId="46">
      <pivotArea dataOnly="0" labelOnly="1" grandRow="1" outline="0" fieldPosition="0"/>
    </format>
    <format dxfId="45">
      <pivotArea dataOnly="0" labelOnly="1" outline="0" fieldPosition="0">
        <references count="1">
          <reference field="4294967294" count="2">
            <x v="0"/>
            <x v="1"/>
          </reference>
        </references>
      </pivotArea>
    </format>
    <format dxfId="44">
      <pivotArea grandRow="1" outline="0" collapsedLevelsAreSubtotals="1" fieldPosition="0"/>
    </format>
    <format dxfId="43">
      <pivotArea field="4" type="button" dataOnly="0" labelOnly="1" outline="0" axis="axisRow" fieldPosition="0"/>
    </format>
    <format dxfId="4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9">
        <i x="29" s="1"/>
        <i x="9" s="1"/>
        <i x="2" s="1"/>
        <i x="10" s="1"/>
        <i x="22" s="1"/>
        <i x="12" s="1"/>
        <i x="3" s="1"/>
        <i x="24" s="1"/>
        <i x="5" s="1"/>
        <i x="20" s="1"/>
        <i x="7" s="1"/>
        <i x="26" s="1"/>
        <i x="27" s="1"/>
        <i x="1" s="1"/>
        <i x="25" s="1"/>
        <i x="17" s="1"/>
        <i x="4" s="1"/>
        <i x="8" s="1"/>
        <i x="14" s="1"/>
        <i x="6" s="1"/>
        <i x="28" s="1"/>
        <i x="11" s="1"/>
        <i x="13" s="1"/>
        <i x="15" s="1"/>
        <i x="18" s="1"/>
        <i x="16" s="1"/>
        <i x="19" s="1"/>
        <i x="23" s="1"/>
        <i x="21" s="1"/>
        <i x="30" s="1"/>
        <i x="173" s="1" nd="1"/>
        <i x="202" s="1" nd="1"/>
        <i x="203" s="1" nd="1"/>
        <i x="211" s="1" nd="1"/>
        <i x="201" s="1" nd="1"/>
        <i x="200" s="1" nd="1"/>
        <i x="204" s="1" nd="1"/>
        <i x="215" s="1" nd="1"/>
        <i x="207" s="1" nd="1"/>
        <i x="208" s="1" nd="1"/>
        <i x="205" s="1" nd="1"/>
        <i x="206" s="1" nd="1"/>
        <i x="216" s="1" nd="1"/>
        <i x="209" s="1" nd="1"/>
        <i x="210" s="1" nd="1"/>
        <i x="213" s="1" nd="1"/>
        <i x="214" s="1" nd="1"/>
        <i x="212" s="1" nd="1"/>
        <i x="168" s="1" nd="1"/>
        <i x="218" s="1" nd="1"/>
        <i x="167" s="1" nd="1"/>
        <i x="217" s="1" nd="1"/>
        <i x="170" s="1" nd="1"/>
        <i x="131" s="1" nd="1"/>
        <i x="169" s="1" nd="1"/>
        <i x="171" s="1" nd="1"/>
        <i x="177" s="1" nd="1"/>
        <i x="172" s="1" nd="1"/>
        <i x="174" s="1" nd="1"/>
        <i x="190" s="1" nd="1"/>
        <i x="113" s="1" nd="1"/>
        <i x="178" s="1" nd="1"/>
        <i x="118" s="1" nd="1"/>
        <i x="184" s="1" nd="1"/>
        <i x="179" s="1" nd="1"/>
        <i x="182" s="1" nd="1"/>
        <i x="187" s="1" nd="1"/>
        <i x="198" s="1" nd="1"/>
        <i x="180" s="1" nd="1"/>
        <i x="192" s="1" nd="1"/>
        <i x="195" s="1" nd="1"/>
        <i x="186" s="1" nd="1"/>
        <i x="175" s="1" nd="1"/>
        <i x="183" s="1" nd="1"/>
        <i x="176" s="1" nd="1"/>
        <i x="181" s="1" nd="1"/>
        <i x="114" s="1" nd="1"/>
        <i x="185" s="1" nd="1"/>
        <i x="191" s="1" nd="1"/>
        <i x="128" s="1" nd="1"/>
        <i x="188" s="1" nd="1"/>
        <i x="193" s="1" nd="1"/>
        <i x="189" s="1" nd="1"/>
        <i x="155" s="1" nd="1"/>
        <i x="194" s="1" nd="1"/>
        <i x="196" s="1" nd="1"/>
        <i x="116" s="1" nd="1"/>
        <i x="123" s="1" nd="1"/>
        <i x="197" s="1" nd="1"/>
        <i x="120" s="1" nd="1"/>
        <i x="121" s="1" nd="1"/>
        <i x="115" s="1" nd="1"/>
        <i x="119" s="1" nd="1"/>
        <i x="117" s="1" nd="1"/>
        <i x="126" s="1" nd="1"/>
        <i x="122" s="1" nd="1"/>
        <i x="124" s="1" nd="1"/>
        <i x="127" s="1" nd="1"/>
        <i x="135" s="1" nd="1"/>
        <i x="125" s="1" nd="1"/>
        <i x="134" s="1" nd="1"/>
        <i x="139" s="1" nd="1"/>
        <i x="133" s="1" nd="1"/>
        <i x="136" s="1" nd="1"/>
        <i x="146" s="1" nd="1"/>
        <i x="132" s="1" nd="1"/>
        <i x="129" s="1" nd="1"/>
        <i x="130" s="1" nd="1"/>
        <i x="145" s="1" nd="1"/>
        <i x="138" s="1" nd="1"/>
        <i x="149" s="1" nd="1"/>
        <i x="144" s="1" nd="1"/>
        <i x="137" s="1" nd="1"/>
        <i x="161" s="1" nd="1"/>
        <i x="142" s="1" nd="1"/>
        <i x="152" s="1" nd="1"/>
        <i x="150" s="1" nd="1"/>
        <i x="140" s="1" nd="1"/>
        <i x="148" s="1" nd="1"/>
        <i x="147" s="1" nd="1"/>
        <i x="143" s="1" nd="1"/>
        <i x="153" s="1" nd="1"/>
        <i x="151" s="1" nd="1"/>
        <i x="154" s="1" nd="1"/>
        <i x="141" s="1" nd="1"/>
        <i x="82" s="1" nd="1"/>
        <i x="156" s="1" nd="1"/>
        <i x="157" s="1" nd="1"/>
        <i x="40" s="1" nd="1"/>
        <i x="42" s="1" nd="1"/>
        <i x="164" s="1" nd="1"/>
        <i x="36" s="1" nd="1"/>
        <i x="83" s="1" nd="1"/>
        <i x="158" s="1" nd="1"/>
        <i x="159" s="1" nd="1"/>
        <i x="39" s="1" nd="1"/>
        <i x="166" s="1" nd="1"/>
        <i x="38" s="1" nd="1"/>
        <i x="53" s="1" nd="1"/>
        <i x="165" s="1" nd="1"/>
        <i x="160" s="1" nd="1"/>
        <i x="57" s="1" nd="1"/>
        <i x="163" s="1" nd="1"/>
        <i x="162" s="1" nd="1"/>
        <i x="78" s="1" nd="1"/>
        <i x="31" s="1" nd="1"/>
        <i x="43" s="1" nd="1"/>
        <i x="79" s="1" nd="1"/>
        <i x="77" s="1" nd="1"/>
        <i x="35" s="1" nd="1"/>
        <i x="37" s="1" nd="1"/>
        <i x="41" s="1" nd="1"/>
        <i x="32" s="1" nd="1"/>
        <i x="67" s="1" nd="1"/>
        <i x="72" s="1" nd="1"/>
        <i x="33" s="1" nd="1"/>
        <i x="34" s="1" nd="1"/>
        <i x="44" s="1" nd="1"/>
        <i x="47" s="1" nd="1"/>
        <i x="54" s="1" nd="1"/>
        <i x="46" s="1" nd="1"/>
        <i x="49" s="1" nd="1"/>
        <i x="48" s="1" nd="1"/>
        <i x="91" s="1" nd="1"/>
        <i x="45" s="1" nd="1"/>
        <i x="70" s="1" nd="1"/>
        <i x="86" s="1" nd="1"/>
        <i x="50" s="1" nd="1"/>
        <i x="75" s="1" nd="1"/>
        <i x="88" s="1" nd="1"/>
        <i x="59" s="1" nd="1"/>
        <i x="100" s="1" nd="1"/>
        <i x="58" s="1" nd="1"/>
        <i x="55" s="1" nd="1"/>
        <i x="51" s="1" nd="1"/>
        <i x="52" s="1" nd="1"/>
        <i x="71" s="1" nd="1"/>
        <i x="60" s="1" nd="1"/>
        <i x="61" s="1" nd="1"/>
        <i x="56" s="1" nd="1"/>
        <i x="63" s="1" nd="1"/>
        <i x="64" s="1" nd="1"/>
        <i x="93" s="1" nd="1"/>
        <i x="62" s="1" nd="1"/>
        <i x="80" s="1" nd="1"/>
        <i x="68" s="1" nd="1"/>
        <i x="65" s="1" nd="1"/>
        <i x="69" s="1" nd="1"/>
        <i x="66" s="1" nd="1"/>
        <i x="73" s="1" nd="1"/>
        <i x="92" s="1" nd="1"/>
        <i x="87" s="1" nd="1"/>
        <i x="106" s="1" nd="1"/>
        <i x="74" s="1" nd="1"/>
        <i x="85" s="1" nd="1"/>
        <i x="76" s="1" nd="1"/>
        <i x="101" s="1" nd="1"/>
        <i x="84" s="1" nd="1"/>
        <i x="99" s="1" nd="1"/>
        <i x="90" s="1" nd="1"/>
        <i x="89" s="1" nd="1"/>
        <i x="105" s="1" nd="1"/>
        <i x="102" s="1" nd="1"/>
        <i x="110" s="1" nd="1"/>
        <i x="94" s="1" nd="1"/>
        <i x="103" s="1" nd="1"/>
        <i x="108" s="1" nd="1"/>
        <i x="112" s="1" nd="1"/>
        <i x="109" s="1" nd="1"/>
        <i x="104" s="1" nd="1"/>
        <i x="95" s="1" nd="1"/>
        <i x="98" s="1" nd="1"/>
        <i x="107" s="1" nd="1"/>
        <i x="96" s="1" nd="1"/>
        <i x="97" s="1" nd="1"/>
        <i x="111" s="1" nd="1"/>
        <i x="81" s="1" nd="1"/>
        <i x="19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21"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40">
      <calculatedColumnFormula>B49</calculatedColumnFormula>
    </tableColumn>
    <tableColumn id="2" xr3:uid="{7EDCC2ED-0339-42B3-9633-FFEA7A3DD9F3}" name="Tiyaar" dataDxfId="139">
      <calculatedColumnFormula>SUMIFS(ledger!G:G, ledger!B:B, B2, ledger!E:E, "&lt;&gt;*RD*") / 1.0936</calculatedColumnFormula>
    </tableColumn>
    <tableColumn id="3" xr3:uid="{CC1535DD-3FE7-4F55-8040-E7643388A78E}" name="Rate"/>
    <tableColumn id="4" xr3:uid="{059CB70B-ADAD-4985-84AA-0D530BAC5567}" name="Total" dataDxfId="138">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7" dataDxfId="136">
  <autoFilter ref="B7:E20" xr:uid="{449E5D32-DF9C-4018-96AB-CA98E118D910}"/>
  <tableColumns count="4">
    <tableColumn id="1" xr3:uid="{F663704C-91DD-4BB9-B7EB-EEB0C5EDED6C}" name="Description" dataDxfId="135"/>
    <tableColumn id="2" xr3:uid="{6D94D495-CD0B-4FD3-9771-81D731982A97}" name="Rate" dataDxfId="134" dataCellStyle="Comma"/>
    <tableColumn id="3" xr3:uid="{2D14CEAD-3602-40E7-A488-3584EBC9141E}" name="gazana" dataDxfId="133" dataCellStyle="Comma"/>
    <tableColumn id="4" xr3:uid="{06FEE63C-6480-4079-8426-51BC26B38B34}" name="sum" dataDxfId="13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1" totalsRowDxfId="13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9" dataDxfId="128" headerRowCellStyle="Comma" dataCellStyle="Comma">
  <autoFilter ref="B2:C5" xr:uid="{136E8F7F-D03F-4198-8335-91A003EA9E45}"/>
  <tableColumns count="2">
    <tableColumn id="1" xr3:uid="{279FA697-9952-479A-AC05-0D4992B41374}" name="Column1" dataDxfId="127" dataCellStyle="Comma"/>
    <tableColumn id="2" xr3:uid="{8A64998B-65EF-41CD-BCB0-3DDB7B359C54}" name="Column2" dataDxfId="12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5"/>
    <tableColumn id="2" xr3:uid="{51D27FA2-8DDF-4369-BAF7-7D1FE90E16A0}" name="Column2" dataDxfId="12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3" totalsRowDxfId="12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80" totalsRowCount="1" headerRowDxfId="119" dataDxfId="118" headerRowCellStyle="Comma" dataCellStyle="Comma">
  <autoFilter ref="A1:K79" xr:uid="{11DACEC6-751B-4B1D-817F-5C5BCD38EF6D}"/>
  <tableColumns count="11">
    <tableColumn id="1" xr3:uid="{2FCE3FA8-A48C-4685-8919-AE44C6C71FD9}" name="Date" dataDxfId="117" dataCellStyle="Comma"/>
    <tableColumn id="2" xr3:uid="{5780FD5F-0890-44E6-B59C-8E37A559FE36}" name="Party Name" dataDxfId="116" dataCellStyle="Comma"/>
    <tableColumn id="3" xr3:uid="{5B3ECD85-9174-40AC-BFBD-49CAC97A83D3}" name="Bill Number" dataDxfId="115" dataCellStyle="Comma"/>
    <tableColumn id="4" xr3:uid="{11B50761-04B6-4262-AD4D-7182450037D1}" name="Quality" dataDxfId="114" dataCellStyle="Comma"/>
    <tableColumn id="5" xr3:uid="{2C556969-B713-4967-BD24-466AACCBE5F5}" name="Shipment Number" dataDxfId="113" totalsRowDxfId="13" dataCellStyle="Comma"/>
    <tableColumn id="6" xr3:uid="{F4E1FD2B-9017-4DEB-B772-BF447ECE56F7}" name="Kora/metre" dataDxfId="112" totalsRowDxfId="12" dataCellStyle="Comma"/>
    <tableColumn id="7" xr3:uid="{52ACC1DA-7A76-4A90-B809-3A1AE728E7EA}" name="Tiyaar/gaz" dataDxfId="111" totalsRowDxfId="11" dataCellStyle="Comma"/>
    <tableColumn id="8" xr3:uid="{31A0FF5E-56F0-44D1-9865-73256B964660}" name="shortage %" dataDxfId="110" totalsRowDxfId="10" dataCellStyle="Comma">
      <calculatedColumnFormula>_xlfn.XLOOKUP(Table1[[#This Row],[Shipment Number]], 'pivot '!A:A,'pivot '!G:G, "NF")</calculatedColumnFormula>
    </tableColumn>
    <tableColumn id="9" xr3:uid="{F99075E0-AC8E-094D-BB85-272AD2C6C568}" name="tiyar/meters" totalsRowFunction="custom" dataDxfId="109" totalsRowDxfId="9"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108" totalsRowDxfId="8"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107" totalsRowDxfId="7"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3" totalsRowCount="1" headerRowDxfId="104" headerRowBorderDxfId="103" tableBorderDxfId="102">
  <autoFilter ref="A1:I32" xr:uid="{F8E8C957-ABE7-4E4F-8D4E-7D44E26B334F}"/>
  <tableColumns count="9">
    <tableColumn id="1" xr3:uid="{C2E817D6-AB98-4DDD-8890-736B27F261CD}" name="Date" dataDxfId="101" totalsRowDxfId="6"/>
    <tableColumn id="2" xr3:uid="{CFB51890-CCDC-463C-81C9-3F8BD7469CB9}" name="Party Name"/>
    <tableColumn id="3" xr3:uid="{A113D971-1C9D-4733-99C4-BD0CC4333209}" name="Vehicle Number"/>
    <tableColumn id="4" xr3:uid="{49780304-3DD1-4AE9-98EE-2BC7EB8F3B57}" name="Weight" dataDxfId="100" totalsRowDxfId="5" dataCellStyle="Comma"/>
    <tableColumn id="5" xr3:uid="{FCAF1BC6-1D8C-42AD-8BBC-F924BF2DC7FE}" name="Rate" dataDxfId="99" totalsRowDxfId="4" dataCellStyle="Comma"/>
    <tableColumn id="6" xr3:uid="{8C70A624-4134-410C-9C45-9FDEB51D51BF}" name="Rent" dataDxfId="98" totalsRowDxfId="3" dataCellStyle="Comma"/>
    <tableColumn id="7" xr3:uid="{EBCE10AE-9634-4982-9C95-37ABC8A7078C}" name="Total" totalsRowFunction="sum" dataDxfId="97" totalsRowDxfId="2" dataCellStyle="Comma">
      <calculatedColumnFormula>D2*E2</calculatedColumnFormula>
    </tableColumn>
    <tableColumn id="9" xr3:uid="{D4788559-C94A-44D9-B9AE-E72B214355AC}" name="Paid" totalsRowFunction="sum" dataDxfId="96" totalsRowDxfId="1" dataCellStyle="Comma"/>
    <tableColumn id="8" xr3:uid="{E26F5BF0-1875-4FC6-994D-49F202ED562B}" name="balance" totalsRowFunction="sum" dataDxfId="95"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93" totalsRowCount="1">
  <autoFilter ref="A1:G192" xr:uid="{CB032221-B416-47A8-9A76-693DE76CFD04}"/>
  <tableColumns count="7">
    <tableColumn id="1" xr3:uid="{554B1EED-65B6-4E9A-B646-82727FAC40DE}" name="Date" dataDxfId="93" totalsRowDxfId="34"/>
    <tableColumn id="2" xr3:uid="{32259059-42CF-4947-83DE-115AA430BE2B}" name="Party"/>
    <tableColumn id="3" xr3:uid="{A1320223-D55D-483C-91C3-AB19B95CC9D8}" name="Debit" totalsRowFunction="sum" dataDxfId="92" totalsRowDxfId="33" dataCellStyle="Comma"/>
    <tableColumn id="4" xr3:uid="{E9745767-9FF0-4B1C-9052-FF335D1D7588}" name="Credit" totalsRowFunction="sum" dataDxfId="91" totalsRowDxfId="32" dataCellStyle="Comma"/>
    <tableColumn id="5" xr3:uid="{5C88A48E-2467-4E6D-B626-2442B7FD0BE4}" name="Description"/>
    <tableColumn id="6" xr3:uid="{63CA4666-144E-4BE6-8B7C-7CB992BD3041}" name="Mode" totalsRowFunction="custom" dataDxfId="90" totalsRowDxfId="3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9" tableBorderDxfId="88" totalsRowBorderDxfId="87">
  <autoFilter ref="J3:K6" xr:uid="{DCE01694-23ED-48BF-8B92-4186B9ED10A8}"/>
  <tableColumns count="2">
    <tableColumn id="1" xr3:uid="{C8484DAF-2989-4C2F-9AEC-A6917E1C57F6}" name="Type" dataDxfId="86"/>
    <tableColumn id="2" xr3:uid="{B07B7A2A-4D4E-4654-BED6-FE2F0A7BEC34}" name="Amount" dataDxfId="8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84" headerRowBorderDxfId="83" tableBorderDxfId="82" totalsRowBorderDxfId="81">
  <autoFilter ref="M3:O6" xr:uid="{D166BDD1-ACD7-45D7-8AE9-7350373F8CEB}"/>
  <tableColumns count="3">
    <tableColumn id="1" xr3:uid="{64F0205E-DEA7-4571-BA86-E4374A5FEE28}" name="Type" totalsRowLabel="Total" dataDxfId="80" totalsRowDxfId="79"/>
    <tableColumn id="2" xr3:uid="{15FA05F9-789C-4459-9BE0-5C1EC84D3365}" name="amount" totalsRowFunction="custom" dataDxfId="78" totalsRowDxfId="77">
      <totalsRowFormula>SUM(N5:N6)</totalsRowFormula>
    </tableColumn>
    <tableColumn id="3" xr3:uid="{3681D409-90C6-44D0-BDE2-4B5943A516F0}" name="Actual" totalsRowFunction="custom" totalsRowDxfId="76">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75" totalsRowDxfId="74"/>
    <tableColumn id="2" xr3:uid="{5B9D0FEE-4304-4C5C-A05C-5B27CF7841D3}" name="Type"/>
    <tableColumn id="3" xr3:uid="{6A91CA0D-C802-4C6F-9F39-CA53687E8EDE}" name="Description"/>
    <tableColumn id="4" xr3:uid="{A251D40C-AB87-4BB4-85F8-444B20E32FDF}" name="Total" totalsRowFunction="custom" dataDxfId="73" totalsRowDxfId="72"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71" headerRowBorderDxfId="70">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9"/>
    <tableColumn id="4" xr3:uid="{1889A312-9B41-4EC4-BD8F-05252F27084A}" name="Price" totalsRowFunction="sum"/>
    <tableColumn id="6" xr3:uid="{8B974B20-F003-4E67-8660-024FA4F324A9}" name="Party"/>
    <tableColumn id="7" xr3:uid="{0A5A5C21-FD61-47DA-9F54-66A6479FA557}" name="Paid" dataDxfId="68">
      <calculatedColumnFormula>SUMIFS(Table14[Debit], Table14[Date], Table8[[#This Row],[Date]], Table14[Party], Table8[[#This Row],[Party]])</calculatedColumnFormula>
    </tableColumn>
    <tableColumn id="8" xr3:uid="{8DCB3B43-2161-4081-82EC-CDB0F4DE4E6F}" name="Balance" totalsRowFunction="sum" dataDxfId="6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66" headerRowBorderDxfId="65">
  <autoFilter ref="A4:H9" xr:uid="{A4C80688-A8BA-4BA7-90B4-791CD99446B4}"/>
  <sortState xmlns:xlrd2="http://schemas.microsoft.com/office/spreadsheetml/2017/richdata2" ref="A5:H6">
    <sortCondition ref="A4:A6"/>
  </sortState>
  <tableColumns count="8">
    <tableColumn id="1" xr3:uid="{4A818912-918E-4111-ACFC-BC93FEF7C1AD}" name="Date" dataDxfId="64" totalsRowDxfId="63"/>
    <tableColumn id="8" xr3:uid="{477ACFD5-62AF-4F69-974B-E9B974C11D7D}" name="Party Name" dataDxfId="6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61">
      <calculatedColumnFormula>Table2[[#This Row],[Quantity]]*200*Table2[[#This Row],[Boxes]]</calculatedColumnFormula>
    </tableColumn>
    <tableColumn id="6" xr3:uid="{30432929-CBD4-4BA8-B63F-CD0F6CF6405F}" name="Paid" totalsRowFunction="sum" dataDxfId="60">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59">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8" totalsRowDxfId="57"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56" totalsRowDxfId="55"/>
    <tableColumn id="2" xr3:uid="{053BFC14-4828-417C-9F9F-95B6E232A945}" name="Amount" totalsRowFunction="custom" dataDxfId="54" totalsRowDxfId="53"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52" totalsRowDxfId="51"/>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41" totalsRowDxfId="40"/>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9" totalsRowDxfId="38"/>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37">
      <calculatedColumnFormula>Billing!Q5</calculatedColumnFormula>
    </tableColumn>
    <tableColumn id="2" xr3:uid="{7093A59E-B58F-487D-888A-9AA8156B5F9A}" name="Amount Paid" dataDxfId="36">
      <calculatedColumnFormula>Billing!AA5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Billing!Q5</calculatedColumnFormula>
    </tableColumn>
    <tableColumn id="2" xr3:uid="{F72CFEEB-BA11-4A49-BD19-88592EB6A27C}" name="Credit" dataDxfId="35"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AD102"/>
  <sheetViews>
    <sheetView topLeftCell="B74" zoomScale="127" workbookViewId="0">
      <selection activeCell="I83" sqref="I8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10" width="12.33203125" customWidth="1"/>
    <col min="11" max="11" width="15.21875" bestFit="1" customWidth="1"/>
    <col min="12" max="12" width="12" bestFit="1" customWidth="1"/>
    <col min="13" max="13" width="11.109375" bestFit="1" customWidth="1"/>
    <col min="14" max="15" width="16.21875" customWidth="1"/>
    <col min="16" max="16" width="11.44140625" customWidth="1"/>
    <col min="17" max="17" width="16.21875" customWidth="1"/>
    <col min="18" max="18" width="19.109375" customWidth="1"/>
    <col min="19" max="19" width="11.109375" customWidth="1"/>
    <col min="20" max="20" width="13.88671875" customWidth="1"/>
    <col min="21" max="21" width="14.88671875" customWidth="1"/>
    <col min="22" max="22" width="13" customWidth="1"/>
    <col min="23" max="23" width="15.5546875" customWidth="1"/>
    <col min="24" max="24" width="15.21875" bestFit="1" customWidth="1"/>
    <col min="25" max="25" width="12" bestFit="1" customWidth="1"/>
    <col min="26" max="26" width="11.109375" bestFit="1" customWidth="1"/>
    <col min="27" max="27" width="15.77734375" customWidth="1"/>
    <col min="28" max="28" width="10.88671875" customWidth="1"/>
    <col min="30" max="30" width="15.88671875" customWidth="1"/>
    <col min="33" max="33" width="12.109375" customWidth="1"/>
    <col min="34" max="34" width="11.44140625" customWidth="1"/>
  </cols>
  <sheetData>
    <row r="1" spans="2:30" ht="28.8" x14ac:dyDescent="0.55000000000000004">
      <c r="B1" t="s">
        <v>2</v>
      </c>
      <c r="C1" t="s">
        <v>3</v>
      </c>
      <c r="D1" t="s">
        <v>4</v>
      </c>
      <c r="E1" t="s">
        <v>5</v>
      </c>
      <c r="G1" s="9" t="s">
        <v>0</v>
      </c>
    </row>
    <row r="2" spans="2:30" x14ac:dyDescent="0.3">
      <c r="B2" t="str">
        <f t="shared" ref="B2:B18" si="0">B49</f>
        <v>BSC</v>
      </c>
      <c r="C2" s="18">
        <f>SUMIFS(ledger!G:G, ledger!B:B, B2, ledger!E:E, "&lt;&gt;*RD*") / 1.0936</f>
        <v>200908.9246525238</v>
      </c>
      <c r="D2">
        <v>10</v>
      </c>
      <c r="E2" s="14">
        <f>(SUMIFS(ledger!G:G, ledger!B:B, B2, ledger!E:E, "&lt;&gt;*RD*",ledger!D:D, "Silky") / 1.0936)*12 + (SUMIFS(ledger!G:G, ledger!B:B, B2, ledger!E:E, "&lt;&gt;*RD*",ledger!D:D, "Chamki") / 1.0936)*10</f>
        <v>2125424.2867593272</v>
      </c>
      <c r="Q2" t="s">
        <v>1</v>
      </c>
    </row>
    <row r="3" spans="2:30"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row>
    <row r="4" spans="2:30" x14ac:dyDescent="0.3">
      <c r="B4" t="str">
        <f t="shared" si="0"/>
        <v>Arshad</v>
      </c>
      <c r="C4" s="18">
        <f>SUMIFS(ledger!G:G, ledger!B:B, B4, ledger!E:E, "&lt;&gt;*RD*") / 1.0936</f>
        <v>118173.00658376007</v>
      </c>
      <c r="D4">
        <v>10</v>
      </c>
      <c r="E4" s="14">
        <f>(SUMIFS(ledger!G:G, ledger!B:B, B4, ledger!E:E, "&lt;&gt;*RD*",ledger!D:D, "Silky") / 1.0936)*12 + (SUMIFS(ledger!G:G, ledger!B:B, B4, ledger!E:E, "&lt;&gt;*RD*",ledger!D:D, "Chamki") / 1.0936)*10</f>
        <v>1181730.0658376007</v>
      </c>
      <c r="Q4" s="22"/>
      <c r="R4" s="24" t="s">
        <v>10</v>
      </c>
      <c r="S4" s="24" t="s">
        <v>11</v>
      </c>
      <c r="T4" s="24" t="s">
        <v>12</v>
      </c>
      <c r="U4" s="24" t="s">
        <v>13</v>
      </c>
      <c r="V4" s="24" t="s">
        <v>14</v>
      </c>
      <c r="W4" s="24" t="s">
        <v>15</v>
      </c>
      <c r="X4" s="24" t="s">
        <v>315</v>
      </c>
      <c r="Y4" s="24" t="s">
        <v>316</v>
      </c>
      <c r="Z4" s="24" t="s">
        <v>16</v>
      </c>
      <c r="AA4" s="24" t="s">
        <v>17</v>
      </c>
      <c r="AB4" s="24" t="s">
        <v>18</v>
      </c>
      <c r="AC4" s="24" t="s">
        <v>19</v>
      </c>
      <c r="AD4" s="24" t="s">
        <v>20</v>
      </c>
    </row>
    <row r="5" spans="2:30"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Q5" s="25" t="str" cm="1">
        <f t="array" ref="Q5:Q23">_xlfn.UNIQUE(Table1[Party Name])</f>
        <v>BSC</v>
      </c>
      <c r="R5" s="23" cm="1">
        <f t="array" ref="R5">_xlfn.BYROW(B49,_xlfn.LAMBDA(_xlpm.party,SUMIFS(ledger!G:G,ledger!B:B,_xlpm.party,ledger!E:E,"&lt;&gt;*RD*")))+_xlfn.IFNA(C84,0)</f>
        <v>1885643</v>
      </c>
      <c r="S5" s="23" cm="1">
        <f t="array" ref="S5">_xlfn.BYROW(B49, _xlfn.LAMBDA(_xlpm.party, SUMIFS(ledger!G:G, ledger!B:B, _xlpm.party, ledger!E:E, "&lt;&gt;*RD*") / 1.0936 ))+_xlfn.IFNA(D84,0)</f>
        <v>1724252.9261155818</v>
      </c>
      <c r="T5" s="23" cm="1">
        <f t="array" ref="T5">(_xlfn.BYROW(B49,_xlfn.LAMBDA(_xlpm.party,SUMIFS(ledger!G:G,ledger!B:B,_xlpm.party,ledger!E:E,"&lt;&gt;*RD*",ledger!D:D,"Chamki")+SUMIFS(ledger!G:G, ledger!B:B, _xlpm.party, ledger!E:E, "&lt;&gt;*RD*", ledger!D:D, "Crinkle")))/1.0936)+_xlfn.IFNA(E84,0)</f>
        <v>1635897.0373079737</v>
      </c>
      <c r="U5" s="75" cm="1">
        <f t="array" ref="U5">(_xlfn.BYROW(B49,_xlfn.LAMBDA(_xlpm.party,SUMIFS(ledger!G:G,ledger!B:B,_xlpm.party,ledger!E:E,"&lt;&gt;*RD*",ledger!D:D,"Silky")))/1.0936)+_xlfn.IFNA(F84,0)</f>
        <v>88355.888807607902</v>
      </c>
      <c r="V5" s="23" cm="1">
        <f t="array" ref="V5">(_xlfn.BYROW(B49,_xlfn.LAMBDA(_xlpm.party,
(SUMIFS(ledger!J:J,ledger!B:B,_xlpm.party,ledger!E:E,"&lt;&gt;*RD*",ledger!D:D,"Chamki",ledger!C:C,"&lt;&gt;September Closing CF")+
SUMIFS(ledger!J:J,ledger!B:B,_xlpm.party,ledger!E:E,"&lt;&gt;*RD*",ledger!D:D,"Crinkle",ledger!C:C,"&lt;&gt;September Closing CF")
)+_xlfn.IFNA(G84,0))))</f>
        <v>16358970.37307974</v>
      </c>
      <c r="W5" s="75" cm="1">
        <f t="array" ref="W5">_xlfn.BYROW(B49, _xlfn.LAMBDA(_xlpm.party,
   SUMIFS(ledger!J:J, ledger!B:B, _xlpm.party, ledger!E:E, "&lt;&gt;*RD*", ledger!D:D, "Silky", ledger!C:C, "&lt;&gt;September Closing CF")
)) + _xlfn.IFNA(H84, 0)</f>
        <v>1060270.6656912947</v>
      </c>
      <c r="X5" s="75" cm="1">
        <f t="array" ref="X5">_xlfn.BYROW(B49, _xlfn.LAMBDA(_xlpm.party,
   SUMIFS(ledger!J:J, ledger!B:B, _xlpm.party, ledger!E:E, "&lt;&gt;*RD*", ledger!D:D, "Slub", ledger!C:C, "&lt;&gt;September Closing CF")
))</f>
        <v>0</v>
      </c>
      <c r="Y5" s="75"/>
      <c r="Z5" s="44">
        <f>V5+W5</f>
        <v>17419241.038771033</v>
      </c>
      <c r="AA5" s="23">
        <f>(SUMIF(Table14[Party],Q5,Table14[Credit]))+_xlfn.IFNA(L84,0)</f>
        <v>16815241</v>
      </c>
      <c r="AB5" s="38">
        <f>Z5-AA5</f>
        <v>604000.03877103329</v>
      </c>
      <c r="AC5" s="22">
        <v>10</v>
      </c>
      <c r="AD5" s="22">
        <v>12</v>
      </c>
    </row>
    <row r="6" spans="2:30"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Q6" s="25" t="str">
        <v>Ejaz Sahab</v>
      </c>
      <c r="R6" s="23" cm="1">
        <f t="array" ref="R6">_xlfn.BYROW(B50,_xlfn.LAMBDA(_xlpm.party,SUMIFS(ledger!G:G,ledger!B:B,_xlpm.party,ledger!E:E,"&lt;&gt;*RD*")))+_xlfn.IFNA(C85,0)</f>
        <v>207460</v>
      </c>
      <c r="S6" s="23" cm="1">
        <f t="array" ref="S6">_xlfn.BYROW(B50, _xlfn.LAMBDA(_xlpm.party, SUMIFS(ledger!G:G, ledger!B:B, _xlpm.party, ledger!E:E, "&lt;&gt;*RD*") / 1.0936 ))+_xlfn.IFNA(D85,0)</f>
        <v>189703.7307973665</v>
      </c>
      <c r="T6" s="23" cm="1">
        <f t="array" ref="T6">(_xlfn.BYROW(B50,_xlfn.LAMBDA(_xlpm.party,SUMIFS(ledger!G:G,ledger!B:B,_xlpm.party,ledger!E:E,"&lt;&gt;*RD*",ledger!D:D,"Chamki")+SUMIFS(ledger!G:G, ledger!B:B, _xlpm.party, ledger!E:E, "&lt;&gt;*RD*", ledger!D:D, "Crinkle")))/1.0936)+_xlfn.IFNA(E85,0)</f>
        <v>130559.6196049744</v>
      </c>
      <c r="U6" s="75" cm="1">
        <f t="array" ref="U6">(_xlfn.BYROW(B50,_xlfn.LAMBDA(_xlpm.party,SUMIFS(ledger!G:G,ledger!B:B,_xlpm.party,ledger!E:E,"&lt;&gt;*RD*",ledger!D:D,"Silky")))/1.0936)+_xlfn.IFNA(F85,0)</f>
        <v>59144.111192392105</v>
      </c>
      <c r="V6" s="23" cm="1">
        <f t="array" ref="V6">(_xlfn.BYROW(B50,_xlfn.LAMBDA(_xlpm.party,
(SUMIFS(ledger!J:J,ledger!B:B,_xlpm.party,ledger!E:E,"&lt;&gt;*RD*",ledger!D:D,"Chamki",ledger!C:C,"&lt;&gt;September Closing CF")+
SUMIFS(ledger!J:J,ledger!B:B,_xlpm.party,ledger!E:E,"&lt;&gt;*RD*",ledger!D:D,"Crinkle",ledger!C:C,"&lt;&gt;September Closing CF")
)+_xlfn.IFNA(G85,0))))</f>
        <v>1305596.196049744</v>
      </c>
      <c r="W6" s="23" cm="1">
        <f t="array" ref="W6">_xlfn.BYROW(B50, _xlfn.LAMBDA(_xlpm.party,
   SUMIFS(ledger!J:J, ledger!B:B, _xlpm.party, ledger!E:E, "&lt;&gt;*RD*", ledger!D:D, "Silky", ledger!C:C, "&lt;&gt;September Closing CF")
)) + _xlfn.IFNA(H85, 0)</f>
        <v>709729.33430870529</v>
      </c>
      <c r="X6" s="75" cm="1">
        <f t="array" ref="X6">_xlfn.BYROW(B50, _xlfn.LAMBDA(_xlpm.party,
   SUMIFS(ledger!J:J, ledger!B:B, _xlpm.party, ledger!E:E, "&lt;&gt;*RD*", ledger!D:D, "Slub", ledger!C:C, "&lt;&gt;September Closing CF")
))</f>
        <v>0</v>
      </c>
      <c r="Y6" s="23"/>
      <c r="Z6" s="44">
        <f t="shared" ref="Z6:Z12" si="1">V6+W6</f>
        <v>2015325.5303584493</v>
      </c>
      <c r="AA6" s="23">
        <f>(SUMIF(Table14[Party],Q6,Table14[Credit]))+_xlfn.IFNA(L85,0)</f>
        <v>859904</v>
      </c>
      <c r="AB6" s="38">
        <f>Z6-AA6</f>
        <v>1155421.5303584493</v>
      </c>
      <c r="AC6" s="22">
        <v>10</v>
      </c>
      <c r="AD6" s="22">
        <v>12</v>
      </c>
    </row>
    <row r="7" spans="2:30" x14ac:dyDescent="0.3">
      <c r="B7" t="str">
        <f t="shared" si="0"/>
        <v>Sajad Khan</v>
      </c>
      <c r="C7" s="18">
        <f>SUMIFS(ledger!G:G, ledger!B:B, B7, ledger!E:E, "&lt;&gt;*RD*") / 1.0936</f>
        <v>46940.380395025604</v>
      </c>
      <c r="D7">
        <v>10</v>
      </c>
      <c r="E7" s="14" cm="1">
        <f t="array" ref="E7">(SUMIFS(ledger!G:G, ledger!B:B, B7, ledger!E:E, "&lt;&gt;*RD*",ledger!D:D, "Silky") / 1.0936)*12 + (SUMIFS(ledger!G:G, ledger!B:B, B7, ledger!E:E, "&lt;&gt;*RD*",ledger!D:D, "Chamki") / 1.0936)*10 +(SUMIFS(ledger!G:G, ledger!B:B, party, ledger!E:E, "&lt;&gt;*RD*", ledger!D:D, "Crinkle")/ 1.0936)*10</f>
        <v>414511.70446232631</v>
      </c>
      <c r="Q7" s="25" t="str">
        <v>Arshad</v>
      </c>
      <c r="R7" s="23" cm="1">
        <f t="array" ref="R7">_xlfn.BYROW(B51,_xlfn.LAMBDA(_xlpm.party,SUMIFS(ledger!G:G,ledger!B:B,_xlpm.party,ledger!E:E,"&lt;&gt;*RD*")))+_xlfn.IFNA(C86,0)</f>
        <v>388982</v>
      </c>
      <c r="S7" s="23" cm="1">
        <f t="array" ref="S7">_xlfn.BYROW(B51, _xlfn.LAMBDA(_xlpm.party, SUMIFS(ledger!G:G, ledger!B:B, _xlpm.party, ledger!E:E, "&lt;&gt;*RD*") / 1.0936 ))+_xlfn.IFNA(D86,0)</f>
        <v>355689.46598390641</v>
      </c>
      <c r="T7" s="23" cm="1">
        <f t="array" ref="T7">(_xlfn.BYROW(B51,_xlfn.LAMBDA(_xlpm.party,SUMIFS(ledger!G:G,ledger!B:B,_xlpm.party,ledger!E:E,"&lt;&gt;*RD*",ledger!D:D,"Chamki")+SUMIFS(ledger!G:G, ledger!B:B, _xlpm.party, ledger!E:E, "&lt;&gt;*RD*", ledger!D:D, "Crinkle")))/1.0936)+_xlfn.IFNA(E86,0)</f>
        <v>340895.20848573523</v>
      </c>
      <c r="U7" s="75" cm="1">
        <f t="array" ref="U7">(_xlfn.BYROW(B51,_xlfn.LAMBDA(_xlpm.party,SUMIFS(ledger!G:G,ledger!B:B,_xlpm.party,ledger!E:E,"&lt;&gt;*RD*",ledger!D:D,"Silky")))/1.0936)+_xlfn.IFNA(F86,0)</f>
        <v>14794.257498171179</v>
      </c>
      <c r="V7" s="23" cm="1">
        <f t="array" ref="V7">(_xlfn.BYROW(B51,_xlfn.LAMBDA(_xlpm.party,
(SUMIFS(ledger!J:J,ledger!B:B,_xlpm.party,ledger!E:E,"&lt;&gt;*RD*",ledger!D:D,"Chamki",ledger!C:C,"&lt;&gt;September Closing CF")+
SUMIFS(ledger!J:J,ledger!B:B,_xlpm.party,ledger!E:E,"&lt;&gt;*RD*",ledger!D:D,"Crinkle",ledger!C:C,"&lt;&gt;September Closing CF")
)+_xlfn.IFNA(G86,0))))</f>
        <v>3408952.0848573521</v>
      </c>
      <c r="W7" s="23" cm="1">
        <f t="array" ref="W7">_xlfn.BYROW(B51, _xlfn.LAMBDA(_xlpm.party,
   SUMIFS(ledger!J:J, ledger!B:B, _xlpm.party, ledger!E:E, "&lt;&gt;*RD*", ledger!D:D, "Silky", ledger!C:C, "&lt;&gt;September Closing CF")
)) + _xlfn.IFNA(H86, 0)</f>
        <v>177531.08997805414</v>
      </c>
      <c r="X7" s="75" cm="1">
        <f t="array" ref="X7">_xlfn.BYROW(B51, _xlfn.LAMBDA(_xlpm.party,
   SUMIFS(ledger!J:J, ledger!B:B, _xlpm.party, ledger!E:E, "&lt;&gt;*RD*", ledger!D:D, "Slub", ledger!C:C, "&lt;&gt;September Closing CF")
))</f>
        <v>0</v>
      </c>
      <c r="Y7" s="23"/>
      <c r="Z7" s="44">
        <f t="shared" si="1"/>
        <v>3586483.1748354062</v>
      </c>
      <c r="AA7" s="23">
        <f>(SUMIF(Table14[Party],Q7,Table14[Credit]))+_xlfn.IFNA(L86,0)</f>
        <v>3393935</v>
      </c>
      <c r="AB7" s="38">
        <f>Z7-AA7</f>
        <v>192548.17483540624</v>
      </c>
      <c r="AC7" s="22">
        <v>10</v>
      </c>
      <c r="AD7" s="22">
        <v>12</v>
      </c>
    </row>
    <row r="8" spans="2:30"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Q8" s="25" t="str">
        <v>Shehzad Kamoki</v>
      </c>
      <c r="R8" s="23" cm="1">
        <f t="array" ref="R8">_xlfn.BYROW(B52,_xlfn.LAMBDA(_xlpm.party,SUMIFS(ledger!G:G,ledger!B:B,_xlpm.party,ledger!E:E,"&lt;&gt;*RD*")))+_xlfn.IFNA(C87,0)</f>
        <v>134607</v>
      </c>
      <c r="S8" s="23" cm="1">
        <f t="array" ref="S8">_xlfn.BYROW(B52, _xlfn.LAMBDA(_xlpm.party, SUMIFS(ledger!G:G, ledger!B:B, _xlpm.party, ledger!E:E, "&lt;&gt;*RD*") / 1.0936 ))+_xlfn.IFNA(D87,0)</f>
        <v>123086.13752743235</v>
      </c>
      <c r="T8" s="23" cm="1">
        <f t="array" ref="T8">(_xlfn.BYROW(B52,_xlfn.LAMBDA(_xlpm.party,SUMIFS(ledger!G:G,ledger!B:B,_xlpm.party,ledger!E:E,"&lt;&gt;*RD*",ledger!D:D,"Chamki")+SUMIFS(ledger!G:G, ledger!B:B, _xlpm.party, ledger!E:E, "&lt;&gt;*RD*", ledger!D:D, "Crinkle")))/1.0936)+_xlfn.IFNA(E87,0)</f>
        <v>123086.13752743235</v>
      </c>
      <c r="U8" s="75" cm="1">
        <f t="array" ref="U8">(_xlfn.BYROW(B52,_xlfn.LAMBDA(_xlpm.party,SUMIFS(ledger!G:G,ledger!B:B,_xlpm.party,ledger!E:E,"&lt;&gt;*RD*",ledger!D:D,"Silky")))/1.0936)+_xlfn.IFNA(F87,0)</f>
        <v>0</v>
      </c>
      <c r="V8" s="23" cm="1">
        <f t="array" ref="V8">(_xlfn.BYROW(B52,_xlfn.LAMBDA(_xlpm.party,
(SUMIFS(ledger!J:J,ledger!B:B,_xlpm.party,ledger!E:E,"&lt;&gt;*RD*",ledger!D:D,"Chamki",ledger!C:C,"&lt;&gt;September Closing CF")+
SUMIFS(ledger!J:J,ledger!B:B,_xlpm.party,ledger!E:E,"&lt;&gt;*RD*",ledger!D:D,"Crinkle",ledger!C:C,"&lt;&gt;September Closing CF")
)+_xlfn.IFNA(G87,0))))</f>
        <v>1269270.3440380397</v>
      </c>
      <c r="W8" s="23" cm="1">
        <f t="array" ref="W8">_xlfn.BYROW(B52, _xlfn.LAMBDA(_xlpm.party,
   SUMIFS(ledger!J:J, ledger!B:B, _xlpm.party, ledger!E:E, "&lt;&gt;*RD*", ledger!D:D, "Silky", ledger!C:C, "&lt;&gt;September Closing CF")
)) + _xlfn.IFNA(H87, 0)</f>
        <v>0</v>
      </c>
      <c r="X8" s="75" cm="1">
        <f t="array" ref="X8">_xlfn.BYROW(B52, _xlfn.LAMBDA(_xlpm.party,
   SUMIFS(ledger!J:J, ledger!B:B, _xlpm.party, ledger!E:E, "&lt;&gt;*RD*", ledger!D:D, "Slub", ledger!C:C, "&lt;&gt;September Closing CF")
))</f>
        <v>0</v>
      </c>
      <c r="Y8" s="23"/>
      <c r="Z8" s="44">
        <f t="shared" si="1"/>
        <v>1269270.3440380397</v>
      </c>
      <c r="AA8" s="23">
        <f>(SUMIF(Table14[Party],Q8,Table14[Credit]))+_xlfn.IFNA(L87,0)</f>
        <v>1268740</v>
      </c>
      <c r="AB8" s="38">
        <f>Z8-AA8</f>
        <v>530.34403803967871</v>
      </c>
      <c r="AC8" s="22">
        <v>10.5</v>
      </c>
      <c r="AD8" s="22">
        <v>13</v>
      </c>
    </row>
    <row r="9" spans="2:30"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Q9" s="25" t="str">
        <v>Sufi Nawaz Sahab</v>
      </c>
      <c r="R9" s="23" cm="1">
        <f t="array" ref="R9">_xlfn.BYROW(B53,_xlfn.LAMBDA(_xlpm.party,SUMIFS(ledger!G:G,ledger!B:B,_xlpm.party,ledger!E:E,"&lt;&gt;*RD*")))+_xlfn.IFNA(C88,0)</f>
        <v>1186725</v>
      </c>
      <c r="S9" s="23" cm="1">
        <f t="array" ref="S9">_xlfn.BYROW(B53, _xlfn.LAMBDA(_xlpm.party, SUMIFS(ledger!G:G, ledger!B:B, _xlpm.party, ledger!E:E, "&lt;&gt;*RD*") / 1.0936 ))+_xlfn.IFNA(D88,0)</f>
        <v>1085154.5354791514</v>
      </c>
      <c r="T9" s="23" cm="1">
        <f t="array" ref="T9">(_xlfn.BYROW(B53,_xlfn.LAMBDA(_xlpm.party,SUMIFS(ledger!G:G,ledger!B:B,_xlpm.party,ledger!E:E,"&lt;&gt;*RD*",ledger!D:D,"Chamki")+SUMIFS(ledger!G:G, ledger!B:B, _xlpm.party, ledger!E:E, "&lt;&gt;*RD*", ledger!D:D, "Crinkle")))/1.0936)+_xlfn.IFNA(E88,0)</f>
        <v>599330.65106071695</v>
      </c>
      <c r="U9" s="75" cm="1">
        <f t="array" ref="U9">(_xlfn.BYROW(B53,_xlfn.LAMBDA(_xlpm.party,SUMIFS(ledger!G:G,ledger!B:B,_xlpm.party,ledger!E:E,"&lt;&gt;*RD*",ledger!D:D,"Silky")))/1.0936)+_xlfn.IFNA(F88,0)</f>
        <v>485823.88441843458</v>
      </c>
      <c r="V9" s="23" cm="1">
        <f t="array" ref="V9">(_xlfn.BYROW(B53,_xlfn.LAMBDA(_xlpm.party,
(SUMIFS(ledger!J:J,ledger!B:B,_xlpm.party,ledger!E:E,"&lt;&gt;*RD*",ledger!D:D,"Chamki",ledger!C:C,"&lt;&gt;September Closing CF")+
SUMIFS(ledger!J:J,ledger!B:B,_xlpm.party,ledger!E:E,"&lt;&gt;*RD*",ledger!D:D,"Crinkle",ledger!C:C,"&lt;&gt;September Closing CF")
)+_xlfn.IFNA(G88,0))))</f>
        <v>5408917.8595464528</v>
      </c>
      <c r="W9" s="23" cm="1">
        <f t="array" ref="W9">_xlfn.BYROW(B53, _xlfn.LAMBDA(_xlpm.party,
   SUMIFS(ledger!J:J, ledger!B:B, _xlpm.party, ledger!E:E, "&lt;&gt;*RD*", ledger!D:D, "Silky", ledger!C:C, "&lt;&gt;September Closing CF")
)) + _xlfn.IFNA(H88, 0)</f>
        <v>5829886.6130212145</v>
      </c>
      <c r="X9" s="75" cm="1">
        <f t="array" ref="X9">_xlfn.BYROW(B53, _xlfn.LAMBDA(_xlpm.party,
   SUMIFS(ledger!J:J, ledger!B:B, _xlpm.party, ledger!E:E, "&lt;&gt;*RD*", ledger!D:D, "Slub", ledger!C:C, "&lt;&gt;September Closing CF")
))</f>
        <v>0</v>
      </c>
      <c r="Y9" s="23"/>
      <c r="Z9" s="44">
        <f t="shared" si="1"/>
        <v>11238804.472567666</v>
      </c>
      <c r="AA9" s="23">
        <f>(SUMIF(Table14[Party],Q9,Table14[Credit]))+_xlfn.IFNA(L88,0)</f>
        <v>10129100</v>
      </c>
      <c r="AB9" s="38">
        <f t="shared" ref="AB9:AB17" si="2">Z9-AA9</f>
        <v>1109704.4725676663</v>
      </c>
      <c r="AC9" s="22">
        <v>10</v>
      </c>
      <c r="AD9" s="22">
        <v>12</v>
      </c>
    </row>
    <row r="10" spans="2:30" x14ac:dyDescent="0.3">
      <c r="B10" t="str">
        <f t="shared" si="0"/>
        <v>Ubaidullah</v>
      </c>
      <c r="C10" s="18">
        <f>SUMIFS(ledger!G:G, ledger!B:B, B10, ledger!E:E, "&lt;&gt;*RD*") / 1.0936</f>
        <v>1004.0234089246526</v>
      </c>
      <c r="D10">
        <v>10</v>
      </c>
      <c r="E10" s="14">
        <f>(SUMIFS(ledger!G:G, ledger!B:B, B10, ledger!E:E, "&lt;&gt;*RD*",ledger!D:D, "Silky") / 1.0936)*12 + (SUMIFS(ledger!G:G, ledger!B:B, B10, ledger!E:E, "&lt;&gt;*RD*",ledger!D:D, "Chamki") / 1.0936)*10</f>
        <v>10040.234089246525</v>
      </c>
      <c r="Q10" s="25" t="str">
        <v>Sajad Khan</v>
      </c>
      <c r="R10" s="23" cm="1">
        <f t="array" ref="R10">_xlfn.BYROW(B54,_xlfn.LAMBDA(_xlpm.party,SUMIFS(ledger!G:G,ledger!B:B,_xlpm.party,ledger!E:E,"&lt;&gt;*RD*")))+_xlfn.IFNA(C89,0)</f>
        <v>532994</v>
      </c>
      <c r="S10" s="23" cm="1">
        <f t="array" ref="S10">_xlfn.BYROW(B54, _xlfn.LAMBDA(_xlpm.party, SUMIFS(ledger!G:G, ledger!B:B, _xlpm.party, ledger!E:E, "&lt;&gt;*RD*") / 1.0936 ))+_xlfn.IFNA(D89,0)</f>
        <v>487375.64008778345</v>
      </c>
      <c r="T10" s="23" cm="1">
        <f t="array" ref="T10">(_xlfn.BYROW(B54,_xlfn.LAMBDA(_xlpm.party,SUMIFS(ledger!G:G,ledger!B:B,_xlpm.party,ledger!E:E,"&lt;&gt;*RD*",ledger!D:D,"Chamki")+SUMIFS(ledger!G:G, ledger!B:B, _xlpm.party, ledger!E:E, "&lt;&gt;*RD*", ledger!D:D, "Crinkle")))/1.0936)+_xlfn.IFNA(E89,0)</f>
        <v>481886.43013899052</v>
      </c>
      <c r="U10" s="75" cm="1">
        <f t="array" ref="U10">(_xlfn.BYROW(B54,_xlfn.LAMBDA(_xlpm.party,SUMIFS(ledger!G:G,ledger!B:B,_xlpm.party,ledger!E:E,"&lt;&gt;*RD*",ledger!D:D,"Silky")))/1.0936)+_xlfn.IFNA(F89,0)</f>
        <v>0</v>
      </c>
      <c r="V10" s="23" cm="1">
        <f t="array" ref="V10">(_xlfn.BYROW(B54,_xlfn.LAMBDA(_xlpm.party,
(SUMIFS(ledger!J:J,ledger!B:B,_xlpm.party,ledger!E:E,"&lt;&gt;*RD*",ledger!D:D,"Chamki",ledger!C:C,"&lt;&gt;September Closing CF")+
SUMIFS(ledger!J:J,ledger!B:B,_xlpm.party,ledger!E:E,"&lt;&gt;*RD*",ledger!D:D,"Crinkle",ledger!C:C,"&lt;&gt;September Closing CF")
)+_xlfn.IFNA(G89,0))))</f>
        <v>4818864.3013899047</v>
      </c>
      <c r="W10" s="23" cm="1">
        <f t="array" ref="W10">_xlfn.BYROW(B54, _xlfn.LAMBDA(_xlpm.party,
   SUMIFS(ledger!J:J, ledger!B:B, _xlpm.party, ledger!E:E, "&lt;&gt;*RD*", ledger!D:D, "Silky", ledger!C:C, "&lt;&gt;September Closing CF")
)) + _xlfn.IFNA(H89, 0)</f>
        <v>0</v>
      </c>
      <c r="X10" s="75" cm="1">
        <f t="array" ref="X10">_xlfn.BYROW(B54, _xlfn.LAMBDA(_xlpm.party,
   SUMIFS(ledger!J:J, ledger!B:B, _xlpm.party, ledger!E:E, "&lt;&gt;*RD*", ledger!D:D, "Slub", ledger!C:C, "&lt;&gt;September Closing CF")
))</f>
        <v>71359.729334308722</v>
      </c>
      <c r="Y10" s="23"/>
      <c r="Z10" s="44">
        <f t="shared" si="1"/>
        <v>4818864.3013899047</v>
      </c>
      <c r="AA10" s="23">
        <f>(SUMIF(Table14[Party],Q10,Table14[Credit]))+_xlfn.IFNA(L89,0)</f>
        <v>4817947</v>
      </c>
      <c r="AB10" s="38">
        <f t="shared" si="2"/>
        <v>917.30138990469277</v>
      </c>
      <c r="AC10" s="22">
        <v>10</v>
      </c>
      <c r="AD10" s="22">
        <v>12</v>
      </c>
    </row>
    <row r="11" spans="2:30"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Q11" s="25" t="str">
        <v>Raaz Fabrics</v>
      </c>
      <c r="R11" s="23" cm="1">
        <f t="array" ref="R11">_xlfn.BYROW(B55,_xlfn.LAMBDA(_xlpm.party,SUMIFS(ledger!G:G,ledger!B:B,_xlpm.party,ledger!E:E,"&lt;&gt;*RD*")))+_xlfn.IFNA(C90,0)</f>
        <v>75559</v>
      </c>
      <c r="S11" s="23" cm="1">
        <f t="array" ref="S11">_xlfn.BYROW(B55, _xlfn.LAMBDA(_xlpm.party, SUMIFS(ledger!G:G, ledger!B:B, _xlpm.party, ledger!E:E, "&lt;&gt;*RD*") / 1.0936 ))+_xlfn.IFNA(D90,0)</f>
        <v>69091.989758595475</v>
      </c>
      <c r="T11" s="23" cm="1">
        <f t="array" ref="T11">(_xlfn.BYROW(B55,_xlfn.LAMBDA(_xlpm.party,SUMIFS(ledger!G:G,ledger!B:B,_xlpm.party,ledger!E:E,"&lt;&gt;*RD*",ledger!D:D,"Chamki")+SUMIFS(ledger!G:G, ledger!B:B, _xlpm.party, ledger!E:E, "&lt;&gt;*RD*", ledger!D:D, "Crinkle")))/1.0936)+_xlfn.IFNA(E90,0)</f>
        <v>69091.989758595475</v>
      </c>
      <c r="U11" s="75" cm="1">
        <f t="array" ref="U11">(_xlfn.BYROW(B55,_xlfn.LAMBDA(_xlpm.party,SUMIFS(ledger!G:G,ledger!B:B,_xlpm.party,ledger!E:E,"&lt;&gt;*RD*",ledger!D:D,"Silky")))/1.0936)+_xlfn.IFNA(F90,0)</f>
        <v>0</v>
      </c>
      <c r="V11" s="23" cm="1">
        <f t="array" ref="V11">(_xlfn.BYROW(B55,_xlfn.LAMBDA(_xlpm.party,
(SUMIFS(ledger!J:J,ledger!B:B,_xlpm.party,ledger!E:E,"&lt;&gt;*RD*",ledger!D:D,"Chamki",ledger!C:C,"&lt;&gt;September Closing CF")+
SUMIFS(ledger!J:J,ledger!B:B,_xlpm.party,ledger!E:E,"&lt;&gt;*RD*",ledger!D:D,"Crinkle",ledger!C:C,"&lt;&gt;September Closing CF")
)+_xlfn.IFNA(G90,0))))</f>
        <v>690919.89758595475</v>
      </c>
      <c r="W11" s="23" cm="1">
        <f t="array" ref="W11">_xlfn.BYROW(B55, _xlfn.LAMBDA(_xlpm.party,
   SUMIFS(ledger!J:J, ledger!B:B, _xlpm.party, ledger!E:E, "&lt;&gt;*RD*", ledger!D:D, "Silky", ledger!C:C, "&lt;&gt;September Closing CF")
)) + _xlfn.IFNA(H90, 0)</f>
        <v>0</v>
      </c>
      <c r="X11" s="75" cm="1">
        <f t="array" ref="X11">_xlfn.BYROW(B55, _xlfn.LAMBDA(_xlpm.party,
   SUMIFS(ledger!J:J, ledger!B:B, _xlpm.party, ledger!E:E, "&lt;&gt;*RD*", ledger!D:D, "Slub", ledger!C:C, "&lt;&gt;September Closing CF")
))</f>
        <v>0</v>
      </c>
      <c r="Y11" s="23"/>
      <c r="Z11" s="44">
        <f t="shared" si="1"/>
        <v>690919.89758595475</v>
      </c>
      <c r="AA11" s="23">
        <f>(SUMIF(Table14[Party],Q11,Table14[Credit]))+_xlfn.IFNA(L90,0)</f>
        <v>600000</v>
      </c>
      <c r="AB11" s="38">
        <f t="shared" si="2"/>
        <v>90919.89758595475</v>
      </c>
      <c r="AC11" s="22">
        <v>10</v>
      </c>
      <c r="AD11" s="22">
        <v>12</v>
      </c>
    </row>
    <row r="12" spans="2:30" x14ac:dyDescent="0.3">
      <c r="B12" t="str">
        <f t="shared" si="0"/>
        <v>Hafiz Qureshi</v>
      </c>
      <c r="C12" s="18">
        <f>SUMIFS(ledger!G:G, ledger!B:B, B12, ledger!E:E, "&lt;&gt;*RD*") / 1.0936</f>
        <v>49517.190929041702</v>
      </c>
      <c r="E12" s="14">
        <f>(SUMIFS(ledger!G:G, ledger!B:B, B12, ledger!E:E, "&lt;&gt;*RD*",ledger!D:D, "Silky") / 1.0936)*12 + (SUMIFS(ledger!G:G, ledger!B:B, B12, ledger!E:E, "&lt;&gt;*RD*",ledger!D:D, "Chamki") / 1.0936)*10</f>
        <v>495171.90929041704</v>
      </c>
      <c r="O12" s="33"/>
      <c r="P12" s="33"/>
      <c r="Q12" s="25" t="str">
        <v>Azam</v>
      </c>
      <c r="R12" s="23" cm="1">
        <f t="array" ref="R12">_xlfn.BYROW(B56,_xlfn.LAMBDA(_xlpm.party,SUMIFS(ledger!G:G,ledger!B:B,_xlpm.party,ledger!E:E,"&lt;&gt;*RD*")))+_xlfn.IFNA(C91,0)</f>
        <v>176954</v>
      </c>
      <c r="S12" s="23" cm="1">
        <f t="array" ref="S12">_xlfn.BYROW(B56, _xlfn.LAMBDA(_xlpm.party, SUMIFS(ledger!G:G, ledger!B:B, _xlpm.party, ledger!E:E, "&lt;&gt;*RD*") / 1.0936 ))+_xlfn.IFNA(D91,0)</f>
        <v>161808.70519385519</v>
      </c>
      <c r="T12" s="23" cm="1">
        <f t="array" ref="T12">(_xlfn.BYROW(B56,_xlfn.LAMBDA(_xlpm.party,SUMIFS(ledger!G:G,ledger!B:B,_xlpm.party,ledger!E:E,"&lt;&gt;*RD*",ledger!D:D,"Chamki")+SUMIFS(ledger!G:G, ledger!B:B, _xlpm.party, ledger!E:E, "&lt;&gt;*RD*", ledger!D:D, "Crinkle")))/1.0936)+_xlfn.IFNA(E91,0)</f>
        <v>161808.70519385519</v>
      </c>
      <c r="U12" s="75" cm="1">
        <f t="array" ref="U12">(_xlfn.BYROW(B56,_xlfn.LAMBDA(_xlpm.party,SUMIFS(ledger!G:G,ledger!B:B,_xlpm.party,ledger!E:E,"&lt;&gt;*RD*",ledger!D:D,"Silky")))/1.0936)+_xlfn.IFNA(F91,0)</f>
        <v>0</v>
      </c>
      <c r="V12" s="23" cm="1">
        <f t="array" ref="V12">(_xlfn.BYROW(B56,_xlfn.LAMBDA(_xlpm.party,
(SUMIFS(ledger!J:J,ledger!B:B,_xlpm.party,ledger!E:E,"&lt;&gt;*RD*",ledger!D:D,"Chamki",ledger!C:C,"&lt;&gt;September Closing CF")+
SUMIFS(ledger!J:J,ledger!B:B,_xlpm.party,ledger!E:E,"&lt;&gt;*RD*",ledger!D:D,"Crinkle",ledger!C:C,"&lt;&gt;September Closing CF")
)+_xlfn.IFNA(G91,0))))</f>
        <v>1618087.0519385519</v>
      </c>
      <c r="W12" s="23" cm="1">
        <f t="array" ref="W12">_xlfn.BYROW(B56, _xlfn.LAMBDA(_xlpm.party,
   SUMIFS(ledger!J:J, ledger!B:B, _xlpm.party, ledger!E:E, "&lt;&gt;*RD*", ledger!D:D, "Silky", ledger!C:C, "&lt;&gt;September Closing CF")
)) + _xlfn.IFNA(H91, 0)</f>
        <v>0</v>
      </c>
      <c r="X12" s="75" cm="1">
        <f t="array" ref="X12">_xlfn.BYROW(B56, _xlfn.LAMBDA(_xlpm.party,
   SUMIFS(ledger!J:J, ledger!B:B, _xlpm.party, ledger!E:E, "&lt;&gt;*RD*", ledger!D:D, "Slub", ledger!C:C, "&lt;&gt;September Closing CF")
))</f>
        <v>0</v>
      </c>
      <c r="Y12" s="23"/>
      <c r="Z12" s="44">
        <f t="shared" si="1"/>
        <v>1618087.0519385519</v>
      </c>
      <c r="AA12" s="23">
        <f>(SUMIF(Table14[Party],Q12,Table14[Credit]))+_xlfn.IFNA(L91,0)</f>
        <v>1617620</v>
      </c>
      <c r="AB12" s="38">
        <f t="shared" si="2"/>
        <v>467.05193855194375</v>
      </c>
      <c r="AC12" s="22">
        <v>10</v>
      </c>
      <c r="AD12" s="22">
        <v>12</v>
      </c>
    </row>
    <row r="13" spans="2:30" x14ac:dyDescent="0.3">
      <c r="B13" t="str">
        <f t="shared" si="0"/>
        <v>Badshah Fabrics</v>
      </c>
      <c r="C13" s="18">
        <f>SUMIFS(ledger!G:G, ledger!B:B, B13, ledger!E:E, "&lt;&gt;*RD*") / 1.0936</f>
        <v>69038.953913679594</v>
      </c>
      <c r="E13" s="14">
        <f>(SUMIFS(ledger!G:G, ledger!B:B, B13, ledger!E:E, "&lt;&gt;*RD*",ledger!D:D, "Silky") / 1.0936)*12 + (SUMIFS(ledger!G:G, ledger!B:B, B13, ledger!E:E, "&lt;&gt;*RD*",ledger!D:D, "Chamki") / 1.0936)*10</f>
        <v>690389.53913679591</v>
      </c>
      <c r="Q13" s="25" t="str">
        <v>Ubaidullah</v>
      </c>
      <c r="R13" s="23" cm="1">
        <f t="array" ref="R13">_xlfn.BYROW(B57,_xlfn.LAMBDA(_xlpm.party,SUMIFS(ledger!G:G,ledger!B:B,_xlpm.party,ledger!E:E,"&lt;&gt;*RD*")))+_xlfn.IFNA(C92,0)</f>
        <v>66850</v>
      </c>
      <c r="S13" s="23" cm="1">
        <f t="array" ref="S13">_xlfn.BYROW(B57, _xlfn.LAMBDA(_xlpm.party, SUMIFS(ledger!G:G, ledger!B:B, _xlpm.party, ledger!E:E, "&lt;&gt;*RD*") / 1.0936 ))+_xlfn.IFNA(D92,0)</f>
        <v>61128.383321141191</v>
      </c>
      <c r="T13" s="23" cm="1">
        <f t="array" ref="T13">(_xlfn.BYROW(B57,_xlfn.LAMBDA(_xlpm.party,SUMIFS(ledger!G:G,ledger!B:B,_xlpm.party,ledger!E:E,"&lt;&gt;*RD*",ledger!D:D,"Chamki")+SUMIFS(ledger!G:G, ledger!B:B, _xlpm.party, ledger!E:E, "&lt;&gt;*RD*", ledger!D:D, "Crinkle")))/1.0936)+_xlfn.IFNA(E92,0)</f>
        <v>46132.955376737387</v>
      </c>
      <c r="U13" s="75" cm="1">
        <f t="array" ref="U13">(_xlfn.BYROW(B57,_xlfn.LAMBDA(_xlpm.party,SUMIFS(ledger!G:G,ledger!B:B,_xlpm.party,ledger!E:E,"&lt;&gt;*RD*",ledger!D:D,"Silky")))/1.0936)+_xlfn.IFNA(F92,0)</f>
        <v>14995.427944403806</v>
      </c>
      <c r="V13" s="23" cm="1">
        <f t="array" ref="V13">(_xlfn.BYROW(B57,_xlfn.LAMBDA(_xlpm.party,
(SUMIFS(ledger!J:J,ledger!B:B,_xlpm.party,ledger!E:E,"&lt;&gt;*RD*",ledger!D:D,"Chamki",ledger!C:C,"&lt;&gt;September Closing CF")+
SUMIFS(ledger!J:J,ledger!B:B,_xlpm.party,ledger!E:E,"&lt;&gt;*RD*",ledger!D:D,"Crinkle",ledger!C:C,"&lt;&gt;September Closing CF")
)+_xlfn.IFNA(G92,0))))</f>
        <v>461329.5537673739</v>
      </c>
      <c r="W13" s="23" cm="1">
        <f t="array" ref="W13">_xlfn.BYROW(B57, _xlfn.LAMBDA(_xlpm.party,
   SUMIFS(ledger!J:J, ledger!B:B, _xlpm.party, ledger!E:E, "&lt;&gt;*RD*", ledger!D:D, "Silky", ledger!C:C, "&lt;&gt;September Closing CF")
)) + _xlfn.IFNA(H92, 0)</f>
        <v>179945.13533284568</v>
      </c>
      <c r="X13" s="75" cm="1">
        <f t="array" ref="X13">_xlfn.BYROW(B57, _xlfn.LAMBDA(_xlpm.party,
   SUMIFS(ledger!J:J, ledger!B:B, _xlpm.party, ledger!E:E, "&lt;&gt;*RD*", ledger!D:D, "Slub", ledger!C:C, "&lt;&gt;September Closing CF")
))</f>
        <v>0</v>
      </c>
      <c r="Y13" s="23"/>
      <c r="Z13" s="44">
        <f t="shared" ref="Z13:Z17" si="3">V13+W13</f>
        <v>641274.68910021964</v>
      </c>
      <c r="AA13" s="23">
        <f>(SUMIF(Table14[Party],Q13,Table14[Credit]))+_xlfn.IFNA(L92,0)</f>
        <v>630150</v>
      </c>
      <c r="AB13" s="38">
        <f t="shared" si="2"/>
        <v>11124.689100219635</v>
      </c>
      <c r="AC13" s="22">
        <v>10</v>
      </c>
      <c r="AD13" s="22">
        <v>12</v>
      </c>
    </row>
    <row r="14" spans="2:30"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Q14" s="25" t="str">
        <v>Ashraf Zia</v>
      </c>
      <c r="R14" s="23" cm="1">
        <f t="array" ref="R14">_xlfn.BYROW(B58,_xlfn.LAMBDA(_xlpm.party,SUMIFS(ledger!G:G,ledger!B:B,_xlpm.party,ledger!E:E,"&lt;&gt;*RD*")))+_xlfn.IFNA(C93,0)</f>
        <v>23305</v>
      </c>
      <c r="S14" s="23" cm="1">
        <f t="array" ref="S14">_xlfn.BYROW(B58, _xlfn.LAMBDA(_xlpm.party, SUMIFS(ledger!G:G, ledger!B:B, _xlpm.party, ledger!E:E, "&lt;&gt;*RD*") / 1.0936 ))+_xlfn.IFNA(D93,0)</f>
        <v>21310.35113386979</v>
      </c>
      <c r="T14" s="23" cm="1">
        <f t="array" ref="T14">(_xlfn.BYROW(B58,_xlfn.LAMBDA(_xlpm.party,SUMIFS(ledger!G:G,ledger!B:B,_xlpm.party,ledger!E:E,"&lt;&gt;*RD*",ledger!D:D,"Chamki")+SUMIFS(ledger!G:G, ledger!B:B, _xlpm.party, ledger!E:E, "&lt;&gt;*RD*", ledger!D:D, "Crinkle")))/1.0936)+_xlfn.IFNA(E93,0)</f>
        <v>21310.35113386979</v>
      </c>
      <c r="U14" s="75" cm="1">
        <f t="array" ref="U14">(_xlfn.BYROW(B58,_xlfn.LAMBDA(_xlpm.party,SUMIFS(ledger!G:G,ledger!B:B,_xlpm.party,ledger!E:E,"&lt;&gt;*RD*",ledger!D:D,"Silky")))/1.0936)+_xlfn.IFNA(F93,0)</f>
        <v>0</v>
      </c>
      <c r="V14" s="23" cm="1">
        <f t="array" ref="V14">(_xlfn.BYROW(B58,_xlfn.LAMBDA(_xlpm.party,
(SUMIFS(ledger!J:J,ledger!B:B,_xlpm.party,ledger!E:E,"&lt;&gt;*RD*",ledger!D:D,"Chamki",ledger!C:C,"&lt;&gt;September Closing CF")+
SUMIFS(ledger!J:J,ledger!B:B,_xlpm.party,ledger!E:E,"&lt;&gt;*RD*",ledger!D:D,"Crinkle",ledger!C:C,"&lt;&gt;September Closing CF")
)+_xlfn.IFNA(G93,0))))</f>
        <v>255724.21360643749</v>
      </c>
      <c r="W14" s="23" cm="1">
        <f t="array" ref="W14">_xlfn.BYROW(B58, _xlfn.LAMBDA(_xlpm.party,
   SUMIFS(ledger!J:J, ledger!B:B, _xlpm.party, ledger!E:E, "&lt;&gt;*RD*", ledger!D:D, "Silky", ledger!C:C, "&lt;&gt;September Closing CF")
)) + _xlfn.IFNA(H93, 0)</f>
        <v>0</v>
      </c>
      <c r="X14" s="75" cm="1">
        <f t="array" ref="X14">_xlfn.BYROW(B58, _xlfn.LAMBDA(_xlpm.party,
   SUMIFS(ledger!J:J, ledger!B:B, _xlpm.party, ledger!E:E, "&lt;&gt;*RD*", ledger!D:D, "Slub", ledger!C:C, "&lt;&gt;September Closing CF")
))</f>
        <v>0</v>
      </c>
      <c r="Y14" s="23"/>
      <c r="Z14" s="44">
        <f t="shared" si="3"/>
        <v>255724.21360643749</v>
      </c>
      <c r="AA14" s="23">
        <f>(SUMIF(Table14[Party],Q14,Table14[Credit]))+_xlfn.IFNA(L93,0)</f>
        <v>0</v>
      </c>
      <c r="AB14" s="38">
        <f t="shared" si="2"/>
        <v>255724.21360643749</v>
      </c>
      <c r="AC14" s="22">
        <v>12</v>
      </c>
      <c r="AD14" s="22">
        <v>12</v>
      </c>
    </row>
    <row r="15" spans="2:30"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Q15" s="25" t="str">
        <v>Hafiz Qureshi</v>
      </c>
      <c r="R15" s="23" cm="1">
        <f t="array" ref="R15">_xlfn.BYROW(B59,_xlfn.LAMBDA(_xlpm.party,SUMIFS(ledger!G:G,ledger!B:B,_xlpm.party,ledger!E:E,"&lt;&gt;*RD*")))+_xlfn.IFNA(C94,0)</f>
        <v>103023</v>
      </c>
      <c r="S15" s="23" cm="1">
        <f t="array" ref="S15">_xlfn.BYROW(B59, _xlfn.LAMBDA(_xlpm.party, SUMIFS(ledger!G:G, ledger!B:B, _xlpm.party, ledger!E:E, "&lt;&gt;*RD*") / 1.0936 ))+_xlfn.IFNA(D94,0)</f>
        <v>94205.376737381128</v>
      </c>
      <c r="T15" s="23" cm="1">
        <f t="array" ref="T15">(_xlfn.BYROW(B59,_xlfn.LAMBDA(_xlpm.party,SUMIFS(ledger!G:G,ledger!B:B,_xlpm.party,ledger!E:E,"&lt;&gt;*RD*",ledger!D:D,"Chamki")+SUMIFS(ledger!G:G, ledger!B:B, _xlpm.party, ledger!E:E, "&lt;&gt;*RD*", ledger!D:D, "Crinkle")))/1.0936)+_xlfn.IFNA(E94,0)</f>
        <v>94205.376737381128</v>
      </c>
      <c r="U15" s="75" cm="1">
        <f t="array" ref="U15">(_xlfn.BYROW(B59,_xlfn.LAMBDA(_xlpm.party,SUMIFS(ledger!G:G,ledger!B:B,_xlpm.party,ledger!E:E,"&lt;&gt;*RD*",ledger!D:D,"Silky")))/1.0936)+_xlfn.IFNA(F94,0)</f>
        <v>0</v>
      </c>
      <c r="V15" s="23" cm="1">
        <f t="array" ref="V15">(_xlfn.BYROW(B59,_xlfn.LAMBDA(_xlpm.party,
(SUMIFS(ledger!J:J,ledger!B:B,_xlpm.party,ledger!E:E,"&lt;&gt;*RD*",ledger!D:D,"Chamki",ledger!C:C,"&lt;&gt;September Closing CF")+
SUMIFS(ledger!J:J,ledger!B:B,_xlpm.party,ledger!E:E,"&lt;&gt;*RD*",ledger!D:D,"Crinkle",ledger!C:C,"&lt;&gt;September Closing CF")
)+_xlfn.IFNA(G94,0))))</f>
        <v>942053.76737381134</v>
      </c>
      <c r="W15" s="23" cm="1">
        <f t="array" ref="W15">_xlfn.BYROW(B59, _xlfn.LAMBDA(_xlpm.party,
   SUMIFS(ledger!J:J, ledger!B:B, _xlpm.party, ledger!E:E, "&lt;&gt;*RD*", ledger!D:D, "Silky", ledger!C:C, "&lt;&gt;September Closing CF")
)) + _xlfn.IFNA(H94, 0)</f>
        <v>0</v>
      </c>
      <c r="X15" s="75" cm="1">
        <f t="array" ref="X15">_xlfn.BYROW(B59, _xlfn.LAMBDA(_xlpm.party,
   SUMIFS(ledger!J:J, ledger!B:B, _xlpm.party, ledger!E:E, "&lt;&gt;*RD*", ledger!D:D, "Slub", ledger!C:C, "&lt;&gt;September Closing CF")
))</f>
        <v>0</v>
      </c>
      <c r="Y15" s="23"/>
      <c r="Z15" s="44">
        <f t="shared" si="3"/>
        <v>942053.76737381134</v>
      </c>
      <c r="AA15" s="23">
        <f>(SUMIF(Table14[Party],Q15,Table14[Credit]))+_xlfn.IFNA(L94,0)</f>
        <v>400000</v>
      </c>
      <c r="AB15" s="38">
        <f t="shared" si="2"/>
        <v>542053.76737381134</v>
      </c>
      <c r="AC15" s="22">
        <v>10</v>
      </c>
      <c r="AD15" s="22">
        <v>12</v>
      </c>
    </row>
    <row r="16" spans="2:30"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Q16" s="25" t="str">
        <v>Badshah Fabrics</v>
      </c>
      <c r="R16" s="23" cm="1">
        <f t="array" ref="R16">_xlfn.BYROW(B60,_xlfn.LAMBDA(_xlpm.party,SUMIFS(ledger!G:G,ledger!B:B,_xlpm.party,ledger!E:E,"&lt;&gt;*RD*")))+_xlfn.IFNA(C95,0)</f>
        <v>352098</v>
      </c>
      <c r="S16" s="23" cm="1">
        <f t="array" ref="S16">_xlfn.BYROW(B60, _xlfn.LAMBDA(_xlpm.party, SUMIFS(ledger!G:G, ledger!B:B, _xlpm.party, ledger!E:E, "&lt;&gt;*RD*") / 1.0936 ))+_xlfn.IFNA(D95,0)</f>
        <v>321962.32626188739</v>
      </c>
      <c r="T16" s="23" cm="1">
        <f t="array" ref="T16">(_xlfn.BYROW(B60,_xlfn.LAMBDA(_xlpm.party,SUMIFS(ledger!G:G,ledger!B:B,_xlpm.party,ledger!E:E,"&lt;&gt;*RD*",ledger!D:D,"Chamki")+SUMIFS(ledger!G:G, ledger!B:B, _xlpm.party, ledger!E:E, "&lt;&gt;*RD*", ledger!D:D, "Crinkle")))/1.0936)+_xlfn.IFNA(E95,0)</f>
        <v>258807.60790051211</v>
      </c>
      <c r="U16" s="75" cm="1">
        <f t="array" ref="U16">(_xlfn.BYROW(B60,_xlfn.LAMBDA(_xlpm.party,SUMIFS(ledger!G:G,ledger!B:B,_xlpm.party,ledger!E:E,"&lt;&gt;*RD*",ledger!D:D,"Silky")))/1.0936)+_xlfn.IFNA(F95,0)</f>
        <v>63154.718361375279</v>
      </c>
      <c r="V16" s="23" cm="1">
        <f t="array" ref="V16">(_xlfn.BYROW(B60,_xlfn.LAMBDA(_xlpm.party,
(SUMIFS(ledger!J:J,ledger!B:B,_xlpm.party,ledger!E:E,"&lt;&gt;*RD*",ledger!D:D,"Chamki",ledger!C:C,"&lt;&gt;September Closing CF")+
SUMIFS(ledger!J:J,ledger!B:B,_xlpm.party,ledger!E:E,"&lt;&gt;*RD*",ledger!D:D,"Crinkle",ledger!C:C,"&lt;&gt;September Closing CF")
)+_xlfn.IFNA(G95,0))))</f>
        <v>2588076.0790051213</v>
      </c>
      <c r="W16" s="23" cm="1">
        <f t="array" ref="W16">_xlfn.BYROW(B60, _xlfn.LAMBDA(_xlpm.party,
   SUMIFS(ledger!J:J, ledger!B:B, _xlpm.party, ledger!E:E, "&lt;&gt;*RD*", ledger!D:D, "Silky", ledger!C:C, "&lt;&gt;September Closing CF")
)) + _xlfn.IFNA(H95, 0)</f>
        <v>757856.62033650337</v>
      </c>
      <c r="X16" s="75" cm="1">
        <f t="array" ref="X16">_xlfn.BYROW(B60, _xlfn.LAMBDA(_xlpm.party,
   SUMIFS(ledger!J:J, ledger!B:B, _xlpm.party, ledger!E:E, "&lt;&gt;*RD*", ledger!D:D, "Slub", ledger!C:C, "&lt;&gt;September Closing CF")
))</f>
        <v>0</v>
      </c>
      <c r="Y16" s="23"/>
      <c r="Z16" s="44">
        <f t="shared" si="3"/>
        <v>3345932.6993416245</v>
      </c>
      <c r="AA16" s="23">
        <f>(SUMIF(Table14[Party],Q16,Table14[Credit]))+_xlfn.IFNA(L95,0)</f>
        <v>1870000</v>
      </c>
      <c r="AB16" s="38">
        <f t="shared" si="2"/>
        <v>1475932.6993416245</v>
      </c>
      <c r="AC16" s="22">
        <v>10</v>
      </c>
      <c r="AD16" s="22">
        <v>12</v>
      </c>
    </row>
    <row r="17" spans="2:30"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Q17" s="25" t="str">
        <v>Reject</v>
      </c>
      <c r="R17" s="23" cm="1">
        <f t="array" ref="R17">_xlfn.BYROW(B61,_xlfn.LAMBDA(_xlpm.party,SUMIFS(ledger!G:G,ledger!B:B,_xlpm.party,ledger!E:E,"&lt;&gt;*RD*")))+_xlfn.IFNA(C96,0)</f>
        <v>0</v>
      </c>
      <c r="S17" s="23" cm="1">
        <f t="array" ref="S17">_xlfn.BYROW(B61, _xlfn.LAMBDA(_xlpm.party, SUMIFS(ledger!G:G, ledger!B:B, _xlpm.party, ledger!E:E, "&lt;&gt;*RD*") / 1.0936 ))+_xlfn.IFNA(D96,0)</f>
        <v>0</v>
      </c>
      <c r="T17" s="23" cm="1">
        <f t="array" ref="T17">(_xlfn.BYROW(B61,_xlfn.LAMBDA(_xlpm.party,SUMIFS(ledger!G:G,ledger!B:B,_xlpm.party,ledger!E:E,"&lt;&gt;*RD*",ledger!D:D,"Chamki")+SUMIFS(ledger!G:G, ledger!B:B, _xlpm.party, ledger!E:E, "&lt;&gt;*RD*", ledger!D:D, "Crinkle")))/1.0936)+_xlfn.IFNA(E96,0)</f>
        <v>0</v>
      </c>
      <c r="U17" s="75" cm="1">
        <f t="array" ref="U17">(_xlfn.BYROW(B61,_xlfn.LAMBDA(_xlpm.party,SUMIFS(ledger!G:G,ledger!B:B,_xlpm.party,ledger!E:E,"&lt;&gt;*RD*",ledger!D:D,"Silky")))/1.0936)+_xlfn.IFNA(F96,0)</f>
        <v>0</v>
      </c>
      <c r="V17" s="23" cm="1">
        <f t="array" ref="V17">(_xlfn.BYROW(B61,_xlfn.LAMBDA(_xlpm.party,
(SUMIFS(ledger!J:J,ledger!B:B,_xlpm.party,ledger!E:E,"&lt;&gt;*RD*",ledger!D:D,"Chamki",ledger!C:C,"&lt;&gt;September Closing CF")+
SUMIFS(ledger!J:J,ledger!B:B,_xlpm.party,ledger!E:E,"&lt;&gt;*RD*",ledger!D:D,"Crinkle",ledger!C:C,"&lt;&gt;September Closing CF")
)+_xlfn.IFNA(G96,0))))</f>
        <v>0</v>
      </c>
      <c r="W17" s="23" cm="1">
        <f t="array" ref="W17">_xlfn.BYROW(B61, _xlfn.LAMBDA(_xlpm.party,
   SUMIFS(ledger!J:J, ledger!B:B, _xlpm.party, ledger!E:E, "&lt;&gt;*RD*", ledger!D:D, "Silky", ledger!C:C, "&lt;&gt;September Closing CF")
)) + _xlfn.IFNA(H96, 0)</f>
        <v>0</v>
      </c>
      <c r="X17" s="75" cm="1">
        <f t="array" ref="X17">_xlfn.BYROW(B61, _xlfn.LAMBDA(_xlpm.party,
   SUMIFS(ledger!J:J, ledger!B:B, _xlpm.party, ledger!E:E, "&lt;&gt;*RD*", ledger!D:D, "Slub", ledger!C:C, "&lt;&gt;September Closing CF")
))</f>
        <v>0</v>
      </c>
      <c r="Y17" s="23"/>
      <c r="Z17" s="44">
        <f t="shared" si="3"/>
        <v>0</v>
      </c>
      <c r="AA17" s="23">
        <f>(SUMIF(Table14[Party],Q17,Table14[Credit]))+_xlfn.IFNA(L96,0)</f>
        <v>0</v>
      </c>
      <c r="AB17" s="38">
        <f t="shared" si="2"/>
        <v>0</v>
      </c>
      <c r="AC17" s="22">
        <v>10</v>
      </c>
      <c r="AD17" s="22">
        <v>12</v>
      </c>
    </row>
    <row r="18" spans="2:30" x14ac:dyDescent="0.3">
      <c r="B18" t="str">
        <f t="shared" si="0"/>
        <v>Faizan</v>
      </c>
      <c r="C18" s="18">
        <f>SUMIFS(ledger!G:G, ledger!B:B, B18, ledger!E:E, "&lt;&gt;*RD*") / 1.0936</f>
        <v>34937.820043891734</v>
      </c>
      <c r="E18" s="14">
        <f>(SUMIFS(ledger!G:G, ledger!B:B, B18, ledger!E:E, "&lt;&gt;*RD*",ledger!D:D, "Silky") / 1.0936)*12 + (SUMIFS(ledger!G:G, ledger!B:B, B18, ledger!E:E, "&lt;&gt;*RD*",ledger!D:D, "Chamki") / 1.0936)*10</f>
        <v>383613.75274323334</v>
      </c>
      <c r="Q18" s="123" t="str">
        <v>Amjad 7up</v>
      </c>
      <c r="R18" s="23" cm="1">
        <f t="array" ref="R18">_xlfn.BYROW(B62,_xlfn.LAMBDA(_xlpm.party,SUMIFS(ledger!G:G,ledger!B:B,_xlpm.party,ledger!E:E,"&lt;&gt;*RD*")))+_xlfn.IFNA(C97,0)</f>
        <v>52914</v>
      </c>
      <c r="S18" s="23" cm="1">
        <f t="array" ref="S18">_xlfn.BYROW(B62, _xlfn.LAMBDA(_xlpm.party, SUMIFS(ledger!G:G, ledger!B:B, _xlpm.party, ledger!E:E, "&lt;&gt;*RD*") / 1.0936 ))+_xlfn.IFNA(D97,0)</f>
        <v>48385.149963423559</v>
      </c>
      <c r="T18" s="23" cm="1">
        <f t="array" ref="T18">(_xlfn.BYROW(B62,_xlfn.LAMBDA(_xlpm.party,SUMIFS(ledger!G:G,ledger!B:B,_xlpm.party,ledger!E:E,"&lt;&gt;*RD*",ledger!D:D,"Chamki")+SUMIFS(ledger!G:G, ledger!B:B, _xlpm.party, ledger!E:E, "&lt;&gt;*RD*", ledger!D:D, "Crinkle")))/1.0936)+_xlfn.IFNA(E97,0)</f>
        <v>48385.149963423559</v>
      </c>
      <c r="U18" s="75" cm="1">
        <f t="array" ref="U18">(_xlfn.BYROW(B62,_xlfn.LAMBDA(_xlpm.party,SUMIFS(ledger!G:G,ledger!B:B,_xlpm.party,ledger!E:E,"&lt;&gt;*RD*",ledger!D:D,"Silky")))/1.0936)+_xlfn.IFNA(F97,0)</f>
        <v>0</v>
      </c>
      <c r="V18" s="23" cm="1">
        <f t="array" ref="V18">(_xlfn.BYROW(B62,_xlfn.LAMBDA(_xlpm.party,
(SUMIFS(ledger!J:J,ledger!B:B,_xlpm.party,ledger!E:E,"&lt;&gt;*RD*",ledger!D:D,"Chamki",ledger!C:C,"&lt;&gt;September Closing CF")+
SUMIFS(ledger!J:J,ledger!B:B,_xlpm.party,ledger!E:E,"&lt;&gt;*RD*",ledger!D:D,"Crinkle",ledger!C:C,"&lt;&gt;September Closing CF")
)+_xlfn.IFNA(G97,0))))</f>
        <v>483851.49963423557</v>
      </c>
      <c r="W18" s="23" cm="1">
        <f t="array" ref="W18">_xlfn.BYROW(B62, _xlfn.LAMBDA(_xlpm.party,
   SUMIFS(ledger!J:J, ledger!B:B, _xlpm.party, ledger!E:E, "&lt;&gt;*RD*", ledger!D:D, "Silky", ledger!C:C, "&lt;&gt;September Closing CF")
)) + _xlfn.IFNA(H97, 0)</f>
        <v>0</v>
      </c>
      <c r="X18" s="75" cm="1">
        <f t="array" ref="X18">_xlfn.BYROW(B62, _xlfn.LAMBDA(_xlpm.party,
   SUMIFS(ledger!J:J, ledger!B:B, _xlpm.party, ledger!E:E, "&lt;&gt;*RD*", ledger!D:D, "Slub", ledger!C:C, "&lt;&gt;September Closing CF")
))</f>
        <v>0</v>
      </c>
      <c r="Y18" s="23"/>
      <c r="Z18" s="44">
        <f t="shared" ref="Z18" si="4">V18+W18</f>
        <v>483851.49963423557</v>
      </c>
      <c r="AA18" s="23">
        <f>(SUMIF(Table14[Party],Q18,Table14[Credit]))+_xlfn.IFNA(L97,0)</f>
        <v>480000</v>
      </c>
      <c r="AB18" s="38">
        <f t="shared" ref="AB18:AB20" si="5">Z18-AA18</f>
        <v>3851.4996342355735</v>
      </c>
      <c r="AC18" s="22">
        <v>10</v>
      </c>
      <c r="AD18" s="22">
        <v>12</v>
      </c>
    </row>
    <row r="19" spans="2:30" x14ac:dyDescent="0.3">
      <c r="Q19" s="123" t="str">
        <v>Hazrat Khan</v>
      </c>
      <c r="R19" s="23" cm="1">
        <f t="array" ref="R19">_xlfn.BYROW(B63,_xlfn.LAMBDA(_xlpm.party,SUMIFS(ledger!G:G,ledger!B:B,_xlpm.party,ledger!E:E,"&lt;&gt;*RD*")))+_xlfn.IFNA(C98,0)</f>
        <v>9750</v>
      </c>
      <c r="S19" s="23" cm="1">
        <f t="array" ref="S19">_xlfn.BYROW(B63, _xlfn.LAMBDA(_xlpm.party, SUMIFS(ledger!G:G, ledger!B:B, _xlpm.party, ledger!E:E, "&lt;&gt;*RD*") / 1.0936 ))+_xlfn.IFNA(D98,0)</f>
        <v>8915.5084125822978</v>
      </c>
      <c r="T19" s="23" cm="1">
        <f t="array" ref="T19">(_xlfn.BYROW(B63,_xlfn.LAMBDA(_xlpm.party,SUMIFS(ledger!G:G,ledger!B:B,_xlpm.party,ledger!E:E,"&lt;&gt;*RD*",ledger!D:D,"Chamki")+SUMIFS(ledger!G:G, ledger!B:B, _xlpm.party, ledger!E:E, "&lt;&gt;*RD*", ledger!D:D, "Crinkle")))/1.0936)+_xlfn.IFNA(E98,0)</f>
        <v>8915.5084125822978</v>
      </c>
      <c r="U19" s="75" cm="1">
        <f t="array" ref="U19">(_xlfn.BYROW(B63,_xlfn.LAMBDA(_xlpm.party,SUMIFS(ledger!G:G,ledger!B:B,_xlpm.party,ledger!E:E,"&lt;&gt;*RD*",ledger!D:D,"Silky")))/1.0936)+_xlfn.IFNA(F98,0)</f>
        <v>0</v>
      </c>
      <c r="V19" s="23" cm="1">
        <f t="array" ref="V19">(_xlfn.BYROW(B63,_xlfn.LAMBDA(_xlpm.party,
(SUMIFS(ledger!J:J,ledger!B:B,_xlpm.party,ledger!E:E,"&lt;&gt;*RD*",ledger!D:D,"Chamki",ledger!C:C,"&lt;&gt;September Closing CF")+
SUMIFS(ledger!J:J,ledger!B:B,_xlpm.party,ledger!E:E,"&lt;&gt;*RD*",ledger!D:D,"Crinkle",ledger!C:C,"&lt;&gt;September Closing CF")
)+_xlfn.IFNA(G98,0))))</f>
        <v>89155.084125822978</v>
      </c>
      <c r="W19" s="23" cm="1">
        <f t="array" ref="W19">_xlfn.BYROW(B63, _xlfn.LAMBDA(_xlpm.party,
   SUMIFS(ledger!J:J, ledger!B:B, _xlpm.party, ledger!E:E, "&lt;&gt;*RD*", ledger!D:D, "Silky", ledger!C:C, "&lt;&gt;September Closing CF")
)) + _xlfn.IFNA(H98, 0)</f>
        <v>0</v>
      </c>
      <c r="X19" s="75" cm="1">
        <f t="array" ref="X19">_xlfn.BYROW(B63, _xlfn.LAMBDA(_xlpm.party,
   SUMIFS(ledger!J:J, ledger!B:B, _xlpm.party, ledger!E:E, "&lt;&gt;*RD*", ledger!D:D, "Slub", ledger!C:C, "&lt;&gt;September Closing CF")
))</f>
        <v>0</v>
      </c>
      <c r="Y19" s="23"/>
      <c r="Z19" s="44">
        <f t="shared" ref="Z19:Z20" si="6">V19+W19</f>
        <v>89155.084125822978</v>
      </c>
      <c r="AA19" s="23">
        <f>(SUMIF(Table14[Party],Q19,Table14[Credit]))+_xlfn.IFNA(L98,0)</f>
        <v>95000</v>
      </c>
      <c r="AB19" s="38">
        <f t="shared" si="5"/>
        <v>-5844.9158741770225</v>
      </c>
      <c r="AC19" s="22">
        <v>10</v>
      </c>
      <c r="AD19" s="22">
        <v>12</v>
      </c>
    </row>
    <row r="20" spans="2:30" x14ac:dyDescent="0.3">
      <c r="Q20" s="123" t="str">
        <v>Haseeb Shamsi</v>
      </c>
      <c r="R20" s="23" cm="1">
        <f t="array" ref="R20">_xlfn.BYROW(B64,_xlfn.LAMBDA(_xlpm.party,SUMIFS(ledger!G:G,ledger!B:B,_xlpm.party,ledger!E:E,"&lt;&gt;*RD*")))+_xlfn.IFNA(C99,0)</f>
        <v>28026</v>
      </c>
      <c r="S20" s="23" cm="1">
        <f t="array" ref="S20">_xlfn.BYROW(B64, _xlfn.LAMBDA(_xlpm.party, SUMIFS(ledger!G:G, ledger!B:B, _xlpm.party, ledger!E:E, "&lt;&gt;*RD*") / 1.0936 ))+_xlfn.IFNA(D99,0)</f>
        <v>25627.286027798102</v>
      </c>
      <c r="T20" s="23" cm="1">
        <f t="array" ref="T20">(_xlfn.BYROW(B64,_xlfn.LAMBDA(_xlpm.party,SUMIFS(ledger!G:G,ledger!B:B,_xlpm.party,ledger!E:E,"&lt;&gt;*RD*",ledger!D:D,"Chamki")+SUMIFS(ledger!G:G, ledger!B:B, _xlpm.party, ledger!E:E, "&lt;&gt;*RD*", ledger!D:D, "Crinkle")))/1.0936)+_xlfn.IFNA(E99,0)</f>
        <v>25627.286027798102</v>
      </c>
      <c r="U20" s="75" cm="1">
        <f t="array" ref="U20">(_xlfn.BYROW(B64,_xlfn.LAMBDA(_xlpm.party,SUMIFS(ledger!G:G,ledger!B:B,_xlpm.party,ledger!E:E,"&lt;&gt;*RD*",ledger!D:D,"Silky")))/1.0936)+_xlfn.IFNA(F99,0)</f>
        <v>0</v>
      </c>
      <c r="V20" s="23" cm="1">
        <f t="array" ref="V20">(_xlfn.BYROW(B64,_xlfn.LAMBDA(_xlpm.party,
(SUMIFS(ledger!J:J,ledger!B:B,_xlpm.party,ledger!E:E,"&lt;&gt;*RD*",ledger!D:D,"Chamki",ledger!C:C,"&lt;&gt;September Closing CF")+
SUMIFS(ledger!J:J,ledger!B:B,_xlpm.party,ledger!E:E,"&lt;&gt;*RD*",ledger!D:D,"Crinkle",ledger!C:C,"&lt;&gt;September Closing CF")
)+_xlfn.IFNA(G99,0))))</f>
        <v>256272.86027798103</v>
      </c>
      <c r="W20" s="23" cm="1">
        <f t="array" ref="W20">_xlfn.BYROW(B64, _xlfn.LAMBDA(_xlpm.party,
   SUMIFS(ledger!J:J, ledger!B:B, _xlpm.party, ledger!E:E, "&lt;&gt;*RD*", ledger!D:D, "Silky", ledger!C:C, "&lt;&gt;September Closing CF")
)) + _xlfn.IFNA(H99, 0)</f>
        <v>0</v>
      </c>
      <c r="X20" s="75" cm="1">
        <f t="array" ref="X20">_xlfn.BYROW(B64, _xlfn.LAMBDA(_xlpm.party,
   SUMIFS(ledger!J:J, ledger!B:B, _xlpm.party, ledger!E:E, "&lt;&gt;*RD*", ledger!D:D, "Slub", ledger!C:C, "&lt;&gt;September Closing CF")
))</f>
        <v>0</v>
      </c>
      <c r="Y20" s="23"/>
      <c r="Z20" s="44">
        <f t="shared" si="6"/>
        <v>256272.86027798103</v>
      </c>
      <c r="AA20" s="23">
        <f>(SUMIF(Table14[Party],Q20,Table14[Credit]))+_xlfn.IFNA(L99,0)</f>
        <v>256200</v>
      </c>
      <c r="AB20" s="38">
        <f t="shared" si="5"/>
        <v>72.860277981031686</v>
      </c>
      <c r="AC20" s="22">
        <v>10</v>
      </c>
      <c r="AD20" s="22">
        <v>12</v>
      </c>
    </row>
    <row r="21" spans="2:30" x14ac:dyDescent="0.3">
      <c r="B21" s="45" t="s">
        <v>29</v>
      </c>
      <c r="C21" s="46">
        <f>SUM(G49:G69)+SUM(H49:H69)</f>
        <v>6624925.0182882231</v>
      </c>
      <c r="D21" t="s">
        <v>30</v>
      </c>
      <c r="Q21" s="124" t="str">
        <v>Faizan</v>
      </c>
      <c r="R21" s="23" cm="1">
        <f t="array" ref="R21">_xlfn.BYROW(B65,_xlfn.LAMBDA(_xlpm.party,SUMIFS(ledger!G:G,ledger!B:B,_xlpm.party,ledger!E:E,"&lt;&gt;*RD*")))+_xlfn.IFNA(C100,0)</f>
        <v>38208</v>
      </c>
      <c r="S21" s="23" cm="1">
        <f t="array" ref="S21">_xlfn.BYROW(B65, _xlfn.LAMBDA(_xlpm.party, SUMIFS(ledger!G:G, ledger!B:B, _xlpm.party, ledger!E:E, "&lt;&gt;*RD*") / 1.0936 ))+_xlfn.IFNA(D100,0)</f>
        <v>34937.820043891734</v>
      </c>
      <c r="T21" s="23" cm="1">
        <f t="array" ref="T21">(_xlfn.BYROW(B65,_xlfn.LAMBDA(_xlpm.party,SUMIFS(ledger!G:G,ledger!B:B,_xlpm.party,ledger!E:E,"&lt;&gt;*RD*",ledger!D:D,"Chamki")+SUMIFS(ledger!G:G, ledger!B:B, _xlpm.party, ledger!E:E, "&lt;&gt;*RD*", ledger!D:D, "Crinkle")))/1.0936)+_xlfn.IFNA(E100,0)</f>
        <v>0</v>
      </c>
      <c r="U21" s="75" cm="1">
        <f t="array" ref="U21">(_xlfn.BYROW(B65,_xlfn.LAMBDA(_xlpm.party,SUMIFS(ledger!G:G,ledger!B:B,_xlpm.party,ledger!E:E,"&lt;&gt;*RD*",ledger!D:D,"Silky")))/1.0936)+_xlfn.IFNA(F100,0)</f>
        <v>31967.812728602781</v>
      </c>
      <c r="V21" s="23" cm="1">
        <f t="array" ref="V21">(_xlfn.BYROW(B65,_xlfn.LAMBDA(_xlpm.party,
(SUMIFS(ledger!J:J,ledger!B:B,_xlpm.party,ledger!E:E,"&lt;&gt;*RD*",ledger!D:D,"Chamki",ledger!C:C,"&lt;&gt;September Closing CF")+
SUMIFS(ledger!J:J,ledger!B:B,_xlpm.party,ledger!E:E,"&lt;&gt;*RD*",ledger!D:D,"Crinkle",ledger!C:C,"&lt;&gt;September Closing CF")
)+_xlfn.IFNA(G100,0))))</f>
        <v>0</v>
      </c>
      <c r="W21" s="23" cm="1">
        <f t="array" ref="W21">_xlfn.BYROW(B65, _xlfn.LAMBDA(_xlpm.party,
   SUMIFS(ledger!J:J, ledger!B:B, _xlpm.party, ledger!E:E, "&lt;&gt;*RD*", ledger!D:D, "Silky", ledger!C:C, "&lt;&gt;September Closing CF")
)) + _xlfn.IFNA(H100, 0)</f>
        <v>415581.56547183613</v>
      </c>
      <c r="X21" s="75" cm="1">
        <f t="array" ref="X21">_xlfn.BYROW(B65, _xlfn.LAMBDA(_xlpm.party,
   SUMIFS(ledger!J:J, ledger!B:B, _xlpm.party, ledger!E:E, "&lt;&gt;*RD*", ledger!D:D, "Slub", ledger!C:C, "&lt;&gt;September Closing CF")
))</f>
        <v>44550.109729334312</v>
      </c>
      <c r="Y21" s="23"/>
      <c r="Z21" s="44">
        <f t="shared" ref="Z21:Z35" si="7">V21+W21</f>
        <v>415581.56547183613</v>
      </c>
      <c r="AA21" s="23">
        <f>(SUMIF(Table14[Party],Q21,Table14[Credit]))+_xlfn.IFNA(L100,0)</f>
        <v>415571</v>
      </c>
      <c r="AB21" s="38">
        <f t="shared" ref="AB21:AB35" si="8">Z21-AA21</f>
        <v>10.565471836132929</v>
      </c>
      <c r="AC21" s="22">
        <v>10</v>
      </c>
      <c r="AD21" s="22">
        <v>13</v>
      </c>
    </row>
    <row r="22" spans="2:30" x14ac:dyDescent="0.3">
      <c r="C22" s="18"/>
      <c r="Q22" s="22" t="str">
        <v>Shafique Ansari</v>
      </c>
      <c r="R22" s="23" cm="1">
        <f t="array" ref="R22">_xlfn.BYROW(B66,_xlfn.LAMBDA(_xlpm.party,SUMIFS(ledger!G:G,ledger!B:B,_xlpm.party,ledger!E:E,"&lt;&gt;*RD*")))+_xlfn.IFNA(C101,0)</f>
        <v>82290</v>
      </c>
      <c r="S22" s="23" cm="1">
        <f t="array" ref="S22">_xlfn.BYROW(B66, _xlfn.LAMBDA(_xlpm.party, SUMIFS(ledger!G:G, ledger!B:B, _xlpm.party, ledger!E:E, "&lt;&gt;*RD*") / 1.0936 ))+_xlfn.IFNA(D101,0)</f>
        <v>75246.891002194592</v>
      </c>
      <c r="T22" s="23" cm="1">
        <f t="array" ref="T22">(_xlfn.BYROW(B66,_xlfn.LAMBDA(_xlpm.party,SUMIFS(ledger!G:G,ledger!B:B,_xlpm.party,ledger!E:E,"&lt;&gt;*RD*",ledger!D:D,"Chamki")+SUMIFS(ledger!G:G, ledger!B:B, _xlpm.party, ledger!E:E, "&lt;&gt;*RD*", ledger!D:D, "Crinkle")))/1.0936)+_xlfn.IFNA(E101,0)</f>
        <v>64300.475493782011</v>
      </c>
      <c r="U22" s="75" cm="1">
        <f t="array" ref="U22">(_xlfn.BYROW(B66,_xlfn.LAMBDA(_xlpm.party,SUMIFS(ledger!G:G,ledger!B:B,_xlpm.party,ledger!E:E,"&lt;&gt;*RD*",ledger!D:D,"Silky")))/1.0936)+_xlfn.IFNA(F101,0)</f>
        <v>7565.8376005852242</v>
      </c>
      <c r="V22" s="23" cm="1">
        <f t="array" ref="V22">(_xlfn.BYROW(B66,_xlfn.LAMBDA(_xlpm.party,
(SUMIFS(ledger!J:J,ledger!B:B,_xlpm.party,ledger!E:E,"&lt;&gt;*RD*",ledger!D:D,"Chamki",ledger!C:C,"&lt;&gt;September Closing CF")+
SUMIFS(ledger!J:J,ledger!B:B,_xlpm.party,ledger!E:E,"&lt;&gt;*RD*",ledger!D:D,"Crinkle",ledger!C:C,"&lt;&gt;September Closing CF")
)+_xlfn.IFNA(G101,0))))</f>
        <v>643004.75493782014</v>
      </c>
      <c r="W22" s="23" cm="1">
        <f t="array" ref="W22">_xlfn.BYROW(B66, _xlfn.LAMBDA(_xlpm.party,
   SUMIFS(ledger!J:J, ledger!B:B, _xlpm.party, ledger!E:E, "&lt;&gt;*RD*", ledger!D:D, "Silky", ledger!C:C, "&lt;&gt;September Closing CF")
)) + _xlfn.IFNA(H101, 0)</f>
        <v>98355.888807607917</v>
      </c>
      <c r="X22" s="75" cm="1">
        <f t="array" ref="X22">_xlfn.BYROW(B66, _xlfn.LAMBDA(_xlpm.party,
   SUMIFS(ledger!J:J, ledger!B:B, _xlpm.party, ledger!E:E, "&lt;&gt;*RD*", ledger!D:D, "Slub", ledger!C:C, "&lt;&gt;September Closing CF")
))</f>
        <v>0</v>
      </c>
      <c r="Y22" s="23"/>
      <c r="Z22" s="44">
        <f t="shared" si="7"/>
        <v>741360.64374542807</v>
      </c>
      <c r="AA22" s="23">
        <f>(SUMIF(Table14[Party],Q22,Table14[Credit]))+_xlfn.IFNA(L101,0)</f>
        <v>98000</v>
      </c>
      <c r="AB22" s="38">
        <f t="shared" si="8"/>
        <v>643360.64374542807</v>
      </c>
      <c r="AC22" s="22">
        <v>10</v>
      </c>
      <c r="AD22" s="22">
        <v>13</v>
      </c>
    </row>
    <row r="23" spans="2:30" x14ac:dyDescent="0.3">
      <c r="B23" s="25" t="s">
        <v>31</v>
      </c>
      <c r="C23" s="42">
        <f ca="1">SUM(OFFSET(K49,0,0,COUNTA(K:K)-ROW(K49)+1))</f>
        <v>2125424.2867593272</v>
      </c>
      <c r="D23" t="s">
        <v>32</v>
      </c>
      <c r="Q23" s="22" t="str">
        <v>Amjad sohail</v>
      </c>
      <c r="R23" s="23" cm="1">
        <f t="array" ref="R23">_xlfn.BYROW(B67,_xlfn.LAMBDA(_xlpm.party,SUMIFS(ledger!G:G,ledger!B:B,_xlpm.party,ledger!E:E,"&lt;&gt;*RD*")))+_xlfn.IFNA(C102,0)</f>
        <v>1662</v>
      </c>
      <c r="S23" s="23" cm="1">
        <f t="array" ref="S23">_xlfn.BYROW(B67, _xlfn.LAMBDA(_xlpm.party, SUMIFS(ledger!G:G, ledger!B:B, _xlpm.party, ledger!E:E, "&lt;&gt;*RD*") / 1.0936 ))+_xlfn.IFNA(D102,0)</f>
        <v>1519.751280175567</v>
      </c>
      <c r="T23" s="23" cm="1">
        <f t="array" ref="T23">(_xlfn.BYROW(B67,_xlfn.LAMBDA(_xlpm.party,SUMIFS(ledger!G:G,ledger!B:B,_xlpm.party,ledger!E:E,"&lt;&gt;*RD*",ledger!D:D,"Chamki")+SUMIFS(ledger!G:G, ledger!B:B, _xlpm.party, ledger!E:E, "&lt;&gt;*RD*", ledger!D:D, "Crinkle")))/1.0936)+_xlfn.IFNA(E102,0)</f>
        <v>0</v>
      </c>
      <c r="U23" s="75" cm="1">
        <f t="array" ref="U23">(_xlfn.BYROW(B67,_xlfn.LAMBDA(_xlpm.party,SUMIFS(ledger!G:G,ledger!B:B,_xlpm.party,ledger!E:E,"&lt;&gt;*RD*",ledger!D:D,"Silky")))/1.0936)+_xlfn.IFNA(F102,0)</f>
        <v>1519.751280175567</v>
      </c>
      <c r="V23" s="23" cm="1">
        <f t="array" ref="V23">(_xlfn.BYROW(B67,_xlfn.LAMBDA(_xlpm.party,
(SUMIFS(ledger!J:J,ledger!B:B,_xlpm.party,ledger!E:E,"&lt;&gt;*RD*",ledger!D:D,"Chamki",ledger!C:C,"&lt;&gt;September Closing CF")+
SUMIFS(ledger!J:J,ledger!B:B,_xlpm.party,ledger!E:E,"&lt;&gt;*RD*",ledger!D:D,"Crinkle",ledger!C:C,"&lt;&gt;September Closing CF")
)+_xlfn.IFNA(G102,0))))</f>
        <v>0</v>
      </c>
      <c r="W23" s="23" cm="1">
        <f t="array" ref="W23">_xlfn.BYROW(B67, _xlfn.LAMBDA(_xlpm.party,
   SUMIFS(ledger!J:J, ledger!B:B, _xlpm.party, ledger!E:E, "&lt;&gt;*RD*", ledger!D:D, "Silky", ledger!C:C, "&lt;&gt;September Closing CF")
)) + _xlfn.IFNA(H102, 0)</f>
        <v>19756.766642282371</v>
      </c>
      <c r="X23" s="75" cm="1">
        <f t="array" ref="X23">_xlfn.BYROW(B67, _xlfn.LAMBDA(_xlpm.party,
   SUMIFS(ledger!J:J, ledger!B:B, _xlpm.party, ledger!E:E, "&lt;&gt;*RD*", ledger!D:D, "Slub", ledger!C:C, "&lt;&gt;September Closing CF")
))</f>
        <v>0</v>
      </c>
      <c r="Y23" s="23"/>
      <c r="Z23" s="44">
        <f t="shared" si="7"/>
        <v>19756.766642282371</v>
      </c>
      <c r="AA23" s="23">
        <f>(SUMIF(Table14[Party],Q23,Table14[Credit]))+_xlfn.IFNA(L102,0)</f>
        <v>300000</v>
      </c>
      <c r="AB23" s="38">
        <f t="shared" si="8"/>
        <v>-280243.23335771763</v>
      </c>
      <c r="AC23" s="22">
        <v>10</v>
      </c>
      <c r="AD23" s="22">
        <v>13</v>
      </c>
    </row>
    <row r="24" spans="2:30" x14ac:dyDescent="0.3">
      <c r="R24" s="23" cm="1">
        <f t="array" ref="R24">_xlfn.BYROW(B68,_xlfn.LAMBDA(_xlpm.party,SUMIFS(ledger!G:G,ledger!B:B,_xlpm.party,ledger!E:E,"&lt;&gt;*RD*")))+_xlfn.IFNA(C103,0)</f>
        <v>0</v>
      </c>
      <c r="S24" s="23" cm="1">
        <f t="array" ref="S24">_xlfn.BYROW(B68, _xlfn.LAMBDA(_xlpm.party, SUMIFS(ledger!G:G, ledger!B:B, _xlpm.party, ledger!E:E, "&lt;&gt;*RD*") / 1.0936 ))+_xlfn.IFNA(D103,0)</f>
        <v>0</v>
      </c>
      <c r="T24" s="23" cm="1">
        <f t="array" ref="T24">(_xlfn.BYROW(B68,_xlfn.LAMBDA(_xlpm.party,SUMIFS(ledger!G:G,ledger!B:B,_xlpm.party,ledger!E:E,"&lt;&gt;*RD*",ledger!D:D,"Chamki")+SUMIFS(ledger!G:G, ledger!B:B, _xlpm.party, ledger!E:E, "&lt;&gt;*RD*", ledger!D:D, "Crinkle")))/1.0936)+_xlfn.IFNA(E103,0)</f>
        <v>0</v>
      </c>
      <c r="U24" s="75" cm="1">
        <f t="array" ref="U24">(_xlfn.BYROW(B68,_xlfn.LAMBDA(_xlpm.party,SUMIFS(ledger!G:G,ledger!B:B,_xlpm.party,ledger!E:E,"&lt;&gt;*RD*",ledger!D:D,"Silky")))/1.0936)+_xlfn.IFNA(F103,0)</f>
        <v>0</v>
      </c>
      <c r="V24" s="23" cm="1">
        <f t="array" ref="V24">(_xlfn.BYROW(B68,_xlfn.LAMBDA(_xlpm.party,(SUMIFS(ledger!G:G,ledger!B:B,_xlpm.party,ledger!E:E,"&lt;&gt;*RD*",ledger!D:D, "Chamki")+SUMIFS(ledger!G:G, ledger!B:B, _xlpm.party, ledger!E:E, "&lt;&gt;*RD*", ledger!D:D, "Crinkle"))/1.0936))*N68)+_xlfn.IFNA(G103,0)</f>
        <v>0</v>
      </c>
      <c r="W24" s="23" cm="1">
        <f t="array" ref="W24">(_xlfn.BYROW(B68,_xlfn.LAMBDA(_xlpm.party,SUMIFS(ledger!G:G,ledger!B:B,_xlpm.party,ledger!E:E,"&lt;&gt;*RD*",ledger!D:D, "Silky")/1.0936))* AD24)+_xlfn.IFNA(H103,0)</f>
        <v>0</v>
      </c>
      <c r="X24" s="75" cm="1">
        <f t="array" ref="X24">_xlfn.BYROW(B68, _xlfn.LAMBDA(_xlpm.party,
   SUMIFS(ledger!J:J, ledger!B:B, _xlpm.party, ledger!E:E, "&lt;&gt;*RD*", ledger!D:D, "Slub", ledger!C:C, "&lt;&gt;September Closing CF")
))</f>
        <v>0</v>
      </c>
      <c r="Y24" s="23"/>
      <c r="Z24" s="44">
        <f t="shared" si="7"/>
        <v>0</v>
      </c>
      <c r="AA24" s="23">
        <f>(SUMIF(Table14[Party],Q24,Table14[Credit]))+_xlfn.IFNA(L103,0)</f>
        <v>0</v>
      </c>
      <c r="AB24" s="38">
        <f t="shared" si="8"/>
        <v>0</v>
      </c>
      <c r="AC24" s="22">
        <v>10</v>
      </c>
      <c r="AD24" s="22">
        <v>12</v>
      </c>
    </row>
    <row r="25" spans="2:30" x14ac:dyDescent="0.3">
      <c r="R25" s="23" cm="1">
        <f t="array" ref="R25">_xlfn.BYROW(B69,_xlfn.LAMBDA(_xlpm.party,SUMIFS(ledger!G:G,ledger!B:B,_xlpm.party,ledger!E:E,"&lt;&gt;*RD*")))+_xlfn.IFNA(C104,0)</f>
        <v>0</v>
      </c>
      <c r="S25" s="23" cm="1">
        <f t="array" ref="S25">_xlfn.BYROW(B69, _xlfn.LAMBDA(_xlpm.party, SUMIFS(ledger!G:G, ledger!B:B, _xlpm.party, ledger!E:E, "&lt;&gt;*RD*") / 1.0936 ))+_xlfn.IFNA(D104,0)</f>
        <v>0</v>
      </c>
      <c r="T25" s="23" cm="1">
        <f t="array" ref="T25">(_xlfn.BYROW(B69,_xlfn.LAMBDA(_xlpm.party,SUMIFS(ledger!G:G,ledger!B:B,_xlpm.party,ledger!E:E,"&lt;&gt;*RD*",ledger!D:D,"Chamki")+SUMIFS(ledger!G:G, ledger!B:B, _xlpm.party, ledger!E:E, "&lt;&gt;*RD*", ledger!D:D, "Crinkle")))/1.0936)+_xlfn.IFNA(E104,0)</f>
        <v>0</v>
      </c>
      <c r="U25" s="75" cm="1">
        <f t="array" ref="U25">(_xlfn.BYROW(B69,_xlfn.LAMBDA(_xlpm.party,SUMIFS(ledger!G:G,ledger!B:B,_xlpm.party,ledger!E:E,"&lt;&gt;*RD*",ledger!D:D,"Silky")))/1.0936)+_xlfn.IFNA(F104,0)</f>
        <v>0</v>
      </c>
      <c r="V25" s="23" cm="1">
        <f t="array" ref="V25">(_xlfn.BYROW(B69,_xlfn.LAMBDA(_xlpm.party,(SUMIFS(ledger!G:G,ledger!B:B,_xlpm.party,ledger!E:E,"&lt;&gt;*RD*",ledger!D:D, "Chamki")+SUMIFS(ledger!G:G, ledger!B:B, _xlpm.party, ledger!E:E, "&lt;&gt;*RD*", ledger!D:D, "Crinkle"))/1.0936))*N69)+_xlfn.IFNA(G104,0)</f>
        <v>0</v>
      </c>
      <c r="W25" s="23" cm="1">
        <f t="array" ref="W25">(_xlfn.BYROW(B69,_xlfn.LAMBDA(_xlpm.party,SUMIFS(ledger!G:G,ledger!B:B,_xlpm.party,ledger!E:E,"&lt;&gt;*RD*",ledger!D:D, "Silky")/1.0936))* AD25)+_xlfn.IFNA(H104,0)</f>
        <v>0</v>
      </c>
      <c r="X25" s="75" cm="1">
        <f t="array" ref="X25">_xlfn.BYROW(B69, _xlfn.LAMBDA(_xlpm.party,
   SUMIFS(ledger!J:J, ledger!B:B, _xlpm.party, ledger!E:E, "&lt;&gt;*RD*", ledger!D:D, "Slub", ledger!C:C, "&lt;&gt;September Closing CF")
))</f>
        <v>0</v>
      </c>
      <c r="Y25" s="23"/>
      <c r="Z25" s="44">
        <f t="shared" si="7"/>
        <v>0</v>
      </c>
      <c r="AA25" s="23">
        <f>(SUMIF(Table14[Party],Q25,Table14[Credit]))+_xlfn.IFNA(L104,0)</f>
        <v>0</v>
      </c>
      <c r="AB25" s="38">
        <f t="shared" si="8"/>
        <v>0</v>
      </c>
      <c r="AC25" s="22">
        <v>10</v>
      </c>
      <c r="AD25" s="22">
        <v>12</v>
      </c>
    </row>
    <row r="26" spans="2:30" x14ac:dyDescent="0.3">
      <c r="R26" s="23" cm="1">
        <f t="array" ref="R26">_xlfn.BYROW(B70,_xlfn.LAMBDA(_xlpm.party,SUMIFS(ledger!G:G,ledger!B:B,_xlpm.party,ledger!E:E,"&lt;&gt;*RD*")))+_xlfn.IFNA(C105,0)</f>
        <v>0</v>
      </c>
      <c r="S26" s="23" cm="1">
        <f t="array" ref="S26">_xlfn.BYROW(B70, _xlfn.LAMBDA(_xlpm.party, SUMIFS(ledger!G:G, ledger!B:B, _xlpm.party, ledger!E:E, "&lt;&gt;*RD*") / 1.0936 ))+_xlfn.IFNA(D105,0)</f>
        <v>0</v>
      </c>
      <c r="T26" s="23" cm="1">
        <f t="array" ref="T26">(_xlfn.BYROW(B70,_xlfn.LAMBDA(_xlpm.party,SUMIFS(ledger!G:G,ledger!B:B,_xlpm.party,ledger!E:E,"&lt;&gt;*RD*",ledger!D:D,"Chamki")+SUMIFS(ledger!G:G, ledger!B:B, _xlpm.party, ledger!E:E, "&lt;&gt;*RD*", ledger!D:D, "Crinkle")))/1.0936)+_xlfn.IFNA(E105,0)</f>
        <v>0</v>
      </c>
      <c r="U26" s="75" cm="1">
        <f t="array" ref="U26">(_xlfn.BYROW(B70,_xlfn.LAMBDA(_xlpm.party,SUMIFS(ledger!G:G,ledger!B:B,_xlpm.party,ledger!E:E,"&lt;&gt;*RD*",ledger!D:D,"Silky")))/1.0936)+_xlfn.IFNA(F105,0)</f>
        <v>0</v>
      </c>
      <c r="V26" s="23" cm="1">
        <f t="array" ref="V26">(_xlfn.BYROW(B70,_xlfn.LAMBDA(_xlpm.party,(SUMIFS(ledger!G:G,ledger!B:B,_xlpm.party,ledger!E:E,"&lt;&gt;*RD*",ledger!D:D, "Chamki")+SUMIFS(ledger!G:G, ledger!B:B, _xlpm.party, ledger!E:E, "&lt;&gt;*RD*", ledger!D:D, "Crinkle"))/1.0936))*N70)+_xlfn.IFNA(G105,0)</f>
        <v>0</v>
      </c>
      <c r="W26" s="23" cm="1">
        <f t="array" ref="W26">(_xlfn.BYROW(B70,_xlfn.LAMBDA(_xlpm.party,SUMIFS(ledger!G:G,ledger!B:B,_xlpm.party,ledger!E:E,"&lt;&gt;*RD*",ledger!D:D, "Silky")/1.0936))* AD26)+_xlfn.IFNA(H105,0)</f>
        <v>0</v>
      </c>
      <c r="X26" s="75" cm="1">
        <f t="array" ref="X26">_xlfn.BYROW(B70, _xlfn.LAMBDA(_xlpm.party,
   SUMIFS(ledger!J:J, ledger!B:B, _xlpm.party, ledger!E:E, "&lt;&gt;*RD*", ledger!D:D, "Slub", ledger!C:C, "&lt;&gt;September Closing CF")
))</f>
        <v>0</v>
      </c>
      <c r="Y26" s="23"/>
      <c r="Z26" s="44">
        <f t="shared" si="7"/>
        <v>0</v>
      </c>
      <c r="AA26" s="23">
        <f>(SUMIF(Table14[Party],Q26,Table14[Credit]))+_xlfn.IFNA(L105,0)</f>
        <v>0</v>
      </c>
      <c r="AB26" s="38">
        <f t="shared" si="8"/>
        <v>0</v>
      </c>
      <c r="AC26" s="22">
        <v>10</v>
      </c>
      <c r="AD26" s="22">
        <v>12</v>
      </c>
    </row>
    <row r="27" spans="2:30" x14ac:dyDescent="0.3">
      <c r="R27" s="23" cm="1">
        <f t="array" ref="R27">_xlfn.BYROW(B71,_xlfn.LAMBDA(_xlpm.party,SUMIFS(ledger!G:G,ledger!B:B,_xlpm.party,ledger!E:E,"&lt;&gt;*RD*")))+_xlfn.IFNA(C106,0)</f>
        <v>0</v>
      </c>
      <c r="S27" s="23" cm="1">
        <f t="array" ref="S27">_xlfn.BYROW(B71, _xlfn.LAMBDA(_xlpm.party, SUMIFS(ledger!G:G, ledger!B:B, _xlpm.party, ledger!E:E, "&lt;&gt;*RD*") / 1.0936 ))+_xlfn.IFNA(D106,0)</f>
        <v>0</v>
      </c>
      <c r="T27" s="23" cm="1">
        <f t="array" ref="T27">(_xlfn.BYROW(B71,_xlfn.LAMBDA(_xlpm.party,SUMIFS(ledger!G:G,ledger!B:B,_xlpm.party,ledger!E:E,"&lt;&gt;*RD*",ledger!D:D,"Chamki")+SUMIFS(ledger!G:G, ledger!B:B, _xlpm.party, ledger!E:E, "&lt;&gt;*RD*", ledger!D:D, "Crinkle")))/1.0936)+_xlfn.IFNA(E106,0)</f>
        <v>0</v>
      </c>
      <c r="U27" s="75" cm="1">
        <f t="array" ref="U27">(_xlfn.BYROW(B71,_xlfn.LAMBDA(_xlpm.party,SUMIFS(ledger!G:G,ledger!B:B,_xlpm.party,ledger!E:E,"&lt;&gt;*RD*",ledger!D:D,"Silky")))/1.0936)+_xlfn.IFNA(F106,0)</f>
        <v>0</v>
      </c>
      <c r="V27" s="23" cm="1">
        <f t="array" ref="V27">(_xlfn.BYROW(B71,_xlfn.LAMBDA(_xlpm.party,(SUMIFS(ledger!G:G,ledger!B:B,_xlpm.party,ledger!E:E,"&lt;&gt;*RD*",ledger!D:D, "Chamki")+SUMIFS(ledger!G:G, ledger!B:B, _xlpm.party, ledger!E:E, "&lt;&gt;*RD*", ledger!D:D, "Crinkle"))/1.0936))*N71)+_xlfn.IFNA(G106,0)</f>
        <v>0</v>
      </c>
      <c r="W27" s="23" cm="1">
        <f t="array" ref="W27">(_xlfn.BYROW(B71,_xlfn.LAMBDA(_xlpm.party,SUMIFS(ledger!G:G,ledger!B:B,_xlpm.party,ledger!E:E,"&lt;&gt;*RD*",ledger!D:D, "Silky")/1.0936))* AD27)+_xlfn.IFNA(H106,0)</f>
        <v>0</v>
      </c>
      <c r="X27" s="75" cm="1">
        <f t="array" ref="X27">_xlfn.BYROW(B71, _xlfn.LAMBDA(_xlpm.party,
   SUMIFS(ledger!J:J, ledger!B:B, _xlpm.party, ledger!E:E, "&lt;&gt;*RD*", ledger!D:D, "Slub", ledger!C:C, "&lt;&gt;September Closing CF")
))</f>
        <v>0</v>
      </c>
      <c r="Y27" s="23"/>
      <c r="Z27" s="44">
        <f t="shared" si="7"/>
        <v>0</v>
      </c>
      <c r="AA27" s="23">
        <f>(SUMIF(Table14[Party],Q27,Table14[Credit]))+_xlfn.IFNA(L106,0)</f>
        <v>0</v>
      </c>
      <c r="AB27" s="38">
        <f t="shared" si="8"/>
        <v>0</v>
      </c>
      <c r="AC27" s="22">
        <v>10</v>
      </c>
      <c r="AD27" s="22">
        <v>12</v>
      </c>
    </row>
    <row r="28" spans="2:30" x14ac:dyDescent="0.3">
      <c r="R28" s="23" cm="1">
        <f t="array" ref="R28">_xlfn.BYROW(B72,_xlfn.LAMBDA(_xlpm.party,SUMIFS(ledger!G:G,ledger!B:B,_xlpm.party,ledger!E:E,"&lt;&gt;*RD*")))+_xlfn.IFNA(C107,0)</f>
        <v>0</v>
      </c>
      <c r="S28" s="23" cm="1">
        <f t="array" ref="S28">_xlfn.BYROW(B72, _xlfn.LAMBDA(_xlpm.party, SUMIFS(ledger!G:G, ledger!B:B, _xlpm.party, ledger!E:E, "&lt;&gt;*RD*") / 1.0936 ))+_xlfn.IFNA(D107,0)</f>
        <v>0</v>
      </c>
      <c r="T28" s="23" cm="1">
        <f t="array" ref="T28">(_xlfn.BYROW(B72,_xlfn.LAMBDA(_xlpm.party,SUMIFS(ledger!G:G,ledger!B:B,_xlpm.party,ledger!E:E,"&lt;&gt;*RD*",ledger!D:D,"Chamki")+SUMIFS(ledger!G:G, ledger!B:B, _xlpm.party, ledger!E:E, "&lt;&gt;*RD*", ledger!D:D, "Crinkle")))/1.0936)+_xlfn.IFNA(E107,0)</f>
        <v>0</v>
      </c>
      <c r="U28" s="75" cm="1">
        <f t="array" ref="U28">(_xlfn.BYROW(B72,_xlfn.LAMBDA(_xlpm.party,SUMIFS(ledger!G:G,ledger!B:B,_xlpm.party,ledger!E:E,"&lt;&gt;*RD*",ledger!D:D,"Silky")))/1.0936)+_xlfn.IFNA(F107,0)</f>
        <v>0</v>
      </c>
      <c r="V28" s="23" cm="1">
        <f t="array" ref="V28">(_xlfn.BYROW(B72,_xlfn.LAMBDA(_xlpm.party,(SUMIFS(ledger!G:G,ledger!B:B,_xlpm.party,ledger!E:E,"&lt;&gt;*RD*",ledger!D:D, "Chamki")+SUMIFS(ledger!G:G, ledger!B:B, _xlpm.party, ledger!E:E, "&lt;&gt;*RD*", ledger!D:D, "Crinkle"))/1.0936))*N72)+_xlfn.IFNA(G107,0)</f>
        <v>0</v>
      </c>
      <c r="W28" s="23" cm="1">
        <f t="array" ref="W28">(_xlfn.BYROW(B72,_xlfn.LAMBDA(_xlpm.party,SUMIFS(ledger!G:G,ledger!B:B,_xlpm.party,ledger!E:E,"&lt;&gt;*RD*",ledger!D:D, "Silky")/1.0936))* AD28)+_xlfn.IFNA(H107,0)</f>
        <v>0</v>
      </c>
      <c r="X28" s="75" cm="1">
        <f t="array" ref="X28">_xlfn.BYROW(B72, _xlfn.LAMBDA(_xlpm.party,
   SUMIFS(ledger!J:J, ledger!B:B, _xlpm.party, ledger!E:E, "&lt;&gt;*RD*", ledger!D:D, "Slub", ledger!C:C, "&lt;&gt;September Closing CF")
))</f>
        <v>0</v>
      </c>
      <c r="Y28" s="23"/>
      <c r="Z28" s="44">
        <f t="shared" si="7"/>
        <v>0</v>
      </c>
      <c r="AA28" s="23">
        <f>(SUMIF(Table14[Party],Q28,Table14[Credit]))+_xlfn.IFNA(L107,0)</f>
        <v>0</v>
      </c>
      <c r="AB28" s="38">
        <f t="shared" si="8"/>
        <v>0</v>
      </c>
      <c r="AC28" s="22">
        <v>10</v>
      </c>
      <c r="AD28" s="22">
        <v>12</v>
      </c>
    </row>
    <row r="29" spans="2:30" x14ac:dyDescent="0.3">
      <c r="R29" s="23" cm="1">
        <f t="array" ref="R29">_xlfn.BYROW(B73,_xlfn.LAMBDA(_xlpm.party,SUMIFS(ledger!G:G,ledger!B:B,_xlpm.party,ledger!E:E,"&lt;&gt;*RD*")))+_xlfn.IFNA(C108,0)</f>
        <v>0</v>
      </c>
      <c r="S29" s="23" cm="1">
        <f t="array" ref="S29">_xlfn.BYROW(B73, _xlfn.LAMBDA(_xlpm.party, SUMIFS(ledger!G:G, ledger!B:B, _xlpm.party, ledger!E:E, "&lt;&gt;*RD*") / 1.0936 ))+_xlfn.IFNA(D108,0)</f>
        <v>0</v>
      </c>
      <c r="T29" s="23" cm="1">
        <f t="array" ref="T29">(_xlfn.BYROW(B73,_xlfn.LAMBDA(_xlpm.party,SUMIFS(ledger!G:G,ledger!B:B,_xlpm.party,ledger!E:E,"&lt;&gt;*RD*",ledger!D:D,"Chamki")+SUMIFS(ledger!G:G, ledger!B:B, _xlpm.party, ledger!E:E, "&lt;&gt;*RD*", ledger!D:D, "Crinkle")))/1.0936)+_xlfn.IFNA(E108,0)</f>
        <v>0</v>
      </c>
      <c r="U29" s="75" cm="1">
        <f t="array" ref="U29">(_xlfn.BYROW(B73,_xlfn.LAMBDA(_xlpm.party,SUMIFS(ledger!G:G,ledger!B:B,_xlpm.party,ledger!E:E,"&lt;&gt;*RD*",ledger!D:D,"Silky")))/1.0936)+_xlfn.IFNA(F108,0)</f>
        <v>0</v>
      </c>
      <c r="V29" s="23" cm="1">
        <f t="array" ref="V29">(_xlfn.BYROW(B73,_xlfn.LAMBDA(_xlpm.party,(SUMIFS(ledger!G:G,ledger!B:B,_xlpm.party,ledger!E:E,"&lt;&gt;*RD*",ledger!D:D, "Chamki")+SUMIFS(ledger!G:G, ledger!B:B, _xlpm.party, ledger!E:E, "&lt;&gt;*RD*", ledger!D:D, "Crinkle"))/1.0936))*N73)+_xlfn.IFNA(G108,0)</f>
        <v>0</v>
      </c>
      <c r="W29" s="23" cm="1">
        <f t="array" ref="W29">(_xlfn.BYROW(B73,_xlfn.LAMBDA(_xlpm.party,SUMIFS(ledger!G:G,ledger!B:B,_xlpm.party,ledger!E:E,"&lt;&gt;*RD*",ledger!D:D, "Silky")/1.0936))* AD29)+_xlfn.IFNA(H108,0)</f>
        <v>0</v>
      </c>
      <c r="X29" s="23"/>
      <c r="Y29" s="23"/>
      <c r="Z29" s="44">
        <f t="shared" si="7"/>
        <v>0</v>
      </c>
      <c r="AA29" s="23">
        <f>(SUMIF(Table14[Party],Q29,Table14[Credit]))+_xlfn.IFNA(L108,0)</f>
        <v>0</v>
      </c>
      <c r="AB29" s="38">
        <f t="shared" si="8"/>
        <v>0</v>
      </c>
      <c r="AC29" s="22">
        <v>10</v>
      </c>
      <c r="AD29" s="22">
        <v>12</v>
      </c>
    </row>
    <row r="30" spans="2:30" x14ac:dyDescent="0.3">
      <c r="R30" s="23" cm="1">
        <f t="array" ref="R30">_xlfn.BYROW(B74,_xlfn.LAMBDA(_xlpm.party,SUMIFS(ledger!G:G,ledger!B:B,_xlpm.party,ledger!E:E,"&lt;&gt;*RD*")))+_xlfn.IFNA(C109,0)</f>
        <v>0</v>
      </c>
      <c r="S30" s="23" cm="1">
        <f t="array" ref="S30">_xlfn.BYROW(B74, _xlfn.LAMBDA(_xlpm.party, SUMIFS(ledger!G:G, ledger!B:B, _xlpm.party, ledger!E:E, "&lt;&gt;*RD*") / 1.0936 ))+_xlfn.IFNA(D109,0)</f>
        <v>0</v>
      </c>
      <c r="T30" s="23" cm="1">
        <f t="array" ref="T30">(_xlfn.BYROW(B74,_xlfn.LAMBDA(_xlpm.party,SUMIFS(ledger!G:G,ledger!B:B,_xlpm.party,ledger!E:E,"&lt;&gt;*RD*",ledger!D:D,"Chamki")+SUMIFS(ledger!G:G, ledger!B:B, _xlpm.party, ledger!E:E, "&lt;&gt;*RD*", ledger!D:D, "Crinkle")))/1.0936)+_xlfn.IFNA(E109,0)</f>
        <v>0</v>
      </c>
      <c r="U30" s="75" cm="1">
        <f t="array" ref="U30">(_xlfn.BYROW(B74,_xlfn.LAMBDA(_xlpm.party,SUMIFS(ledger!G:G,ledger!B:B,_xlpm.party,ledger!E:E,"&lt;&gt;*RD*",ledger!D:D,"Silky")))/1.0936)+_xlfn.IFNA(F109,0)</f>
        <v>0</v>
      </c>
      <c r="V30" s="23" cm="1">
        <f t="array" ref="V30">(_xlfn.BYROW(B74,_xlfn.LAMBDA(_xlpm.party,(SUMIFS(ledger!G:G,ledger!B:B,_xlpm.party,ledger!E:E,"&lt;&gt;*RD*",ledger!D:D, "Chamki")+SUMIFS(ledger!G:G, ledger!B:B, _xlpm.party, ledger!E:E, "&lt;&gt;*RD*", ledger!D:D, "Crinkle"))/1.0936))*N74)+_xlfn.IFNA(G109,0)</f>
        <v>0</v>
      </c>
      <c r="W30" s="23" cm="1">
        <f t="array" ref="W30">(_xlfn.BYROW(B74,_xlfn.LAMBDA(_xlpm.party,SUMIFS(ledger!G:G,ledger!B:B,_xlpm.party,ledger!E:E,"&lt;&gt;*RD*",ledger!D:D, "Silky")/1.0936))* AD30)+_xlfn.IFNA(H109,0)</f>
        <v>0</v>
      </c>
      <c r="X30" s="23"/>
      <c r="Y30" s="23"/>
      <c r="Z30" s="44">
        <f t="shared" si="7"/>
        <v>0</v>
      </c>
      <c r="AA30" s="23">
        <f>(SUMIF(Table14[Party],Q30,Table14[Credit]))+_xlfn.IFNA(L109,0)</f>
        <v>0</v>
      </c>
      <c r="AB30" s="38">
        <f t="shared" si="8"/>
        <v>0</v>
      </c>
      <c r="AC30" s="22">
        <v>10</v>
      </c>
      <c r="AD30" s="22">
        <v>12</v>
      </c>
    </row>
    <row r="31" spans="2:30" x14ac:dyDescent="0.3">
      <c r="R31" s="23" cm="1">
        <f t="array" ref="R31">_xlfn.BYROW(B75,_xlfn.LAMBDA(_xlpm.party,SUMIFS(ledger!G:G,ledger!B:B,_xlpm.party,ledger!E:E,"&lt;&gt;*RD*")))+_xlfn.IFNA(C110,0)</f>
        <v>0</v>
      </c>
      <c r="S31" s="23" cm="1">
        <f t="array" ref="S31">_xlfn.BYROW(B75, _xlfn.LAMBDA(_xlpm.party, SUMIFS(ledger!G:G, ledger!B:B, _xlpm.party, ledger!E:E, "&lt;&gt;*RD*") / 1.0936 ))+_xlfn.IFNA(D110,0)</f>
        <v>0</v>
      </c>
      <c r="T31" s="23" cm="1">
        <f t="array" ref="T31">(_xlfn.BYROW(B75,_xlfn.LAMBDA(_xlpm.party,SUMIFS(ledger!G:G,ledger!B:B,_xlpm.party,ledger!E:E,"&lt;&gt;*RD*",ledger!D:D,"Chamki")+SUMIFS(ledger!G:G, ledger!B:B, _xlpm.party, ledger!E:E, "&lt;&gt;*RD*", ledger!D:D, "Crinkle")))/1.0936)+_xlfn.IFNA(E110,0)</f>
        <v>0</v>
      </c>
      <c r="U31" s="75" cm="1">
        <f t="array" ref="U31">(_xlfn.BYROW(B75,_xlfn.LAMBDA(_xlpm.party,SUMIFS(ledger!G:G,ledger!B:B,_xlpm.party,ledger!E:E,"&lt;&gt;*RD*",ledger!D:D,"Silky")))/1.0936)+_xlfn.IFNA(F110,0)</f>
        <v>0</v>
      </c>
      <c r="V31" s="23" cm="1">
        <f t="array" ref="V31">(_xlfn.BYROW(B75,_xlfn.LAMBDA(_xlpm.party,(SUMIFS(ledger!G:G,ledger!B:B,_xlpm.party,ledger!E:E,"&lt;&gt;*RD*",ledger!D:D, "Chamki")+SUMIFS(ledger!G:G, ledger!B:B, _xlpm.party, ledger!E:E, "&lt;&gt;*RD*", ledger!D:D, "Crinkle"))/1.0936))*N75)+_xlfn.IFNA(G110,0)</f>
        <v>0</v>
      </c>
      <c r="W31" s="23" cm="1">
        <f t="array" ref="W31">(_xlfn.BYROW(B75,_xlfn.LAMBDA(_xlpm.party,SUMIFS(ledger!G:G,ledger!B:B,_xlpm.party,ledger!E:E,"&lt;&gt;*RD*",ledger!D:D, "Silky")/1.0936))* AD31)+_xlfn.IFNA(H110,0)</f>
        <v>0</v>
      </c>
      <c r="X31" s="23"/>
      <c r="Y31" s="23"/>
      <c r="Z31" s="44">
        <f t="shared" si="7"/>
        <v>0</v>
      </c>
      <c r="AA31" s="23">
        <f>(SUMIF(Table14[Party],Q31,Table14[Credit]))+_xlfn.IFNA(L110,0)</f>
        <v>0</v>
      </c>
      <c r="AB31" s="38">
        <f t="shared" si="8"/>
        <v>0</v>
      </c>
      <c r="AC31" s="22">
        <v>10</v>
      </c>
      <c r="AD31" s="22">
        <v>12</v>
      </c>
    </row>
    <row r="32" spans="2:30" x14ac:dyDescent="0.3">
      <c r="R32" s="23" cm="1">
        <f t="array" ref="R32">_xlfn.BYROW(B76,_xlfn.LAMBDA(_xlpm.party,SUMIFS(ledger!G:G,ledger!B:B,_xlpm.party,ledger!E:E,"&lt;&gt;*RD*")))+_xlfn.IFNA(C111,0)</f>
        <v>0</v>
      </c>
      <c r="S32" s="23" cm="1">
        <f t="array" ref="S32">_xlfn.BYROW(B76, _xlfn.LAMBDA(_xlpm.party, SUMIFS(ledger!G:G, ledger!B:B, _xlpm.party, ledger!E:E, "&lt;&gt;*RD*") / 1.0936 ))+_xlfn.IFNA(D111,0)</f>
        <v>0</v>
      </c>
      <c r="T32" s="23" cm="1">
        <f t="array" ref="T32">(_xlfn.BYROW(B76,_xlfn.LAMBDA(_xlpm.party,SUMIFS(ledger!G:G,ledger!B:B,_xlpm.party,ledger!E:E,"&lt;&gt;*RD*",ledger!D:D,"Chamki")+SUMIFS(ledger!G:G, ledger!B:B, _xlpm.party, ledger!E:E, "&lt;&gt;*RD*", ledger!D:D, "Crinkle")))/1.0936)+_xlfn.IFNA(E111,0)</f>
        <v>0</v>
      </c>
      <c r="U32" s="75" cm="1">
        <f t="array" ref="U32">(_xlfn.BYROW(B76,_xlfn.LAMBDA(_xlpm.party,SUMIFS(ledger!G:G,ledger!B:B,_xlpm.party,ledger!E:E,"&lt;&gt;*RD*",ledger!D:D,"Silky")))/1.0936)+_xlfn.IFNA(F111,0)</f>
        <v>0</v>
      </c>
      <c r="V32" s="23" cm="1">
        <f t="array" ref="V32">(_xlfn.BYROW(B76,_xlfn.LAMBDA(_xlpm.party,(SUMIFS(ledger!G:G,ledger!B:B,_xlpm.party,ledger!E:E,"&lt;&gt;*RD*",ledger!D:D, "Chamki")+SUMIFS(ledger!G:G, ledger!B:B, _xlpm.party, ledger!E:E, "&lt;&gt;*RD*", ledger!D:D, "Crinkle"))/1.0936))*N76)+_xlfn.IFNA(G111,0)</f>
        <v>0</v>
      </c>
      <c r="W32" s="23" cm="1">
        <f t="array" ref="W32">(_xlfn.BYROW(B76,_xlfn.LAMBDA(_xlpm.party,SUMIFS(ledger!G:G,ledger!B:B,_xlpm.party,ledger!E:E,"&lt;&gt;*RD*",ledger!D:D, "Silky")/1.0936))* AD32)+_xlfn.IFNA(H111,0)</f>
        <v>0</v>
      </c>
      <c r="X32" s="23"/>
      <c r="Y32" s="23"/>
      <c r="Z32" s="44">
        <f t="shared" si="7"/>
        <v>0</v>
      </c>
      <c r="AA32" s="23">
        <f>(SUMIF(Table14[Party],Q32,Table14[Credit]))+_xlfn.IFNA(L111,0)</f>
        <v>0</v>
      </c>
      <c r="AB32" s="38">
        <f t="shared" si="8"/>
        <v>0</v>
      </c>
      <c r="AC32" s="22">
        <v>10</v>
      </c>
      <c r="AD32" s="22">
        <v>12</v>
      </c>
    </row>
    <row r="33" spans="2:30" x14ac:dyDescent="0.3">
      <c r="R33" s="23" cm="1">
        <f t="array" ref="R33">_xlfn.BYROW(B77,_xlfn.LAMBDA(_xlpm.party,SUMIFS(ledger!G:G,ledger!B:B,_xlpm.party,ledger!E:E,"&lt;&gt;*RD*")))+_xlfn.IFNA(C112,0)</f>
        <v>0</v>
      </c>
      <c r="S33" s="23" cm="1">
        <f t="array" ref="S33">_xlfn.BYROW(B77, _xlfn.LAMBDA(_xlpm.party, SUMIFS(ledger!G:G, ledger!B:B, _xlpm.party, ledger!E:E, "&lt;&gt;*RD*") / 1.0936 ))+_xlfn.IFNA(D112,0)</f>
        <v>0</v>
      </c>
      <c r="T33" s="23" cm="1">
        <f t="array" ref="T33">(_xlfn.BYROW(B77,_xlfn.LAMBDA(_xlpm.party,SUMIFS(ledger!G:G,ledger!B:B,_xlpm.party,ledger!E:E,"&lt;&gt;*RD*",ledger!D:D,"Chamki")+SUMIFS(ledger!G:G, ledger!B:B, _xlpm.party, ledger!E:E, "&lt;&gt;*RD*", ledger!D:D, "Crinkle")))/1.0936)+_xlfn.IFNA(E112,0)</f>
        <v>0</v>
      </c>
      <c r="U33" s="75" cm="1">
        <f t="array" ref="U33">(_xlfn.BYROW(B77,_xlfn.LAMBDA(_xlpm.party,SUMIFS(ledger!G:G,ledger!B:B,_xlpm.party,ledger!E:E,"&lt;&gt;*RD*",ledger!D:D,"Silky")))/1.0936)+_xlfn.IFNA(F112,0)</f>
        <v>0</v>
      </c>
      <c r="V33" s="23" cm="1">
        <f t="array" ref="V33">(_xlfn.BYROW(B77,_xlfn.LAMBDA(_xlpm.party,(SUMIFS(ledger!G:G,ledger!B:B,_xlpm.party,ledger!E:E,"&lt;&gt;*RD*",ledger!D:D, "Chamki")+SUMIFS(ledger!G:G, ledger!B:B, _xlpm.party, ledger!E:E, "&lt;&gt;*RD*", ledger!D:D, "Crinkle"))/1.0936))*N77)+_xlfn.IFNA(G112,0)</f>
        <v>0</v>
      </c>
      <c r="W33" s="23" cm="1">
        <f t="array" ref="W33">(_xlfn.BYROW(B77,_xlfn.LAMBDA(_xlpm.party,SUMIFS(ledger!G:G,ledger!B:B,_xlpm.party,ledger!E:E,"&lt;&gt;*RD*",ledger!D:D, "Silky")/1.0936))* AD33)+_xlfn.IFNA(H112,0)</f>
        <v>0</v>
      </c>
      <c r="X33" s="23"/>
      <c r="Y33" s="23"/>
      <c r="Z33" s="44">
        <f t="shared" si="7"/>
        <v>0</v>
      </c>
      <c r="AA33" s="23">
        <f>(SUMIF(Table14[Party],Q33,Table14[Credit]))+_xlfn.IFNA(L112,0)</f>
        <v>0</v>
      </c>
      <c r="AB33" s="38">
        <f t="shared" si="8"/>
        <v>0</v>
      </c>
      <c r="AC33" s="22">
        <v>10</v>
      </c>
      <c r="AD33" s="22">
        <v>12</v>
      </c>
    </row>
    <row r="34" spans="2:30" x14ac:dyDescent="0.3">
      <c r="R34" s="23" cm="1">
        <f t="array" ref="R34">_xlfn.BYROW(B78,_xlfn.LAMBDA(_xlpm.party,SUMIFS(ledger!G:G,ledger!B:B,_xlpm.party,ledger!E:E,"&lt;&gt;*RD*")))+_xlfn.IFNA(C113,0)</f>
        <v>0</v>
      </c>
      <c r="S34" s="23" cm="1">
        <f t="array" ref="S34">_xlfn.BYROW(B78, _xlfn.LAMBDA(_xlpm.party, SUMIFS(ledger!G:G, ledger!B:B, _xlpm.party, ledger!E:E, "&lt;&gt;*RD*") / 1.0936 ))+_xlfn.IFNA(D113,0)</f>
        <v>0</v>
      </c>
      <c r="T34" s="23" cm="1">
        <f t="array" ref="T34">(_xlfn.BYROW(B78,_xlfn.LAMBDA(_xlpm.party,SUMIFS(ledger!G:G,ledger!B:B,_xlpm.party,ledger!E:E,"&lt;&gt;*RD*",ledger!D:D,"Chamki")+SUMIFS(ledger!G:G, ledger!B:B, _xlpm.party, ledger!E:E, "&lt;&gt;*RD*", ledger!D:D, "Crinkle")))/1.0936)+_xlfn.IFNA(E113,0)</f>
        <v>0</v>
      </c>
      <c r="U34" s="75" cm="1">
        <f t="array" ref="U34">(_xlfn.BYROW(B78,_xlfn.LAMBDA(_xlpm.party,SUMIFS(ledger!G:G,ledger!B:B,_xlpm.party,ledger!E:E,"&lt;&gt;*RD*",ledger!D:D,"Silky")))/1.0936)+_xlfn.IFNA(F113,0)</f>
        <v>0</v>
      </c>
      <c r="V34" s="23" cm="1">
        <f t="array" ref="V34">(_xlfn.BYROW(B78,_xlfn.LAMBDA(_xlpm.party,(SUMIFS(ledger!G:G,ledger!B:B,_xlpm.party,ledger!E:E,"&lt;&gt;*RD*",ledger!D:D, "Chamki")+SUMIFS(ledger!G:G, ledger!B:B, _xlpm.party, ledger!E:E, "&lt;&gt;*RD*", ledger!D:D, "Crinkle"))/1.0936))*N78)+_xlfn.IFNA(G113,0)</f>
        <v>0</v>
      </c>
      <c r="W34" s="23" cm="1">
        <f t="array" ref="W34">(_xlfn.BYROW(B78,_xlfn.LAMBDA(_xlpm.party,SUMIFS(ledger!G:G,ledger!B:B,_xlpm.party,ledger!E:E,"&lt;&gt;*RD*",ledger!D:D, "Silky")/1.0936))* AD34)+_xlfn.IFNA(H113,0)</f>
        <v>0</v>
      </c>
      <c r="X34" s="23"/>
      <c r="Y34" s="23"/>
      <c r="Z34" s="44">
        <f t="shared" si="7"/>
        <v>0</v>
      </c>
      <c r="AA34" s="23">
        <f>(SUMIF(Table14[Party],Q34,Table14[Credit]))+_xlfn.IFNA(L113,0)</f>
        <v>0</v>
      </c>
      <c r="AB34" s="38">
        <f t="shared" si="8"/>
        <v>0</v>
      </c>
      <c r="AC34" s="22">
        <v>10</v>
      </c>
      <c r="AD34" s="22">
        <v>12</v>
      </c>
    </row>
    <row r="35" spans="2:30" x14ac:dyDescent="0.3">
      <c r="R35" s="23" cm="1">
        <f t="array" ref="R35">_xlfn.BYROW(B79,_xlfn.LAMBDA(_xlpm.party,SUMIFS(ledger!G:G,ledger!B:B,_xlpm.party,ledger!E:E,"&lt;&gt;*RD*")))+_xlfn.IFNA(C114,0)</f>
        <v>0</v>
      </c>
      <c r="S35" s="23" cm="1">
        <f t="array" ref="S35">_xlfn.BYROW(B79, _xlfn.LAMBDA(_xlpm.party, SUMIFS(ledger!G:G, ledger!B:B, _xlpm.party, ledger!E:E, "&lt;&gt;*RD*") / 1.0936 ))+_xlfn.IFNA(D114,0)</f>
        <v>0</v>
      </c>
      <c r="T35" s="23" cm="1">
        <f t="array" ref="T35">(_xlfn.BYROW(B79,_xlfn.LAMBDA(_xlpm.party,SUMIFS(ledger!G:G,ledger!B:B,_xlpm.party,ledger!E:E,"&lt;&gt;*RD*",ledger!D:D,"Chamki")+SUMIFS(ledger!G:G, ledger!B:B, _xlpm.party, ledger!E:E, "&lt;&gt;*RD*", ledger!D:D, "Crinkle")))/1.0936)+_xlfn.IFNA(E114,0)</f>
        <v>0</v>
      </c>
      <c r="U35" s="75" cm="1">
        <f t="array" ref="U35">(_xlfn.BYROW(B79,_xlfn.LAMBDA(_xlpm.party,SUMIFS(ledger!G:G,ledger!B:B,_xlpm.party,ledger!E:E,"&lt;&gt;*RD*",ledger!D:D,"Silky")))/1.0936)+_xlfn.IFNA(F114,0)</f>
        <v>0</v>
      </c>
      <c r="V35" s="23" cm="1">
        <f t="array" ref="V35">(_xlfn.BYROW(B79,_xlfn.LAMBDA(_xlpm.party,(SUMIFS(ledger!G:G,ledger!B:B,_xlpm.party,ledger!E:E,"&lt;&gt;*RD*",ledger!D:D, "Chamki")+SUMIFS(ledger!G:G, ledger!B:B, _xlpm.party, ledger!E:E, "&lt;&gt;*RD*", ledger!D:D, "Crinkle"))/1.0936))*N79)+_xlfn.IFNA(G114,0)</f>
        <v>0</v>
      </c>
      <c r="W35" s="23" cm="1">
        <f t="array" ref="W35">(_xlfn.BYROW(B79,_xlfn.LAMBDA(_xlpm.party,SUMIFS(ledger!G:G,ledger!B:B,_xlpm.party,ledger!E:E,"&lt;&gt;*RD*",ledger!D:D, "Silky")/1.0936))* AD35)+_xlfn.IFNA(H114,0)</f>
        <v>0</v>
      </c>
      <c r="X35" s="23"/>
      <c r="Y35" s="23"/>
      <c r="Z35" s="44">
        <f t="shared" si="7"/>
        <v>0</v>
      </c>
      <c r="AA35" s="23">
        <f>(SUMIF(Table14[Party],Q35,Table14[Credit]))+_xlfn.IFNA(L114,0)</f>
        <v>0</v>
      </c>
      <c r="AB35" s="38">
        <f t="shared" si="8"/>
        <v>0</v>
      </c>
      <c r="AC35" s="22">
        <v>10</v>
      </c>
      <c r="AD35" s="22">
        <v>12</v>
      </c>
    </row>
    <row r="47" spans="2:30" x14ac:dyDescent="0.3">
      <c r="B47" t="s">
        <v>158</v>
      </c>
    </row>
    <row r="48" spans="2:30" x14ac:dyDescent="0.3">
      <c r="B48" s="22"/>
      <c r="C48" s="24" t="s">
        <v>10</v>
      </c>
      <c r="D48" s="24" t="s">
        <v>11</v>
      </c>
      <c r="E48" s="24" t="s">
        <v>12</v>
      </c>
      <c r="F48" s="24" t="s">
        <v>13</v>
      </c>
      <c r="G48" s="24" t="s">
        <v>14</v>
      </c>
      <c r="H48" s="24" t="s">
        <v>15</v>
      </c>
      <c r="I48" s="24" t="s">
        <v>315</v>
      </c>
      <c r="J48" s="24" t="s">
        <v>316</v>
      </c>
      <c r="K48" s="24" t="s">
        <v>16</v>
      </c>
      <c r="L48" s="24" t="s">
        <v>17</v>
      </c>
      <c r="M48" s="24" t="s">
        <v>18</v>
      </c>
      <c r="N48" s="24" t="s">
        <v>19</v>
      </c>
      <c r="O48" s="24" t="s">
        <v>20</v>
      </c>
    </row>
    <row r="49" spans="1:26" x14ac:dyDescent="0.3">
      <c r="A49" t="s">
        <v>33</v>
      </c>
      <c r="B49" s="25" t="str" cm="1">
        <f t="array" ref="B49:B67">_xlfn.UNIQUE(Table1[Party Name])</f>
        <v>BSC</v>
      </c>
      <c r="C49" s="23" cm="1">
        <f t="array" ref="C49:C67">_xlfn.BYROW(_xlfn.ANCHORARRAY(B49),_xlfn.LAMBDA(_xlpm.party,SUMIFS(ledger!G:G,ledger!B:B,_xlpm.party,ledger!E:E,"&lt;&gt;*RD*")))</f>
        <v>219714</v>
      </c>
      <c r="D49" s="23" cm="1">
        <f t="array" ref="D49:D67">_xlfn.BYROW(_xlfn.ANCHORARRAY(B49), _xlfn.LAMBDA(_xlpm.party, SUMIFS(ledger!G:G, ledger!B:B, _xlpm.party, ledger!E:E, "&lt;&gt;*RD*") / 1.0936 ))</f>
        <v>200908.9246525238</v>
      </c>
      <c r="E49" s="68" cm="1">
        <f t="array" ref="E49:E67">(_xlfn.BYROW(_xlfn.ANCHORARRAY(B49),_xlfn.LAMBDA(_xlpm.party,SUMIFS(ledger!G:G,ledger!B:B,_xlpm.party,ledger!E:E,"&lt;&gt;*RD*",ledger!D:D,"Chamki")+SUMIFS(ledger!G:G, ledger!B:B, _xlpm.party, ledger!E:E, "&lt;&gt;*RD*", ledger!D:D, "Crinkle")))/1.0936)</f>
        <v>142741.40453547917</v>
      </c>
      <c r="F49" s="68" cm="1">
        <f t="array" ref="F49:F67">(_xlfn.BYROW(_xlfn.ANCHORARRAY(B49),_xlfn.LAMBDA(_xlpm.party,SUMIFS(ledger!G:G,ledger!B:B,_xlpm.party,ledger!E:E,"&lt;&gt;*RD*",ledger!D:D,"Silky")))/1.0936)</f>
        <v>58167.520117044631</v>
      </c>
      <c r="G49" s="23" cm="1">
        <f t="array" ref="G49">(_xlfn.BYROW(B49,_xlfn.LAMBDA(_xlpm.party,
(SUMIFS(ledger!J:J,ledger!B:B,_xlpm.party,ledger!E:E,"&lt;&gt;*RD*",ledger!D:D,"Chamki",ledger!C:C,"&lt;&gt;September Closing CF")+
SUMIFS(ledger!J:J,ledger!B:B,_xlpm.party,ledger!E:E,"&lt;&gt;*RD*",ledger!D:D,"Crinkle",ledger!C:C,"&lt;&gt;September Closing CF")
))))</f>
        <v>1427414.0453547917</v>
      </c>
      <c r="H49" s="23" cm="1">
        <f t="array" ref="H49">_xlfn.BYROW(B49, _xlfn.LAMBDA(_xlpm.party,
   SUMIFS(ledger!J:J, ledger!B:B, _xlpm.party, ledger!E:E, "&lt;&gt;*RD*", ledger!D:D, "Silky", ledger!C:C, "&lt;&gt;September Closing CF")
))</f>
        <v>698010.24140453548</v>
      </c>
      <c r="I49" s="23" cm="1">
        <f t="array" ref="I49">_xlfn.BYROW(B49, _xlfn.LAMBDA(_xlpm.party,
   SUMIFS(ledger!J:J, ledger!B:B, _xlpm.party, ledger!E:E, "&lt;&gt;*RD*", ledger!D:D, "Slub", ledger!C:C, "&lt;&gt;September Closing CF")
))</f>
        <v>0</v>
      </c>
      <c r="J49" s="23" cm="1">
        <f t="array" ref="J49">_xlfn.BYROW(B49, _xlfn.LAMBDA(_xlpm.party,
   SUMIFS(ledger!J:J, ledger!B:B, _xlpm.party, ledger!E:E, "&lt;&gt;*RD*", ledger!D:D, "Satin", ledger!C:C, "&lt;&gt;September Closing CF")
))</f>
        <v>0</v>
      </c>
      <c r="K49" s="44">
        <f>G49+H49+I49+J49</f>
        <v>2125424.2867593272</v>
      </c>
      <c r="L49" s="23">
        <f>(SUMIF(Table14[Party],B49,Table14[Credit]))</f>
        <v>3960588</v>
      </c>
      <c r="M49" s="42">
        <f>K49-L49</f>
        <v>-1835163.7132406728</v>
      </c>
      <c r="N49" s="22">
        <v>10</v>
      </c>
      <c r="O49" s="22">
        <v>12</v>
      </c>
    </row>
    <row r="50" spans="1:26" x14ac:dyDescent="0.3">
      <c r="B50" s="25" t="str">
        <v>Ejaz Sahab</v>
      </c>
      <c r="C50" s="23">
        <v>48388</v>
      </c>
      <c r="D50" s="23">
        <v>44246.525237746893</v>
      </c>
      <c r="E50" s="68">
        <v>0</v>
      </c>
      <c r="F50" s="68">
        <v>44246.525237746893</v>
      </c>
      <c r="G50" s="23" cm="1">
        <f t="array" ref="G50">(_xlfn.BYROW(B50,_xlfn.LAMBDA(_xlpm.party,
(SUMIFS(ledger!J:J,ledger!B:B,_xlpm.party,ledger!E:E,"&lt;&gt;*RD*",ledger!D:D,"Chamki",ledger!C:C,"&lt;&gt;September Closing CF")+
SUMIFS(ledger!J:J,ledger!B:B,_xlpm.party,ledger!E:E,"&lt;&gt;*RD*",ledger!D:D,"Crinkle",ledger!C:C,"&lt;&gt;September Closing CF")
))))</f>
        <v>0</v>
      </c>
      <c r="H50" s="23" cm="1">
        <f t="array" ref="H50">_xlfn.BYROW(B50, _xlfn.LAMBDA(_xlpm.party,
   SUMIFS(ledger!J:J, ledger!B:B, _xlpm.party, ledger!E:E, "&lt;&gt;*RD*", ledger!D:D, "Silky", ledger!C:C, "&lt;&gt;September Closing CF")
))</f>
        <v>530958.30285296275</v>
      </c>
      <c r="I50" s="23" cm="1">
        <f t="array" ref="I50">_xlfn.BYROW(B50, _xlfn.LAMBDA(_xlpm.party,
   SUMIFS(ledger!J:J, ledger!B:B, _xlpm.party, ledger!E:E, "&lt;&gt;*RD*", ledger!D:D, "Slub", ledger!C:C, "&lt;&gt;September Closing CF")
))</f>
        <v>0</v>
      </c>
      <c r="J50" s="23" cm="1">
        <f t="array" ref="J50">_xlfn.BYROW(B50, _xlfn.LAMBDA(_xlpm.party,
   SUMIFS(ledger!J:J, ledger!B:B, _xlpm.party, ledger!E:E, "&lt;&gt;*RD*", ledger!D:D, "Satin", ledger!C:C, "&lt;&gt;September Closing CF")
))</f>
        <v>0</v>
      </c>
      <c r="K50" s="44">
        <f t="shared" ref="K50:K69" si="9">G50+H50+I50+J50</f>
        <v>530958.30285296275</v>
      </c>
      <c r="L50" s="23">
        <f>(SUMIF(Table14[Party],B50,Table14[Credit]))</f>
        <v>0</v>
      </c>
      <c r="M50" s="42">
        <f>K50-L50</f>
        <v>530958.30285296275</v>
      </c>
      <c r="N50" s="22">
        <v>10</v>
      </c>
      <c r="O50" s="22">
        <v>12</v>
      </c>
    </row>
    <row r="51" spans="1:26" x14ac:dyDescent="0.3">
      <c r="B51" s="25" t="str">
        <v>Arshad</v>
      </c>
      <c r="C51" s="23">
        <v>129234</v>
      </c>
      <c r="D51" s="23">
        <v>118173.00658376007</v>
      </c>
      <c r="E51" s="68">
        <v>118173.00658376007</v>
      </c>
      <c r="F51" s="68">
        <v>0</v>
      </c>
      <c r="G51" s="23" cm="1">
        <f t="array" ref="G51">(_xlfn.BYROW(B51,_xlfn.LAMBDA(_xlpm.party,
(SUMIFS(ledger!J:J,ledger!B:B,_xlpm.party,ledger!E:E,"&lt;&gt;*RD*",ledger!D:D,"Chamki",ledger!C:C,"&lt;&gt;September Closing CF")+
SUMIFS(ledger!J:J,ledger!B:B,_xlpm.party,ledger!E:E,"&lt;&gt;*RD*",ledger!D:D,"Crinkle",ledger!C:C,"&lt;&gt;September Closing CF")
))))</f>
        <v>1181730.0658376007</v>
      </c>
      <c r="H51" s="23" cm="1">
        <f t="array" ref="H51">_xlfn.BYROW(B51, _xlfn.LAMBDA(_xlpm.party,
   SUMIFS(ledger!J:J, ledger!B:B, _xlpm.party, ledger!E:E, "&lt;&gt;*RD*", ledger!D:D, "Silky", ledger!C:C, "&lt;&gt;September Closing CF")
))</f>
        <v>0</v>
      </c>
      <c r="I51" s="23" cm="1">
        <f t="array" ref="I51">_xlfn.BYROW(B51, _xlfn.LAMBDA(_xlpm.party,
   SUMIFS(ledger!J:J, ledger!B:B, _xlpm.party, ledger!E:E, "&lt;&gt;*RD*", ledger!D:D, "Slub", ledger!C:C, "&lt;&gt;September Closing CF")
))</f>
        <v>0</v>
      </c>
      <c r="J51" s="23" cm="1">
        <f t="array" ref="J51">_xlfn.BYROW(B51, _xlfn.LAMBDA(_xlpm.party,
   SUMIFS(ledger!J:J, ledger!B:B, _xlpm.party, ledger!E:E, "&lt;&gt;*RD*", ledger!D:D, "Satin", ledger!C:C, "&lt;&gt;September Closing CF")
))</f>
        <v>0</v>
      </c>
      <c r="K51" s="44">
        <f t="shared" si="9"/>
        <v>1181730.0658376007</v>
      </c>
      <c r="L51" s="23">
        <f>(SUMIF(Table14[Party],B51,Table14[Credit]))</f>
        <v>1087234</v>
      </c>
      <c r="M51" s="42">
        <f>K51-L51</f>
        <v>94496.065837600734</v>
      </c>
      <c r="N51" s="22">
        <v>10</v>
      </c>
      <c r="O51" s="22">
        <v>12</v>
      </c>
    </row>
    <row r="52" spans="1:26" x14ac:dyDescent="0.3">
      <c r="B52" s="25" t="str">
        <v>Shehzad Kamoki</v>
      </c>
      <c r="C52" s="23">
        <v>0</v>
      </c>
      <c r="D52" s="23">
        <v>0</v>
      </c>
      <c r="E52" s="68">
        <v>0</v>
      </c>
      <c r="F52" s="68">
        <v>0</v>
      </c>
      <c r="G52" s="23" cm="1">
        <f t="array" ref="G52">(_xlfn.BYROW(B52,_xlfn.LAMBDA(_xlpm.party,
(SUMIFS(ledger!J:J,ledger!B:B,_xlpm.party,ledger!E:E,"&lt;&gt;*RD*",ledger!D:D,"Chamki",ledger!C:C,"&lt;&gt;September Closing CF")+
SUMIFS(ledger!J:J,ledger!B:B,_xlpm.party,ledger!E:E,"&lt;&gt;*RD*",ledger!D:D,"Crinkle",ledger!C:C,"&lt;&gt;September Closing CF")
))))</f>
        <v>0</v>
      </c>
      <c r="H52" s="23" cm="1">
        <f t="array" ref="H52">_xlfn.BYROW(B52, _xlfn.LAMBDA(_xlpm.party,
   SUMIFS(ledger!J:J, ledger!B:B, _xlpm.party, ledger!E:E, "&lt;&gt;*RD*", ledger!D:D, "Silky", ledger!C:C, "&lt;&gt;September Closing CF")
))</f>
        <v>0</v>
      </c>
      <c r="I52" s="23" cm="1">
        <f t="array" ref="I52">_xlfn.BYROW(B52, _xlfn.LAMBDA(_xlpm.party,
   SUMIFS(ledger!J:J, ledger!B:B, _xlpm.party, ledger!E:E, "&lt;&gt;*RD*", ledger!D:D, "Slub", ledger!C:C, "&lt;&gt;September Closing CF")
))</f>
        <v>0</v>
      </c>
      <c r="J52" s="23" cm="1">
        <f t="array" ref="J52">_xlfn.BYROW(B52, _xlfn.LAMBDA(_xlpm.party,
   SUMIFS(ledger!J:J, ledger!B:B, _xlpm.party, ledger!E:E, "&lt;&gt;*RD*", ledger!D:D, "Satin", ledger!C:C, "&lt;&gt;September Closing CF")
))</f>
        <v>0</v>
      </c>
      <c r="K52" s="44">
        <f t="shared" si="9"/>
        <v>0</v>
      </c>
      <c r="L52" s="23">
        <f>(SUMIF(Table14[Party],B52,Table14[Credit]))</f>
        <v>0</v>
      </c>
      <c r="M52" s="42">
        <f t="shared" ref="M52:M55" si="10">K52-L52</f>
        <v>0</v>
      </c>
      <c r="N52" s="22">
        <v>10.5</v>
      </c>
      <c r="O52" s="22">
        <v>13</v>
      </c>
    </row>
    <row r="53" spans="1:26" x14ac:dyDescent="0.3">
      <c r="B53" s="25" t="str">
        <v>Sufi Nawaz Sahab</v>
      </c>
      <c r="C53" s="23">
        <v>0</v>
      </c>
      <c r="D53" s="23">
        <v>0</v>
      </c>
      <c r="E53" s="68">
        <v>0</v>
      </c>
      <c r="F53" s="68">
        <v>0</v>
      </c>
      <c r="G53" s="23" cm="1">
        <f t="array" ref="G53">(_xlfn.BYROW(B53,_xlfn.LAMBDA(_xlpm.party,
(SUMIFS(ledger!J:J,ledger!B:B,_xlpm.party,ledger!E:E,"&lt;&gt;*RD*",ledger!D:D,"Chamki",ledger!C:C,"&lt;&gt;September Closing CF")+
SUMIFS(ledger!J:J,ledger!B:B,_xlpm.party,ledger!E:E,"&lt;&gt;*RD*",ledger!D:D,"Crinkle",ledger!C:C,"&lt;&gt;September Closing CF")
))))</f>
        <v>0</v>
      </c>
      <c r="H53" s="23" cm="1">
        <f t="array" ref="H53">_xlfn.BYROW(B53, _xlfn.LAMBDA(_xlpm.party,
   SUMIFS(ledger!J:J, ledger!B:B, _xlpm.party, ledger!E:E, "&lt;&gt;*RD*", ledger!D:D, "Silky", ledger!C:C, "&lt;&gt;September Closing CF")
))</f>
        <v>0</v>
      </c>
      <c r="I53" s="23" cm="1">
        <f t="array" ref="I53">_xlfn.BYROW(B53, _xlfn.LAMBDA(_xlpm.party,
   SUMIFS(ledger!J:J, ledger!B:B, _xlpm.party, ledger!E:E, "&lt;&gt;*RD*", ledger!D:D, "Slub", ledger!C:C, "&lt;&gt;September Closing CF")
))</f>
        <v>0</v>
      </c>
      <c r="J53" s="23" cm="1">
        <f t="array" ref="J53">_xlfn.BYROW(B53, _xlfn.LAMBDA(_xlpm.party,
   SUMIFS(ledger!J:J, ledger!B:B, _xlpm.party, ledger!E:E, "&lt;&gt;*RD*", ledger!D:D, "Satin", ledger!C:C, "&lt;&gt;September Closing CF")
))</f>
        <v>0</v>
      </c>
      <c r="K53" s="44">
        <f t="shared" si="9"/>
        <v>0</v>
      </c>
      <c r="L53" s="23">
        <f>(SUMIF(Table14[Party],B53,Table14[Credit]))</f>
        <v>1500000</v>
      </c>
      <c r="M53" s="42">
        <f t="shared" si="10"/>
        <v>-1500000</v>
      </c>
      <c r="N53" s="22">
        <v>10</v>
      </c>
      <c r="O53" s="22">
        <v>12</v>
      </c>
    </row>
    <row r="54" spans="1:26" x14ac:dyDescent="0.3">
      <c r="B54" s="25" t="str">
        <v>Sajad Khan</v>
      </c>
      <c r="C54" s="23">
        <v>51334</v>
      </c>
      <c r="D54" s="23">
        <v>46940.380395025604</v>
      </c>
      <c r="E54" s="68">
        <v>41451.170446232631</v>
      </c>
      <c r="F54" s="68">
        <v>0</v>
      </c>
      <c r="G54" s="23" cm="1">
        <f t="array" ref="G54">(_xlfn.BYROW(B54,_xlfn.LAMBDA(_xlpm.party,
(SUMIFS(ledger!J:J,ledger!B:B,_xlpm.party,ledger!E:E,"&lt;&gt;*RD*",ledger!D:D,"Chamki",ledger!C:C,"&lt;&gt;September Closing CF")+
SUMIFS(ledger!J:J,ledger!B:B,_xlpm.party,ledger!E:E,"&lt;&gt;*RD*",ledger!D:D,"Crinkle",ledger!C:C,"&lt;&gt;September Closing CF")
))))</f>
        <v>414511.70446232631</v>
      </c>
      <c r="H54" s="23" cm="1">
        <f t="array" ref="H54">_xlfn.BYROW(B54, _xlfn.LAMBDA(_xlpm.party,
   SUMIFS(ledger!J:J, ledger!B:B, _xlpm.party, ledger!E:E, "&lt;&gt;*RD*", ledger!D:D, "Silky", ledger!C:C, "&lt;&gt;September Closing CF")
))</f>
        <v>0</v>
      </c>
      <c r="I54" s="23" cm="1">
        <f t="array" ref="I54">_xlfn.BYROW(B54, _xlfn.LAMBDA(_xlpm.party,
   SUMIFS(ledger!J:J, ledger!B:B, _xlpm.party, ledger!E:E, "&lt;&gt;*RD*", ledger!D:D, "Slub", ledger!C:C, "&lt;&gt;September Closing CF")
))</f>
        <v>71359.729334308722</v>
      </c>
      <c r="J54" s="23" cm="1">
        <f t="array" ref="J54">_xlfn.BYROW(B54, _xlfn.LAMBDA(_xlpm.party,
   SUMIFS(ledger!J:J, ledger!B:B, _xlpm.party, ledger!E:E, "&lt;&gt;*RD*", ledger!D:D, "Satin", ledger!C:C, "&lt;&gt;September Closing CF")
))</f>
        <v>0</v>
      </c>
      <c r="K54" s="44">
        <f t="shared" si="9"/>
        <v>485871.43379663501</v>
      </c>
      <c r="L54" s="23">
        <f>(SUMIF(Table14[Party],B54,Table14[Credit]))</f>
        <v>1066681</v>
      </c>
      <c r="M54" s="42">
        <f t="shared" si="10"/>
        <v>-580809.56620336499</v>
      </c>
      <c r="N54" s="22">
        <v>10</v>
      </c>
      <c r="O54" s="22">
        <v>12</v>
      </c>
    </row>
    <row r="55" spans="1:26" x14ac:dyDescent="0.3">
      <c r="B55" s="25" t="str">
        <v>Raaz Fabrics</v>
      </c>
      <c r="C55" s="23">
        <v>0</v>
      </c>
      <c r="D55" s="23">
        <v>0</v>
      </c>
      <c r="E55" s="68">
        <v>0</v>
      </c>
      <c r="F55" s="68">
        <v>0</v>
      </c>
      <c r="G55" s="23" cm="1">
        <f t="array" ref="G55">(_xlfn.BYROW(B55,_xlfn.LAMBDA(_xlpm.party,
(SUMIFS(ledger!J:J,ledger!B:B,_xlpm.party,ledger!E:E,"&lt;&gt;*RD*",ledger!D:D,"Chamki",ledger!C:C,"&lt;&gt;September Closing CF")+
SUMIFS(ledger!J:J,ledger!B:B,_xlpm.party,ledger!E:E,"&lt;&gt;*RD*",ledger!D:D,"Crinkle",ledger!C:C,"&lt;&gt;September Closing CF")
))))</f>
        <v>0</v>
      </c>
      <c r="H55" s="23" cm="1">
        <f t="array" ref="H55">_xlfn.BYROW(B55, _xlfn.LAMBDA(_xlpm.party,
   SUMIFS(ledger!J:J, ledger!B:B, _xlpm.party, ledger!E:E, "&lt;&gt;*RD*", ledger!D:D, "Silky", ledger!C:C, "&lt;&gt;September Closing CF")
))</f>
        <v>0</v>
      </c>
      <c r="I55" s="23" cm="1">
        <f t="array" ref="I55">_xlfn.BYROW(B55, _xlfn.LAMBDA(_xlpm.party,
   SUMIFS(ledger!J:J, ledger!B:B, _xlpm.party, ledger!E:E, "&lt;&gt;*RD*", ledger!D:D, "Slub", ledger!C:C, "&lt;&gt;September Closing CF")
))</f>
        <v>0</v>
      </c>
      <c r="J55" s="23" cm="1">
        <f t="array" ref="J55">_xlfn.BYROW(B55, _xlfn.LAMBDA(_xlpm.party,
   SUMIFS(ledger!J:J, ledger!B:B, _xlpm.party, ledger!E:E, "&lt;&gt;*RD*", ledger!D:D, "Satin", ledger!C:C, "&lt;&gt;September Closing CF")
))</f>
        <v>0</v>
      </c>
      <c r="K55" s="44">
        <f t="shared" si="9"/>
        <v>0</v>
      </c>
      <c r="L55" s="23">
        <f>(SUMIF(Table14[Party],B55,Table14[Credit]))</f>
        <v>0</v>
      </c>
      <c r="M55" s="42">
        <f t="shared" si="10"/>
        <v>0</v>
      </c>
      <c r="N55" s="22">
        <v>10</v>
      </c>
      <c r="O55" s="22">
        <v>12</v>
      </c>
    </row>
    <row r="56" spans="1:26" x14ac:dyDescent="0.3">
      <c r="B56" s="25" t="str">
        <v>Azam</v>
      </c>
      <c r="C56" s="23">
        <v>0</v>
      </c>
      <c r="D56" s="23">
        <v>0</v>
      </c>
      <c r="E56" s="68">
        <v>0</v>
      </c>
      <c r="F56" s="68">
        <v>0</v>
      </c>
      <c r="G56" s="23" cm="1">
        <f t="array" ref="G56">(_xlfn.BYROW(B56,_xlfn.LAMBDA(_xlpm.party,
(SUMIFS(ledger!J:J,ledger!B:B,_xlpm.party,ledger!E:E,"&lt;&gt;*RD*",ledger!D:D,"Chamki",ledger!C:C,"&lt;&gt;September Closing CF")+
SUMIFS(ledger!J:J,ledger!B:B,_xlpm.party,ledger!E:E,"&lt;&gt;*RD*",ledger!D:D,"Crinkle",ledger!C:C,"&lt;&gt;September Closing CF")
))))</f>
        <v>0</v>
      </c>
      <c r="H56" s="23" cm="1">
        <f t="array" ref="H56">_xlfn.BYROW(B56, _xlfn.LAMBDA(_xlpm.party,
   SUMIFS(ledger!J:J, ledger!B:B, _xlpm.party, ledger!E:E, "&lt;&gt;*RD*", ledger!D:D, "Silky", ledger!C:C, "&lt;&gt;September Closing CF")
))</f>
        <v>0</v>
      </c>
      <c r="I56" s="23" cm="1">
        <f t="array" ref="I56">_xlfn.BYROW(B56, _xlfn.LAMBDA(_xlpm.party,
   SUMIFS(ledger!J:J, ledger!B:B, _xlpm.party, ledger!E:E, "&lt;&gt;*RD*", ledger!D:D, "Slub", ledger!C:C, "&lt;&gt;September Closing CF")
))</f>
        <v>0</v>
      </c>
      <c r="J56" s="23" cm="1">
        <f t="array" ref="J56">_xlfn.BYROW(B56, _xlfn.LAMBDA(_xlpm.party,
   SUMIFS(ledger!J:J, ledger!B:B, _xlpm.party, ledger!E:E, "&lt;&gt;*RD*", ledger!D:D, "Satin", ledger!C:C, "&lt;&gt;September Closing CF")
))</f>
        <v>0</v>
      </c>
      <c r="K56" s="44">
        <f t="shared" si="9"/>
        <v>0</v>
      </c>
      <c r="L56" s="23">
        <f>(SUMIF(Table14[Party],B56,Table14[Credit]))</f>
        <v>0</v>
      </c>
      <c r="M56" s="42">
        <f t="shared" ref="M56:M69" si="11">K56-L56</f>
        <v>0</v>
      </c>
      <c r="N56" s="22">
        <v>10</v>
      </c>
      <c r="O56" s="22">
        <v>12</v>
      </c>
      <c r="X56" s="3" t="s">
        <v>6</v>
      </c>
      <c r="Y56" t="s">
        <v>7</v>
      </c>
      <c r="Z56" t="s">
        <v>8</v>
      </c>
    </row>
    <row r="57" spans="1:26" x14ac:dyDescent="0.3">
      <c r="B57" s="25" t="str">
        <v>Ubaidullah</v>
      </c>
      <c r="C57" s="23">
        <v>1098</v>
      </c>
      <c r="D57" s="23">
        <v>1004.0234089246526</v>
      </c>
      <c r="E57" s="68">
        <v>1004.0234089246526</v>
      </c>
      <c r="F57" s="68">
        <v>0</v>
      </c>
      <c r="G57" s="23" cm="1">
        <f t="array" ref="G57">(_xlfn.BYROW(B57,_xlfn.LAMBDA(_xlpm.party,
(SUMIFS(ledger!J:J,ledger!B:B,_xlpm.party,ledger!E:E,"&lt;&gt;*RD*",ledger!D:D,"Chamki",ledger!C:C,"&lt;&gt;September Closing CF")+
SUMIFS(ledger!J:J,ledger!B:B,_xlpm.party,ledger!E:E,"&lt;&gt;*RD*",ledger!D:D,"Crinkle",ledger!C:C,"&lt;&gt;September Closing CF")
))))</f>
        <v>10040.234089246525</v>
      </c>
      <c r="H57" s="23" cm="1">
        <f t="array" ref="H57">_xlfn.BYROW(B57, _xlfn.LAMBDA(_xlpm.party,
   SUMIFS(ledger!J:J, ledger!B:B, _xlpm.party, ledger!E:E, "&lt;&gt;*RD*", ledger!D:D, "Silky", ledger!C:C, "&lt;&gt;September Closing CF")
))</f>
        <v>0</v>
      </c>
      <c r="I57" s="23" cm="1">
        <f t="array" ref="I57">_xlfn.BYROW(B57, _xlfn.LAMBDA(_xlpm.party,
   SUMIFS(ledger!J:J, ledger!B:B, _xlpm.party, ledger!E:E, "&lt;&gt;*RD*", ledger!D:D, "Slub", ledger!C:C, "&lt;&gt;September Closing CF")
))</f>
        <v>0</v>
      </c>
      <c r="J57" s="23" cm="1">
        <f t="array" ref="J57">_xlfn.BYROW(B57, _xlfn.LAMBDA(_xlpm.party,
   SUMIFS(ledger!J:J, ledger!B:B, _xlpm.party, ledger!E:E, "&lt;&gt;*RD*", ledger!D:D, "Satin", ledger!C:C, "&lt;&gt;September Closing CF")
))</f>
        <v>0</v>
      </c>
      <c r="K57" s="44">
        <f t="shared" si="9"/>
        <v>10040.234089246525</v>
      </c>
      <c r="L57" s="23">
        <f>SUMIF(Table14[Party], B57, Table14[Credit])</f>
        <v>179000</v>
      </c>
      <c r="M57" s="42">
        <f t="shared" si="11"/>
        <v>-168959.76591075349</v>
      </c>
      <c r="N57" s="22">
        <v>10</v>
      </c>
      <c r="O57" s="22">
        <v>12</v>
      </c>
      <c r="X57" s="4" t="s">
        <v>21</v>
      </c>
      <c r="Y57" s="5">
        <v>200908.9246525238</v>
      </c>
      <c r="Z57" s="18">
        <v>2125424.2867593272</v>
      </c>
    </row>
    <row r="58" spans="1:26" x14ac:dyDescent="0.3">
      <c r="B58" s="25" t="str">
        <v>Ashraf Zia</v>
      </c>
      <c r="C58" s="23">
        <v>0</v>
      </c>
      <c r="D58" s="23">
        <v>0</v>
      </c>
      <c r="E58" s="68">
        <v>0</v>
      </c>
      <c r="F58" s="68">
        <v>0</v>
      </c>
      <c r="G58" s="23" cm="1">
        <f t="array" ref="G58">(_xlfn.BYROW(B58,_xlfn.LAMBDA(_xlpm.party,
(SUMIFS(ledger!J:J,ledger!B:B,_xlpm.party,ledger!E:E,"&lt;&gt;*RD*",ledger!D:D,"Chamki",ledger!C:C,"&lt;&gt;September Closing CF")+
SUMIFS(ledger!J:J,ledger!B:B,_xlpm.party,ledger!E:E,"&lt;&gt;*RD*",ledger!D:D,"Crinkle",ledger!C:C,"&lt;&gt;September Closing CF")
))))</f>
        <v>0</v>
      </c>
      <c r="H58" s="23" cm="1">
        <f t="array" ref="H58">_xlfn.BYROW(B58, _xlfn.LAMBDA(_xlpm.party,
   SUMIFS(ledger!J:J, ledger!B:B, _xlpm.party, ledger!E:E, "&lt;&gt;*RD*", ledger!D:D, "Silky", ledger!C:C, "&lt;&gt;September Closing CF")
))</f>
        <v>0</v>
      </c>
      <c r="I58" s="23" cm="1">
        <f t="array" ref="I58">_xlfn.BYROW(B58, _xlfn.LAMBDA(_xlpm.party,
   SUMIFS(ledger!J:J, ledger!B:B, _xlpm.party, ledger!E:E, "&lt;&gt;*RD*", ledger!D:D, "Slub", ledger!C:C, "&lt;&gt;September Closing CF")
))</f>
        <v>0</v>
      </c>
      <c r="J58" s="23" cm="1">
        <f t="array" ref="J58">_xlfn.BYROW(B58, _xlfn.LAMBDA(_xlpm.party,
   SUMIFS(ledger!J:J, ledger!B:B, _xlpm.party, ledger!E:E, "&lt;&gt;*RD*", ledger!D:D, "Satin", ledger!C:C, "&lt;&gt;September Closing CF")
))</f>
        <v>0</v>
      </c>
      <c r="K58" s="44">
        <f t="shared" si="9"/>
        <v>0</v>
      </c>
      <c r="L58" s="23">
        <f>SUMIF(Table14[Party], B58, Table14[Credit])</f>
        <v>0</v>
      </c>
      <c r="M58" s="42">
        <f t="shared" si="11"/>
        <v>0</v>
      </c>
      <c r="N58" s="22">
        <v>12</v>
      </c>
      <c r="O58" s="22">
        <v>12</v>
      </c>
      <c r="X58" s="4" t="s">
        <v>22</v>
      </c>
      <c r="Y58" s="5">
        <v>44246.525237746893</v>
      </c>
      <c r="Z58" s="18">
        <v>530958.30285296275</v>
      </c>
    </row>
    <row r="59" spans="1:26" x14ac:dyDescent="0.3">
      <c r="B59" s="25" t="str">
        <v>Hafiz Qureshi</v>
      </c>
      <c r="C59" s="23">
        <v>54152</v>
      </c>
      <c r="D59" s="23">
        <v>49517.190929041702</v>
      </c>
      <c r="E59" s="68">
        <v>49517.190929041702</v>
      </c>
      <c r="F59" s="68">
        <v>0</v>
      </c>
      <c r="G59" s="23" cm="1">
        <f t="array" ref="G59">(_xlfn.BYROW(B59,_xlfn.LAMBDA(_xlpm.party,
(SUMIFS(ledger!J:J,ledger!B:B,_xlpm.party,ledger!E:E,"&lt;&gt;*RD*",ledger!D:D,"Chamki",ledger!C:C,"&lt;&gt;September Closing CF")+
SUMIFS(ledger!J:J,ledger!B:B,_xlpm.party,ledger!E:E,"&lt;&gt;*RD*",ledger!D:D,"Crinkle",ledger!C:C,"&lt;&gt;September Closing CF")
))))</f>
        <v>495171.90929041698</v>
      </c>
      <c r="H59" s="23" cm="1">
        <f t="array" ref="H59">_xlfn.BYROW(B59, _xlfn.LAMBDA(_xlpm.party,
   SUMIFS(ledger!J:J, ledger!B:B, _xlpm.party, ledger!E:E, "&lt;&gt;*RD*", ledger!D:D, "Silky", ledger!C:C, "&lt;&gt;September Closing CF")
))</f>
        <v>0</v>
      </c>
      <c r="I59" s="23" cm="1">
        <f t="array" ref="I59">_xlfn.BYROW(B59, _xlfn.LAMBDA(_xlpm.party,
   SUMIFS(ledger!J:J, ledger!B:B, _xlpm.party, ledger!E:E, "&lt;&gt;*RD*", ledger!D:D, "Slub", ledger!C:C, "&lt;&gt;September Closing CF")
))</f>
        <v>0</v>
      </c>
      <c r="J59" s="23" cm="1">
        <f t="array" ref="J59">_xlfn.BYROW(B59, _xlfn.LAMBDA(_xlpm.party,
   SUMIFS(ledger!J:J, ledger!B:B, _xlpm.party, ledger!E:E, "&lt;&gt;*RD*", ledger!D:D, "Satin", ledger!C:C, "&lt;&gt;September Closing CF")
))</f>
        <v>0</v>
      </c>
      <c r="K59" s="44">
        <f t="shared" si="9"/>
        <v>495171.90929041698</v>
      </c>
      <c r="L59" s="23">
        <f>SUMIF(Table14[Party], B59, Table14[Credit])</f>
        <v>0</v>
      </c>
      <c r="M59" s="42">
        <f t="shared" si="11"/>
        <v>495171.90929041698</v>
      </c>
      <c r="N59" s="22">
        <v>10</v>
      </c>
      <c r="O59" s="22">
        <v>12</v>
      </c>
      <c r="X59" s="4" t="s">
        <v>9</v>
      </c>
      <c r="Y59" s="5">
        <v>118173.00658376007</v>
      </c>
      <c r="Z59" s="18">
        <v>1181730.0658376007</v>
      </c>
    </row>
    <row r="60" spans="1:26" x14ac:dyDescent="0.3">
      <c r="B60" s="25" t="str">
        <v>Badshah Fabrics</v>
      </c>
      <c r="C60" s="23">
        <v>75501</v>
      </c>
      <c r="D60" s="23">
        <v>69038.953913679594</v>
      </c>
      <c r="E60" s="68">
        <v>69038.953913679594</v>
      </c>
      <c r="F60" s="68">
        <v>0</v>
      </c>
      <c r="G60" s="23" cm="1">
        <f t="array" ref="G60">(_xlfn.BYROW(B60,_xlfn.LAMBDA(_xlpm.party,
(SUMIFS(ledger!J:J,ledger!B:B,_xlpm.party,ledger!E:E,"&lt;&gt;*RD*",ledger!D:D,"Chamki",ledger!C:C,"&lt;&gt;September Closing CF")+
SUMIFS(ledger!J:J,ledger!B:B,_xlpm.party,ledger!E:E,"&lt;&gt;*RD*",ledger!D:D,"Crinkle",ledger!C:C,"&lt;&gt;September Closing CF")
))))</f>
        <v>690389.53913679603</v>
      </c>
      <c r="H60" s="23" cm="1">
        <f t="array" ref="H60">_xlfn.BYROW(B60, _xlfn.LAMBDA(_xlpm.party,
   SUMIFS(ledger!J:J, ledger!B:B, _xlpm.party, ledger!E:E, "&lt;&gt;*RD*", ledger!D:D, "Silky", ledger!C:C, "&lt;&gt;September Closing CF")
))</f>
        <v>0</v>
      </c>
      <c r="I60" s="23" cm="1">
        <f t="array" ref="I60">_xlfn.BYROW(B60, _xlfn.LAMBDA(_xlpm.party,
   SUMIFS(ledger!J:J, ledger!B:B, _xlpm.party, ledger!E:E, "&lt;&gt;*RD*", ledger!D:D, "Slub", ledger!C:C, "&lt;&gt;September Closing CF")
))</f>
        <v>0</v>
      </c>
      <c r="J60" s="23" cm="1">
        <f t="array" ref="J60">_xlfn.BYROW(B60, _xlfn.LAMBDA(_xlpm.party,
   SUMIFS(ledger!J:J, ledger!B:B, _xlpm.party, ledger!E:E, "&lt;&gt;*RD*", ledger!D:D, "Satin", ledger!C:C, "&lt;&gt;September Closing CF")
))</f>
        <v>0</v>
      </c>
      <c r="K60" s="44">
        <f t="shared" si="9"/>
        <v>690389.53913679603</v>
      </c>
      <c r="L60" s="23">
        <f>SUMIF(Table14[Party], B60, Table14[Credit])</f>
        <v>500000</v>
      </c>
      <c r="M60" s="42">
        <f t="shared" si="11"/>
        <v>190389.53913679603</v>
      </c>
      <c r="N60" s="22">
        <v>10</v>
      </c>
      <c r="O60" s="22">
        <v>12</v>
      </c>
      <c r="X60" s="4" t="s">
        <v>23</v>
      </c>
      <c r="Y60" s="5">
        <v>0</v>
      </c>
      <c r="Z60" s="18">
        <v>0</v>
      </c>
    </row>
    <row r="61" spans="1:26" x14ac:dyDescent="0.3">
      <c r="B61" s="25" t="str">
        <v>Reject</v>
      </c>
      <c r="C61" s="23">
        <v>0</v>
      </c>
      <c r="D61" s="23">
        <v>0</v>
      </c>
      <c r="E61" s="68">
        <v>0</v>
      </c>
      <c r="F61" s="68">
        <v>0</v>
      </c>
      <c r="G61" s="23" cm="1">
        <f t="array" ref="G61">(_xlfn.BYROW(B61,_xlfn.LAMBDA(_xlpm.party,
(SUMIFS(ledger!J:J,ledger!B:B,_xlpm.party,ledger!E:E,"&lt;&gt;*RD*",ledger!D:D,"Chamki",ledger!C:C,"&lt;&gt;September Closing CF")+
SUMIFS(ledger!J:J,ledger!B:B,_xlpm.party,ledger!E:E,"&lt;&gt;*RD*",ledger!D:D,"Crinkle",ledger!C:C,"&lt;&gt;September Closing CF")
))))</f>
        <v>0</v>
      </c>
      <c r="H61" s="23" cm="1">
        <f t="array" ref="H61">_xlfn.BYROW(B61, _xlfn.LAMBDA(_xlpm.party,
   SUMIFS(ledger!J:J, ledger!B:B, _xlpm.party, ledger!E:E, "&lt;&gt;*RD*", ledger!D:D, "Silky", ledger!C:C, "&lt;&gt;September Closing CF")
))</f>
        <v>0</v>
      </c>
      <c r="I61" s="23" cm="1">
        <f t="array" ref="I61">_xlfn.BYROW(B61, _xlfn.LAMBDA(_xlpm.party,
   SUMIFS(ledger!J:J, ledger!B:B, _xlpm.party, ledger!E:E, "&lt;&gt;*RD*", ledger!D:D, "Slub", ledger!C:C, "&lt;&gt;September Closing CF")
))</f>
        <v>0</v>
      </c>
      <c r="J61" s="23" cm="1">
        <f t="array" ref="J61">_xlfn.BYROW(B61, _xlfn.LAMBDA(_xlpm.party,
   SUMIFS(ledger!J:J, ledger!B:B, _xlpm.party, ledger!E:E, "&lt;&gt;*RD*", ledger!D:D, "Satin", ledger!C:C, "&lt;&gt;September Closing CF")
))</f>
        <v>0</v>
      </c>
      <c r="K61" s="44">
        <f t="shared" si="9"/>
        <v>0</v>
      </c>
      <c r="L61" s="23">
        <f>SUMIF(Table14[Party], B61, Table14[Credit])</f>
        <v>0</v>
      </c>
      <c r="M61" s="42">
        <f t="shared" si="11"/>
        <v>0</v>
      </c>
      <c r="N61" s="22">
        <v>10</v>
      </c>
      <c r="O61" s="22">
        <v>12</v>
      </c>
      <c r="X61" s="4" t="s">
        <v>24</v>
      </c>
      <c r="Y61" s="5">
        <v>0</v>
      </c>
      <c r="Z61" s="18">
        <v>0</v>
      </c>
    </row>
    <row r="62" spans="1:26" x14ac:dyDescent="0.3">
      <c r="B62" t="str">
        <v>Amjad 7up</v>
      </c>
      <c r="C62" s="23">
        <v>0</v>
      </c>
      <c r="D62" s="23">
        <v>0</v>
      </c>
      <c r="E62" s="68">
        <v>0</v>
      </c>
      <c r="F62" s="68">
        <v>0</v>
      </c>
      <c r="G62" s="23" cm="1">
        <f t="array" ref="G62">(_xlfn.BYROW(B62,_xlfn.LAMBDA(_xlpm.party,
(SUMIFS(ledger!J:J,ledger!B:B,_xlpm.party,ledger!E:E,"&lt;&gt;*RD*",ledger!D:D,"Chamki",ledger!C:C,"&lt;&gt;September Closing CF")+
SUMIFS(ledger!J:J,ledger!B:B,_xlpm.party,ledger!E:E,"&lt;&gt;*RD*",ledger!D:D,"Crinkle",ledger!C:C,"&lt;&gt;September Closing CF")
))))</f>
        <v>0</v>
      </c>
      <c r="H62" s="23" cm="1">
        <f t="array" ref="H62">_xlfn.BYROW(B62, _xlfn.LAMBDA(_xlpm.party,
   SUMIFS(ledger!J:J, ledger!B:B, _xlpm.party, ledger!E:E, "&lt;&gt;*RD*", ledger!D:D, "Silky", ledger!C:C, "&lt;&gt;September Closing CF")
))</f>
        <v>0</v>
      </c>
      <c r="I62" s="23" cm="1">
        <f t="array" ref="I62">_xlfn.BYROW(B62, _xlfn.LAMBDA(_xlpm.party,
   SUMIFS(ledger!J:J, ledger!B:B, _xlpm.party, ledger!E:E, "&lt;&gt;*RD*", ledger!D:D, "Slub", ledger!C:C, "&lt;&gt;September Closing CF")
))</f>
        <v>0</v>
      </c>
      <c r="J62" s="23" cm="1">
        <f t="array" ref="J62">_xlfn.BYROW(B62, _xlfn.LAMBDA(_xlpm.party,
   SUMIFS(ledger!J:J, ledger!B:B, _xlpm.party, ledger!E:E, "&lt;&gt;*RD*", ledger!D:D, "Satin", ledger!C:C, "&lt;&gt;September Closing CF")
))</f>
        <v>0</v>
      </c>
      <c r="K62" s="44">
        <f t="shared" si="9"/>
        <v>0</v>
      </c>
      <c r="L62" s="23">
        <f>SUMIF(Table14[Party], B62, Table14[Credit])</f>
        <v>480000</v>
      </c>
      <c r="M62" s="42">
        <f t="shared" si="11"/>
        <v>-480000</v>
      </c>
      <c r="N62" s="22">
        <v>10</v>
      </c>
      <c r="O62" s="22">
        <v>12</v>
      </c>
      <c r="X62" s="4" t="s">
        <v>25</v>
      </c>
      <c r="Y62" s="5">
        <v>46940.380395025604</v>
      </c>
      <c r="Z62" s="18">
        <v>414511.70446232631</v>
      </c>
    </row>
    <row r="63" spans="1:26" x14ac:dyDescent="0.3">
      <c r="B63" t="str">
        <v>Hazrat Khan</v>
      </c>
      <c r="C63" s="23">
        <v>0</v>
      </c>
      <c r="D63" s="23">
        <v>0</v>
      </c>
      <c r="E63" s="68">
        <v>0</v>
      </c>
      <c r="F63" s="68">
        <v>0</v>
      </c>
      <c r="G63" s="23" cm="1">
        <f t="array" ref="G63">(_xlfn.BYROW(B63,_xlfn.LAMBDA(_xlpm.party,
(SUMIFS(ledger!J:J,ledger!B:B,_xlpm.party,ledger!E:E,"&lt;&gt;*RD*",ledger!D:D,"Chamki",ledger!C:C,"&lt;&gt;September Closing CF")+
SUMIFS(ledger!J:J,ledger!B:B,_xlpm.party,ledger!E:E,"&lt;&gt;*RD*",ledger!D:D,"Crinkle",ledger!C:C,"&lt;&gt;September Closing CF")
))))</f>
        <v>0</v>
      </c>
      <c r="H63" s="23" cm="1">
        <f t="array" ref="H63">_xlfn.BYROW(B63, _xlfn.LAMBDA(_xlpm.party,
   SUMIFS(ledger!J:J, ledger!B:B, _xlpm.party, ledger!E:E, "&lt;&gt;*RD*", ledger!D:D, "Silky", ledger!C:C, "&lt;&gt;September Closing CF")
))</f>
        <v>0</v>
      </c>
      <c r="I63" s="23" cm="1">
        <f t="array" ref="I63">_xlfn.BYROW(B63, _xlfn.LAMBDA(_xlpm.party,
   SUMIFS(ledger!J:J, ledger!B:B, _xlpm.party, ledger!E:E, "&lt;&gt;*RD*", ledger!D:D, "Slub", ledger!C:C, "&lt;&gt;September Closing CF")
))</f>
        <v>0</v>
      </c>
      <c r="J63" s="23" cm="1">
        <f t="array" ref="J63">_xlfn.BYROW(B63, _xlfn.LAMBDA(_xlpm.party,
   SUMIFS(ledger!J:J, ledger!B:B, _xlpm.party, ledger!E:E, "&lt;&gt;*RD*", ledger!D:D, "Satin", ledger!C:C, "&lt;&gt;September Closing CF")
))</f>
        <v>0</v>
      </c>
      <c r="K63" s="44">
        <f t="shared" si="9"/>
        <v>0</v>
      </c>
      <c r="L63" s="23">
        <f>SUMIF(Table14[Party], B63, Table14[Credit])</f>
        <v>95000</v>
      </c>
      <c r="M63" s="42">
        <f t="shared" si="11"/>
        <v>-95000</v>
      </c>
      <c r="N63" s="22">
        <v>10</v>
      </c>
      <c r="O63" s="22">
        <v>12</v>
      </c>
      <c r="X63" s="4" t="s">
        <v>26</v>
      </c>
      <c r="Y63" s="5">
        <v>0</v>
      </c>
      <c r="Z63" s="18">
        <v>0</v>
      </c>
    </row>
    <row r="64" spans="1:26" x14ac:dyDescent="0.3">
      <c r="B64" t="str">
        <v>Haseeb Shamsi</v>
      </c>
      <c r="C64" s="23">
        <v>0</v>
      </c>
      <c r="D64" s="23">
        <v>0</v>
      </c>
      <c r="E64" s="68">
        <v>0</v>
      </c>
      <c r="F64" s="68">
        <v>0</v>
      </c>
      <c r="G64" s="23" cm="1">
        <f t="array" ref="G64">(_xlfn.BYROW(B64,_xlfn.LAMBDA(_xlpm.party,
(SUMIFS(ledger!J:J,ledger!B:B,_xlpm.party,ledger!E:E,"&lt;&gt;*RD*",ledger!D:D,"Chamki",ledger!C:C,"&lt;&gt;September Closing CF")+
SUMIFS(ledger!J:J,ledger!B:B,_xlpm.party,ledger!E:E,"&lt;&gt;*RD*",ledger!D:D,"Crinkle",ledger!C:C,"&lt;&gt;September Closing CF")
))))</f>
        <v>0</v>
      </c>
      <c r="H64" s="23" cm="1">
        <f t="array" ref="H64">_xlfn.BYROW(B64, _xlfn.LAMBDA(_xlpm.party,
   SUMIFS(ledger!J:J, ledger!B:B, _xlpm.party, ledger!E:E, "&lt;&gt;*RD*", ledger!D:D, "Silky", ledger!C:C, "&lt;&gt;September Closing CF")
))</f>
        <v>0</v>
      </c>
      <c r="I64" s="23" cm="1">
        <f t="array" ref="I64">_xlfn.BYROW(B64, _xlfn.LAMBDA(_xlpm.party,
   SUMIFS(ledger!J:J, ledger!B:B, _xlpm.party, ledger!E:E, "&lt;&gt;*RD*", ledger!D:D, "Slub", ledger!C:C, "&lt;&gt;September Closing CF")
))</f>
        <v>0</v>
      </c>
      <c r="J64" s="23" cm="1">
        <f t="array" ref="J64">_xlfn.BYROW(B64, _xlfn.LAMBDA(_xlpm.party,
   SUMIFS(ledger!J:J, ledger!B:B, _xlpm.party, ledger!E:E, "&lt;&gt;*RD*", ledger!D:D, "Satin", ledger!C:C, "&lt;&gt;September Closing CF")
))</f>
        <v>0</v>
      </c>
      <c r="K64" s="44">
        <f t="shared" si="9"/>
        <v>0</v>
      </c>
      <c r="L64" s="23">
        <f>SUMIF(Table14[Party], B81, Table14[Credit])</f>
        <v>0</v>
      </c>
      <c r="M64" s="42">
        <f t="shared" si="11"/>
        <v>0</v>
      </c>
      <c r="N64" s="22">
        <v>10</v>
      </c>
      <c r="O64" s="22">
        <v>12</v>
      </c>
      <c r="X64" s="4" t="s">
        <v>155</v>
      </c>
      <c r="Y64" s="5">
        <v>0</v>
      </c>
      <c r="Z64" s="18">
        <v>0</v>
      </c>
    </row>
    <row r="65" spans="2:26" x14ac:dyDescent="0.3">
      <c r="B65" t="str">
        <v>Faizan</v>
      </c>
      <c r="C65" s="23">
        <v>38208</v>
      </c>
      <c r="D65" s="23">
        <v>34937.820043891734</v>
      </c>
      <c r="E65" s="68">
        <v>0</v>
      </c>
      <c r="F65" s="68">
        <v>31967.812728602781</v>
      </c>
      <c r="G65" s="23" cm="1">
        <f t="array" ref="G65">(_xlfn.BYROW(B65,_xlfn.LAMBDA(_xlpm.party,
(SUMIFS(ledger!J:J,ledger!B:B,_xlpm.party,ledger!E:E,"&lt;&gt;*RD*",ledger!D:D,"Chamki",ledger!C:C,"&lt;&gt;September Closing CF")+
SUMIFS(ledger!J:J,ledger!B:B,_xlpm.party,ledger!E:E,"&lt;&gt;*RD*",ledger!D:D,"Crinkle",ledger!C:C,"&lt;&gt;September Closing CF")
))))</f>
        <v>0</v>
      </c>
      <c r="H65" s="23" cm="1">
        <f t="array" ref="H65">_xlfn.BYROW(B65, _xlfn.LAMBDA(_xlpm.party,
   SUMIFS(ledger!J:J, ledger!B:B, _xlpm.party, ledger!E:E, "&lt;&gt;*RD*", ledger!D:D, "Silky", ledger!C:C, "&lt;&gt;September Closing CF")
))</f>
        <v>415581.56547183613</v>
      </c>
      <c r="I65" s="23" cm="1">
        <f t="array" ref="I65">_xlfn.BYROW(B65, _xlfn.LAMBDA(_xlpm.party,
   SUMIFS(ledger!J:J, ledger!B:B, _xlpm.party, ledger!E:E, "&lt;&gt;*RD*", ledger!D:D, "Slub", ledger!C:C, "&lt;&gt;September Closing CF")
))</f>
        <v>44550.109729334312</v>
      </c>
      <c r="J65" s="23" cm="1">
        <f t="array" ref="J65">_xlfn.BYROW(B65, _xlfn.LAMBDA(_xlpm.party,
   SUMIFS(ledger!J:J, ledger!B:B, _xlpm.party, ledger!E:E, "&lt;&gt;*RD*", ledger!D:D, "Satin", ledger!C:C, "&lt;&gt;September Closing CF")
))</f>
        <v>0</v>
      </c>
      <c r="K65" s="44">
        <f t="shared" si="9"/>
        <v>460131.67520117044</v>
      </c>
      <c r="L65" s="23">
        <f>SUMIF(Table14[Party], B65, Table14[Credit])</f>
        <v>415571</v>
      </c>
      <c r="M65" s="42">
        <f t="shared" si="11"/>
        <v>44560.675201170438</v>
      </c>
      <c r="N65" s="22">
        <v>10</v>
      </c>
      <c r="O65" s="22">
        <v>13</v>
      </c>
      <c r="X65" s="4" t="s">
        <v>35</v>
      </c>
      <c r="Y65" s="5">
        <v>1004.0234089246526</v>
      </c>
      <c r="Z65" s="18">
        <v>10040.234089246525</v>
      </c>
    </row>
    <row r="66" spans="2:26" x14ac:dyDescent="0.3">
      <c r="B66" t="str">
        <v>Shafique Ansari</v>
      </c>
      <c r="C66" s="23">
        <v>82290</v>
      </c>
      <c r="D66" s="23">
        <v>75246.891002194592</v>
      </c>
      <c r="E66" s="68">
        <v>64300.475493782011</v>
      </c>
      <c r="F66" s="68">
        <v>7565.8376005852242</v>
      </c>
      <c r="G66" s="23" cm="1">
        <f t="array" ref="G66">(_xlfn.BYROW(B66,_xlfn.LAMBDA(_xlpm.party,
(SUMIFS(ledger!J:J,ledger!B:B,_xlpm.party,ledger!E:E,"&lt;&gt;*RD*",ledger!D:D,"Chamki",ledger!C:C,"&lt;&gt;September Closing CF")+
SUMIFS(ledger!J:J,ledger!B:B,_xlpm.party,ledger!E:E,"&lt;&gt;*RD*",ledger!D:D,"Crinkle",ledger!C:C,"&lt;&gt;September Closing CF")
))))</f>
        <v>643004.75493782014</v>
      </c>
      <c r="H66" s="23" cm="1">
        <f t="array" ref="H66">_xlfn.BYROW(B66, _xlfn.LAMBDA(_xlpm.party,
   SUMIFS(ledger!J:J, ledger!B:B, _xlpm.party, ledger!E:E, "&lt;&gt;*RD*", ledger!D:D, "Silky", ledger!C:C, "&lt;&gt;September Closing CF")
))</f>
        <v>98355.888807607917</v>
      </c>
      <c r="I66" s="23" cm="1">
        <f t="array" ref="I66">_xlfn.BYROW(B66, _xlfn.LAMBDA(_xlpm.party,
   SUMIFS(ledger!J:J, ledger!B:B, _xlpm.party, ledger!E:E, "&lt;&gt;*RD*", ledger!D:D, "Slub", ledger!C:C, "&lt;&gt;September Closing CF")
))</f>
        <v>0</v>
      </c>
      <c r="J66" s="23" cm="1">
        <f t="array" ref="J66">_xlfn.BYROW(B66, _xlfn.LAMBDA(_xlpm.party,
   SUMIFS(ledger!J:J, ledger!B:B, _xlpm.party, ledger!E:E, "&lt;&gt;*RD*", ledger!D:D, "Satin", ledger!C:C, "&lt;&gt;September Closing CF")
))</f>
        <v>94656.181419166067</v>
      </c>
      <c r="K66" s="44">
        <f t="shared" si="9"/>
        <v>836016.82516459411</v>
      </c>
      <c r="L66" s="23">
        <f>SUMIF(Table14[Party], B66, Table14[Credit])</f>
        <v>98000</v>
      </c>
      <c r="M66" s="42">
        <f t="shared" si="11"/>
        <v>738016.82516459411</v>
      </c>
      <c r="N66" s="22">
        <v>10</v>
      </c>
      <c r="O66" s="22">
        <v>12</v>
      </c>
      <c r="X66" s="4" t="s">
        <v>151</v>
      </c>
      <c r="Y66" s="5">
        <v>0</v>
      </c>
      <c r="Z66" s="18">
        <v>0</v>
      </c>
    </row>
    <row r="67" spans="2:26" x14ac:dyDescent="0.3">
      <c r="B67" t="str">
        <v>Amjad sohail</v>
      </c>
      <c r="C67" s="23">
        <v>1662</v>
      </c>
      <c r="D67" s="23">
        <v>1519.751280175567</v>
      </c>
      <c r="E67" s="68">
        <v>0</v>
      </c>
      <c r="F67" s="68">
        <v>1519.751280175567</v>
      </c>
      <c r="G67" s="23" cm="1">
        <f t="array" ref="G67">(_xlfn.BYROW(B67,_xlfn.LAMBDA(_xlpm.party,
(SUMIFS(ledger!J:J,ledger!B:B,_xlpm.party,ledger!E:E,"&lt;&gt;*RD*",ledger!D:D,"Chamki",ledger!C:C,"&lt;&gt;September Closing CF")+
SUMIFS(ledger!J:J,ledger!B:B,_xlpm.party,ledger!E:E,"&lt;&gt;*RD*",ledger!D:D,"Crinkle",ledger!C:C,"&lt;&gt;September Closing CF")
))))</f>
        <v>0</v>
      </c>
      <c r="H67" s="23" cm="1">
        <f t="array" ref="H67">_xlfn.BYROW(B67, _xlfn.LAMBDA(_xlpm.party,
   SUMIFS(ledger!J:J, ledger!B:B, _xlpm.party, ledger!E:E, "&lt;&gt;*RD*", ledger!D:D, "Silky", ledger!C:C, "&lt;&gt;September Closing CF")
))</f>
        <v>19756.766642282371</v>
      </c>
      <c r="I67" s="23" cm="1">
        <f t="array" ref="I67">_xlfn.BYROW(B67, _xlfn.LAMBDA(_xlpm.party,
   SUMIFS(ledger!J:J, ledger!B:B, _xlpm.party, ledger!E:E, "&lt;&gt;*RD*", ledger!D:D, "Slub", ledger!C:C, "&lt;&gt;September Closing CF")
))</f>
        <v>0</v>
      </c>
      <c r="J67" s="23" cm="1">
        <f t="array" ref="J67">_xlfn.BYROW(B67, _xlfn.LAMBDA(_xlpm.party,
   SUMIFS(ledger!J:J, ledger!B:B, _xlpm.party, ledger!E:E, "&lt;&gt;*RD*", ledger!D:D, "Satin", ledger!C:C, "&lt;&gt;September Closing CF")
))</f>
        <v>0</v>
      </c>
      <c r="K67" s="44">
        <f t="shared" si="9"/>
        <v>19756.766642282371</v>
      </c>
      <c r="L67" s="23">
        <f>SUMIF(Table14[Party], B67, Table14[Credit])</f>
        <v>300000</v>
      </c>
      <c r="M67" s="42">
        <f t="shared" si="11"/>
        <v>-280243.23335771763</v>
      </c>
      <c r="N67" s="22">
        <v>10</v>
      </c>
      <c r="O67" s="22">
        <v>12</v>
      </c>
      <c r="X67" s="4" t="s">
        <v>27</v>
      </c>
      <c r="Y67" s="5">
        <v>49517.190929041702</v>
      </c>
      <c r="Z67" s="18">
        <v>495171.90929041704</v>
      </c>
    </row>
    <row r="68" spans="2:26" x14ac:dyDescent="0.3">
      <c r="C68" s="23"/>
      <c r="D68" s="23"/>
      <c r="E68" s="68"/>
      <c r="F68" s="68"/>
      <c r="G68" s="23" cm="1">
        <f t="array" ref="G68">(_xlfn.BYROW(B68,_xlfn.LAMBDA(_xlpm.party,
(SUMIFS(ledger!J:J,ledger!B:B,_xlpm.party,ledger!E:E,"&lt;&gt;*RD*",ledger!D:D,"Chamki",ledger!C:C,"&lt;&gt;September Closing CF")+
SUMIFS(ledger!J:J,ledger!B:B,_xlpm.party,ledger!E:E,"&lt;&gt;*RD*",ledger!D:D,"Crinkle",ledger!C:C,"&lt;&gt;September Closing CF")
))))</f>
        <v>0</v>
      </c>
      <c r="H68" s="23" cm="1">
        <f t="array" ref="H68">_xlfn.BYROW(B68, _xlfn.LAMBDA(_xlpm.party,
   SUMIFS(ledger!J:J, ledger!B:B, _xlpm.party, ledger!E:E, "&lt;&gt;*RD*", ledger!D:D, "Silky", ledger!C:C, "&lt;&gt;September Closing CF")
))</f>
        <v>0</v>
      </c>
      <c r="I68" s="23" cm="1">
        <f t="array" ref="I68">_xlfn.BYROW(B68, _xlfn.LAMBDA(_xlpm.party,
   SUMIFS(ledger!J:J, ledger!B:B, _xlpm.party, ledger!E:E, "&lt;&gt;*RD*", ledger!D:D, "Slub", ledger!C:C, "&lt;&gt;September Closing CF")
))</f>
        <v>0</v>
      </c>
      <c r="J68" s="23" cm="1">
        <f t="array" ref="J68">_xlfn.BYROW(B68, _xlfn.LAMBDA(_xlpm.party,
   SUMIFS(ledger!J:J, ledger!B:B, _xlpm.party, ledger!E:E, "&lt;&gt;*RD*", ledger!D:D, "Satin", ledger!C:C, "&lt;&gt;September Closing CF")
))</f>
        <v>0</v>
      </c>
      <c r="K68" s="44">
        <f t="shared" si="9"/>
        <v>0</v>
      </c>
      <c r="L68" s="23">
        <f>SUMIF(Table14[Party], B68, Table14[Credit])</f>
        <v>0</v>
      </c>
      <c r="M68" s="42">
        <f t="shared" si="11"/>
        <v>0</v>
      </c>
      <c r="N68" s="22">
        <v>10</v>
      </c>
      <c r="O68" s="22">
        <v>12</v>
      </c>
      <c r="X68" s="4" t="s">
        <v>170</v>
      </c>
      <c r="Y68" s="5">
        <v>69038.953913679594</v>
      </c>
      <c r="Z68" s="18">
        <v>690389.53913679591</v>
      </c>
    </row>
    <row r="69" spans="2:26" x14ac:dyDescent="0.3">
      <c r="C69" s="23"/>
      <c r="D69" s="23"/>
      <c r="E69" s="68"/>
      <c r="F69" s="22"/>
      <c r="G69" s="23" cm="1">
        <f t="array" ref="G69">(_xlfn.BYROW(B69,_xlfn.LAMBDA(_xlpm.party,
(SUMIFS(ledger!J:J,ledger!B:B,_xlpm.party,ledger!E:E,"&lt;&gt;*RD*",ledger!D:D,"Chamki",ledger!C:C,"&lt;&gt;September Closing CF")+
SUMIFS(ledger!J:J,ledger!B:B,_xlpm.party,ledger!E:E,"&lt;&gt;*RD*",ledger!D:D,"Crinkle",ledger!C:C,"&lt;&gt;September Closing CF")
))))</f>
        <v>0</v>
      </c>
      <c r="H69" s="23" cm="1">
        <f t="array" ref="H69">_xlfn.BYROW(B69, _xlfn.LAMBDA(_xlpm.party,
   SUMIFS(ledger!J:J, ledger!B:B, _xlpm.party, ledger!E:E, "&lt;&gt;*RD*", ledger!D:D, "Silky", ledger!C:C, "&lt;&gt;September Closing CF")
))</f>
        <v>0</v>
      </c>
      <c r="I69" s="23" cm="1">
        <f t="array" ref="I69">_xlfn.BYROW(B69, _xlfn.LAMBDA(_xlpm.party,
   SUMIFS(ledger!J:J, ledger!B:B, _xlpm.party, ledger!E:E, "&lt;&gt;*RD*", ledger!D:D, "Slub", ledger!C:C, "&lt;&gt;September Closing CF")
))</f>
        <v>0</v>
      </c>
      <c r="J69" s="23" cm="1">
        <f t="array" ref="J69">_xlfn.BYROW(B69, _xlfn.LAMBDA(_xlpm.party,
   SUMIFS(ledger!J:J, ledger!B:B, _xlpm.party, ledger!E:E, "&lt;&gt;*RD*", ledger!D:D, "Satin", ledger!C:C, "&lt;&gt;September Closing CF")
))</f>
        <v>0</v>
      </c>
      <c r="K69" s="44">
        <f t="shared" si="9"/>
        <v>0</v>
      </c>
      <c r="L69" s="23">
        <f>SUMIF(Table14[Party], B69, Table14[Credit])</f>
        <v>0</v>
      </c>
      <c r="M69" s="42">
        <f t="shared" si="11"/>
        <v>0</v>
      </c>
      <c r="N69" s="22">
        <v>10</v>
      </c>
      <c r="O69" s="22">
        <v>12</v>
      </c>
      <c r="X69" s="4" t="s">
        <v>173</v>
      </c>
      <c r="Y69" s="5">
        <v>0</v>
      </c>
      <c r="Z69" s="18">
        <v>0</v>
      </c>
    </row>
    <row r="70" spans="2:26" x14ac:dyDescent="0.3">
      <c r="X70" s="4" t="s">
        <v>180</v>
      </c>
      <c r="Y70" s="5">
        <v>0</v>
      </c>
      <c r="Z70" s="18">
        <v>0</v>
      </c>
    </row>
    <row r="71" spans="2:26" x14ac:dyDescent="0.3">
      <c r="X71" s="4" t="s">
        <v>181</v>
      </c>
      <c r="Y71" s="5">
        <v>0</v>
      </c>
      <c r="Z71" s="18">
        <v>0</v>
      </c>
    </row>
    <row r="72" spans="2:26" x14ac:dyDescent="0.3">
      <c r="X72" s="4" t="s">
        <v>183</v>
      </c>
      <c r="Y72" s="5">
        <v>0</v>
      </c>
      <c r="Z72" s="18">
        <v>0</v>
      </c>
    </row>
    <row r="73" spans="2:26" x14ac:dyDescent="0.3">
      <c r="X73" s="4" t="s">
        <v>198</v>
      </c>
      <c r="Y73" s="5">
        <v>34937.820043891734</v>
      </c>
      <c r="Z73" s="18">
        <v>383613.75274323334</v>
      </c>
    </row>
    <row r="74" spans="2:26" x14ac:dyDescent="0.3">
      <c r="X74" s="4" t="s">
        <v>28</v>
      </c>
      <c r="Y74" s="14">
        <v>564766.82516459411</v>
      </c>
      <c r="Z74" s="14">
        <v>5831839.79517191</v>
      </c>
    </row>
    <row r="81" spans="2:15" x14ac:dyDescent="0.3">
      <c r="B81" t="s">
        <v>157</v>
      </c>
    </row>
    <row r="83" spans="2:15" x14ac:dyDescent="0.3">
      <c r="B83" t="s">
        <v>33</v>
      </c>
      <c r="C83" s="24" t="s">
        <v>10</v>
      </c>
      <c r="D83" s="24" t="s">
        <v>11</v>
      </c>
      <c r="E83" s="24" t="s">
        <v>12</v>
      </c>
      <c r="F83" s="24" t="s">
        <v>13</v>
      </c>
      <c r="G83" s="24" t="s">
        <v>14</v>
      </c>
      <c r="H83" s="24" t="s">
        <v>15</v>
      </c>
      <c r="I83" s="24"/>
      <c r="J83" s="24"/>
      <c r="K83" s="24" t="s">
        <v>16</v>
      </c>
      <c r="L83" s="24" t="s">
        <v>17</v>
      </c>
      <c r="M83" s="24" t="s">
        <v>18</v>
      </c>
      <c r="N83" s="24" t="s">
        <v>19</v>
      </c>
      <c r="O83" s="24" t="s">
        <v>20</v>
      </c>
    </row>
    <row r="84" spans="2:15"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23"/>
      <c r="J84" s="23"/>
      <c r="K84" s="44">
        <f t="shared" ref="K84:K99" si="12">G84+H84</f>
        <v>15293816.752011707</v>
      </c>
      <c r="L84" s="23">
        <f>_xlfn.XLOOKUP($B49,[1]Billing!$O$5:$O$29,[1]Billing!$W$5:$W$29)</f>
        <v>12854653</v>
      </c>
      <c r="M84" s="42">
        <f>K84-L84</f>
        <v>2439163.7520117071</v>
      </c>
      <c r="N84" s="22">
        <v>10</v>
      </c>
      <c r="O84" s="22">
        <v>12</v>
      </c>
    </row>
    <row r="85" spans="2:15"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23"/>
      <c r="J85" s="23"/>
      <c r="K85" s="44">
        <f t="shared" si="12"/>
        <v>1484367.2275054865</v>
      </c>
      <c r="L85" s="23">
        <f>_xlfn.XLOOKUP($B50,[1]Billing!$O$5:$O$29,[1]Billing!$W$5:$W$29)</f>
        <v>859904</v>
      </c>
      <c r="M85" s="42">
        <f>K85-L85</f>
        <v>624463.22750548646</v>
      </c>
      <c r="N85" s="22">
        <v>10</v>
      </c>
      <c r="O85" s="22">
        <v>12</v>
      </c>
    </row>
    <row r="86" spans="2:15"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23"/>
      <c r="J86" s="23"/>
      <c r="K86" s="44">
        <f t="shared" si="12"/>
        <v>2404753.1089978055</v>
      </c>
      <c r="L86" s="23">
        <f>_xlfn.XLOOKUP($B51,[1]Billing!$O$5:$O$29,[1]Billing!$W$5:$W$29)</f>
        <v>2306701</v>
      </c>
      <c r="M86" s="42">
        <f>K86-L86</f>
        <v>98052.10899780551</v>
      </c>
      <c r="N86" s="22">
        <v>10</v>
      </c>
      <c r="O86" s="22">
        <v>12</v>
      </c>
    </row>
    <row r="87" spans="2:15"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23"/>
      <c r="J87" s="23"/>
      <c r="K87" s="44">
        <f t="shared" si="12"/>
        <v>1269270.3440380397</v>
      </c>
      <c r="L87" s="23">
        <f>_xlfn.XLOOKUP($B52,[1]Billing!$O$5:$O$29,[1]Billing!$W$5:$W$29)</f>
        <v>1268740</v>
      </c>
      <c r="M87" s="42">
        <f t="shared" ref="M87:M99" si="13">K87-L87</f>
        <v>530.34403803967871</v>
      </c>
      <c r="N87" s="22">
        <v>10.5</v>
      </c>
      <c r="O87" s="22">
        <v>13</v>
      </c>
    </row>
    <row r="88" spans="2:15"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23"/>
      <c r="J88" s="23"/>
      <c r="K88" s="44">
        <f t="shared" si="12"/>
        <v>11238804.472567666</v>
      </c>
      <c r="L88" s="23">
        <f>_xlfn.XLOOKUP($B53,[1]Billing!$O$5:$O$29,[1]Billing!$W$5:$W$29)</f>
        <v>8629100</v>
      </c>
      <c r="M88" s="42">
        <f t="shared" si="13"/>
        <v>2609704.4725676663</v>
      </c>
      <c r="N88" s="22">
        <v>10</v>
      </c>
      <c r="O88" s="22">
        <v>12</v>
      </c>
    </row>
    <row r="89" spans="2:15"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23"/>
      <c r="J89" s="23"/>
      <c r="K89" s="44">
        <f t="shared" si="12"/>
        <v>4404352.5969275786</v>
      </c>
      <c r="L89" s="23">
        <f>_xlfn.XLOOKUP($B54,[1]Billing!$O$5:$O$29,[1]Billing!$W$5:$W$29)</f>
        <v>3751266</v>
      </c>
      <c r="M89" s="42">
        <f t="shared" si="13"/>
        <v>653086.59692757856</v>
      </c>
      <c r="N89" s="22">
        <v>10</v>
      </c>
      <c r="O89" s="22">
        <v>12</v>
      </c>
    </row>
    <row r="90" spans="2:15"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23"/>
      <c r="J90" s="23"/>
      <c r="K90" s="44">
        <f t="shared" si="12"/>
        <v>690919.89758595475</v>
      </c>
      <c r="L90" s="23">
        <f>_xlfn.XLOOKUP($B55,[1]Billing!$O$5:$O$29,[1]Billing!$W$5:$W$29)</f>
        <v>600000</v>
      </c>
      <c r="M90" s="42">
        <f t="shared" si="13"/>
        <v>90919.89758595475</v>
      </c>
      <c r="N90" s="22">
        <v>10</v>
      </c>
      <c r="O90" s="22">
        <v>12</v>
      </c>
    </row>
    <row r="91" spans="2:15"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23"/>
      <c r="J91" s="23"/>
      <c r="K91" s="44">
        <f t="shared" si="12"/>
        <v>1618087.0519385519</v>
      </c>
      <c r="L91" s="23">
        <f>_xlfn.XLOOKUP($B56,[1]Billing!$O$5:$O$29,[1]Billing!$W$5:$W$29)</f>
        <v>1617620</v>
      </c>
      <c r="M91" s="42">
        <f t="shared" si="13"/>
        <v>467.05193855194375</v>
      </c>
      <c r="N91" s="22">
        <v>10</v>
      </c>
      <c r="O91" s="22">
        <v>12</v>
      </c>
    </row>
    <row r="92" spans="2:15"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23"/>
      <c r="J92" s="23"/>
      <c r="K92" s="44">
        <f t="shared" si="12"/>
        <v>631234.45501097303</v>
      </c>
      <c r="L92" s="23">
        <f>_xlfn.XLOOKUP($B57,[1]Billing!$O$5:$O$29,[1]Billing!$W$5:$W$29)</f>
        <v>451150</v>
      </c>
      <c r="M92" s="42">
        <f t="shared" si="13"/>
        <v>180084.45501097303</v>
      </c>
      <c r="N92" s="22">
        <v>10</v>
      </c>
      <c r="O92" s="22">
        <v>12</v>
      </c>
    </row>
    <row r="93" spans="2:15"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23"/>
      <c r="J93" s="23"/>
      <c r="K93" s="44">
        <f t="shared" si="12"/>
        <v>255724.21360643749</v>
      </c>
      <c r="L93" s="23">
        <f>_xlfn.XLOOKUP($B58,[1]Billing!$O$5:$O$29,[1]Billing!$W$5:$W$29)</f>
        <v>0</v>
      </c>
      <c r="M93" s="42">
        <f t="shared" si="13"/>
        <v>255724.21360643749</v>
      </c>
      <c r="N93" s="22">
        <v>12</v>
      </c>
      <c r="O93" s="22">
        <v>12</v>
      </c>
    </row>
    <row r="94" spans="2:15"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23"/>
      <c r="J94" s="23"/>
      <c r="K94" s="44">
        <f t="shared" si="12"/>
        <v>446881.85808339436</v>
      </c>
      <c r="L94" s="23">
        <f>_xlfn.XLOOKUP($B59,[1]Billing!$O$5:$O$29,[1]Billing!$W$5:$W$29)</f>
        <v>400000</v>
      </c>
      <c r="M94" s="42">
        <f t="shared" si="13"/>
        <v>46881.858083394356</v>
      </c>
      <c r="N94" s="22">
        <v>10</v>
      </c>
      <c r="O94" s="22">
        <v>12</v>
      </c>
    </row>
    <row r="95" spans="2:15"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23"/>
      <c r="J95" s="23"/>
      <c r="K95" s="44">
        <f t="shared" si="12"/>
        <v>2655543.1602048283</v>
      </c>
      <c r="L95" s="23">
        <f>_xlfn.XLOOKUP($B60,[1]Billing!$O$5:$O$29,[1]Billing!$W$5:$W$29)</f>
        <v>1370000</v>
      </c>
      <c r="M95" s="42">
        <f t="shared" si="13"/>
        <v>1285543.1602048283</v>
      </c>
      <c r="N95" s="22">
        <v>10</v>
      </c>
      <c r="O95" s="22">
        <v>12</v>
      </c>
    </row>
    <row r="96" spans="2:15"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23"/>
      <c r="J96" s="23"/>
      <c r="K96" s="44">
        <f t="shared" si="12"/>
        <v>0</v>
      </c>
      <c r="L96" s="23">
        <f>_xlfn.XLOOKUP($B61,[1]Billing!$O$5:$O$29,[1]Billing!$W$5:$W$29)</f>
        <v>0</v>
      </c>
      <c r="M96" s="42">
        <f t="shared" si="13"/>
        <v>0</v>
      </c>
      <c r="N96" s="22">
        <v>10</v>
      </c>
      <c r="O96" s="22">
        <v>12</v>
      </c>
    </row>
    <row r="97" spans="2:15"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23"/>
      <c r="J97" s="23"/>
      <c r="K97" s="44">
        <f t="shared" si="12"/>
        <v>483851.49963423557</v>
      </c>
      <c r="L97" s="23">
        <f>_xlfn.XLOOKUP($B62,[1]Billing!$O$5:$O$29,[1]Billing!$W$5:$W$29)</f>
        <v>0</v>
      </c>
      <c r="M97" s="42">
        <f t="shared" si="13"/>
        <v>483851.49963423557</v>
      </c>
      <c r="N97" s="22">
        <v>10</v>
      </c>
      <c r="O97" s="22">
        <v>12</v>
      </c>
    </row>
    <row r="98" spans="2:15"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23"/>
      <c r="J98" s="23"/>
      <c r="K98" s="44">
        <f t="shared" si="12"/>
        <v>89155.084125822978</v>
      </c>
      <c r="L98" s="23">
        <f>_xlfn.XLOOKUP($B63,[1]Billing!$O$5:$O$29,[1]Billing!$W$5:$W$29)</f>
        <v>0</v>
      </c>
      <c r="M98" s="42">
        <f t="shared" si="13"/>
        <v>89155.084125822978</v>
      </c>
      <c r="N98" s="22">
        <v>10</v>
      </c>
      <c r="O98" s="22">
        <v>12</v>
      </c>
    </row>
    <row r="99" spans="2:15"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23"/>
      <c r="J99" s="23"/>
      <c r="K99" s="44">
        <f t="shared" si="12"/>
        <v>256272.86027798103</v>
      </c>
      <c r="L99" s="23">
        <f>_xlfn.XLOOKUP($B64,[1]Billing!$O$5:$O$29,[1]Billing!$W$5:$W$29)</f>
        <v>0</v>
      </c>
      <c r="M99" s="42">
        <f t="shared" si="13"/>
        <v>256272.86027798103</v>
      </c>
      <c r="N99" s="22">
        <v>10</v>
      </c>
      <c r="O99" s="22">
        <v>12</v>
      </c>
    </row>
    <row r="100" spans="2:15" x14ac:dyDescent="0.3">
      <c r="B100" t="str">
        <v>Faizan</v>
      </c>
    </row>
    <row r="101" spans="2:15" x14ac:dyDescent="0.3">
      <c r="B101" t="str">
        <v>Shafique Ansari</v>
      </c>
    </row>
    <row r="102" spans="2:15"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Billing!Q5), INDEX(Billing!R5:R25, _xlfn.SEQUENCE(ROWS(_xlfn.ANCHORARRAY(Billing!$Q$5)))), "Not Found")</f>
        <v>82290</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Billing!$Q$5), INDEX(Billing!S5:S25, _xlfn.SEQUENCE(ROWS(_xlfn.ANCHORARRAY(Billing!$Q$5)))), "Not Found")</f>
        <v>75246.891002194592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OFFSET(Billing!N49, 0, 0, ROWS(_xlfn.ANCHORARRAY(Billing!$B$49))), "Not Found")</f>
        <v>10</v>
      </c>
      <c r="D12" s="71" cm="1">
        <f t="array" ref="D12">_xlfn.XLOOKUP($B$6,_xlfn.ANCHORARRAY( Billing!$Q$5), INDEX(Billing!T5:T25, _xlfn.SEQUENCE(ROWS(_xlfn.ANCHORARRAY(Billing!$Q$5)))), "Not Found")</f>
        <v>64300.475493782011</v>
      </c>
      <c r="E12" s="97">
        <f ca="1">Table21[[#This Row],[gazana]]*Table21[[#This Row],[Rate]]</f>
        <v>643004.75493782014</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OFFSET(Billing!O49, 0, 0, ROWS(_xlfn.ANCHORARRAY(Billing!$B$49))), "Not Found")</f>
        <v>12</v>
      </c>
      <c r="D14" s="71" cm="1">
        <f t="array" ref="D14">_xlfn.XLOOKUP($B$6,_xlfn.ANCHORARRAY( Billing!$Q$5), INDEX(Billing!U5:U25, _xlfn.SEQUENCE(ROWS(_xlfn.ANCHORARRAY(Billing!$Q$5)))),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733794.80614484288</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Billing!Q5), OFFSET(Billing!AA5, 0, 0, ROWS(_xlfn.ANCHORARRAY(Billing!Q5))),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Billing!Q5), OFFSET(Billing!AB5, 0, 0, ROWS(_xlfn.ANCHORARRAY(Billing!Q5))), "Not Found")</f>
        <v>643360.64374542807</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4"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4597065</v>
      </c>
      <c r="D4" t="s">
        <v>228</v>
      </c>
    </row>
    <row r="5" spans="1:4" x14ac:dyDescent="0.3">
      <c r="B5" t="s">
        <v>48</v>
      </c>
      <c r="C5" s="11">
        <f>SUM(Table8[Price])+Table2325[[#Totals],[total]]</f>
        <v>179750</v>
      </c>
    </row>
    <row r="6" spans="1:4" x14ac:dyDescent="0.3">
      <c r="B6" t="s">
        <v>49</v>
      </c>
      <c r="C6" s="11">
        <f>SUM(Table2[Price])+Finish!J30</f>
        <v>779916.66666666663</v>
      </c>
      <c r="D6" t="s">
        <v>229</v>
      </c>
    </row>
    <row r="7" spans="1:4" x14ac:dyDescent="0.3">
      <c r="B7" t="s">
        <v>50</v>
      </c>
      <c r="C7" s="11">
        <f>SUMIFS(Table14[Debit], Table14[Party],Table12[[#This Row],[Type]])</f>
        <v>16030</v>
      </c>
    </row>
    <row r="8" spans="1:4" x14ac:dyDescent="0.3">
      <c r="B8" t="s">
        <v>51</v>
      </c>
      <c r="C8" s="11">
        <f>Electricity!E3</f>
        <v>0</v>
      </c>
    </row>
    <row r="9" spans="1:4" x14ac:dyDescent="0.3">
      <c r="B9" t="s">
        <v>52</v>
      </c>
      <c r="C9" s="11">
        <f>Table11[[#Totals],[Amount]]+'Salary Acc'!I36</f>
        <v>50250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225610</v>
      </c>
    </row>
    <row r="13" spans="1:4" x14ac:dyDescent="0.3">
      <c r="C13" s="11"/>
    </row>
    <row r="14" spans="1:4" x14ac:dyDescent="0.3">
      <c r="C14" s="14">
        <f>SUM(Table12[Amount])</f>
        <v>5886866.666666667</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7"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2125424.2867593272</v>
      </c>
    </row>
    <row r="4" spans="1:3" x14ac:dyDescent="0.3">
      <c r="B4" s="11" t="s">
        <v>44</v>
      </c>
      <c r="C4" s="11">
        <f>Table12[[#Totals],[Amount]]</f>
        <v>5886866.666666667</v>
      </c>
    </row>
    <row r="5" spans="1:3" x14ac:dyDescent="0.3">
      <c r="A5" s="6"/>
      <c r="B5" s="15" t="s">
        <v>68</v>
      </c>
      <c r="C5" s="15">
        <f ca="1">C3-C4</f>
        <v>-3761442.3799073398</v>
      </c>
    </row>
    <row r="10" spans="1:3" ht="15" thickBot="1" x14ac:dyDescent="0.35">
      <c r="B10" t="s">
        <v>66</v>
      </c>
      <c r="C10" s="14" t="s">
        <v>67</v>
      </c>
    </row>
    <row r="11" spans="1:3" x14ac:dyDescent="0.3">
      <c r="B11" s="61" t="s">
        <v>0</v>
      </c>
      <c r="C11" s="62">
        <f ca="1">C3</f>
        <v>2125424.2867593272</v>
      </c>
    </row>
    <row r="12" spans="1:3" x14ac:dyDescent="0.3">
      <c r="B12" s="63" t="s">
        <v>69</v>
      </c>
      <c r="C12" s="64">
        <f>SUM(Table14[Credit])</f>
        <v>8692130</v>
      </c>
    </row>
    <row r="13" spans="1:3" ht="15" thickBot="1" x14ac:dyDescent="0.35">
      <c r="B13" s="79" t="s">
        <v>96</v>
      </c>
      <c r="C13" s="78">
        <f ca="1">(C11-C12)</f>
        <v>-6566705.7132406728</v>
      </c>
    </row>
    <row r="14" spans="1:3" ht="15" thickBot="1" x14ac:dyDescent="0.35">
      <c r="B14" s="63"/>
      <c r="C14" s="64"/>
    </row>
    <row r="15" spans="1:3" x14ac:dyDescent="0.3">
      <c r="B15" s="61" t="s">
        <v>44</v>
      </c>
      <c r="C15" s="62">
        <f>C4</f>
        <v>5886866.666666667</v>
      </c>
    </row>
    <row r="16" spans="1:3" x14ac:dyDescent="0.3">
      <c r="B16" s="63" t="s">
        <v>70</v>
      </c>
      <c r="C16" s="64">
        <f>SUM(Table14[Debit])</f>
        <v>8646076</v>
      </c>
    </row>
    <row r="17" spans="2:6" ht="15" thickBot="1" x14ac:dyDescent="0.35">
      <c r="B17" s="79" t="s">
        <v>71</v>
      </c>
      <c r="C17" s="78">
        <f>C15-C16</f>
        <v>-2759209.333333333</v>
      </c>
    </row>
    <row r="18" spans="2:6" ht="15" thickBot="1" x14ac:dyDescent="0.35">
      <c r="B18" s="63"/>
      <c r="C18" s="64"/>
    </row>
    <row r="19" spans="2:6" ht="15" thickBot="1" x14ac:dyDescent="0.35">
      <c r="B19" s="80" t="s">
        <v>72</v>
      </c>
      <c r="C19" s="81">
        <f>Table18[[#Totals],[amount]]</f>
        <v>46054</v>
      </c>
    </row>
    <row r="20" spans="2:6" ht="15" thickBot="1" x14ac:dyDescent="0.35">
      <c r="B20" s="76"/>
      <c r="C20" s="77"/>
    </row>
    <row r="21" spans="2:6" ht="15" thickBot="1" x14ac:dyDescent="0.35">
      <c r="B21" s="65" t="s">
        <v>73</v>
      </c>
      <c r="C21" s="66">
        <f ca="1">(C13-C17)+C19</f>
        <v>-3761442.3799073398</v>
      </c>
      <c r="E21" s="84" t="s">
        <v>74</v>
      </c>
      <c r="F21" s="85">
        <f ca="1">C5*0.05</f>
        <v>-188072.118995367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44"/>
  <sheetViews>
    <sheetView topLeftCell="C73" zoomScale="140" zoomScaleNormal="126" workbookViewId="0">
      <selection activeCell="I82" sqref="I82"/>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-0.34896515013701901</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-0.34896515013701901</v>
      </c>
      <c r="I63" s="121">
        <f>Table1[[#This Row],[Tiyaar/gaz]]/1.0936</f>
        <v>4529.0782735918074</v>
      </c>
      <c r="J63" s="121" cm="1">
        <f t="array" ref="J6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45290.782735918074</v>
      </c>
      <c r="K63" s="29"/>
      <c r="S63"/>
    </row>
    <row r="64" spans="1:25" x14ac:dyDescent="0.3">
      <c r="A64" s="28">
        <v>45956</v>
      </c>
      <c r="B64" s="29" t="s">
        <v>170</v>
      </c>
      <c r="C64" s="29">
        <v>1015</v>
      </c>
      <c r="D64" s="29" t="s">
        <v>85</v>
      </c>
      <c r="E64" s="11">
        <v>1791</v>
      </c>
      <c r="F64" s="11">
        <v>100849</v>
      </c>
      <c r="G64" s="11">
        <v>39419</v>
      </c>
      <c r="H64" s="32">
        <f>_xlfn.XLOOKUP(Table1[[#This Row],[Shipment Number]], 'pivot '!A:A,'pivot '!G:G, "NF")</f>
        <v>31.542252363752141</v>
      </c>
      <c r="I64" s="121">
        <f>Table1[[#This Row],[Tiyaar/gaz]]/1.0936</f>
        <v>36045.171909290417</v>
      </c>
      <c r="J64" s="121" cm="1">
        <f t="array" ref="J6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360451.71909290418</v>
      </c>
      <c r="K64" s="29"/>
      <c r="S64"/>
    </row>
    <row r="65" spans="1:19" x14ac:dyDescent="0.3">
      <c r="A65" s="28">
        <v>45956</v>
      </c>
      <c r="B65" s="29" t="s">
        <v>25</v>
      </c>
      <c r="C65" s="29">
        <v>1016</v>
      </c>
      <c r="D65" s="29" t="s">
        <v>313</v>
      </c>
      <c r="E65" s="11">
        <v>1850</v>
      </c>
      <c r="F65" s="11">
        <v>5511</v>
      </c>
      <c r="G65" s="11">
        <v>837</v>
      </c>
      <c r="H65" s="32">
        <f>_xlfn.XLOOKUP(Table1[[#This Row],[Shipment Number]], 'pivot '!A:A,'pivot '!G:G, "NF")</f>
        <v>0.39539196528799891</v>
      </c>
      <c r="I65" s="121">
        <f>Table1[[#This Row],[Tiyaar/gaz]]/1.0936</f>
        <v>765.36210680321881</v>
      </c>
      <c r="J65" s="121" cm="1">
        <f t="array" ref="J6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9949.7073884418442</v>
      </c>
      <c r="K65" s="29"/>
      <c r="S65"/>
    </row>
    <row r="66" spans="1:19" x14ac:dyDescent="0.3">
      <c r="A66" s="28">
        <v>45956</v>
      </c>
      <c r="B66" s="29" t="s">
        <v>21</v>
      </c>
      <c r="C66" s="29">
        <v>1017</v>
      </c>
      <c r="D66" s="29" t="s">
        <v>85</v>
      </c>
      <c r="E66" s="11" t="s">
        <v>290</v>
      </c>
      <c r="F66" s="11">
        <v>12811</v>
      </c>
      <c r="G66" s="11">
        <f>5683-333</f>
        <v>5350</v>
      </c>
      <c r="H66" s="32">
        <f>_xlfn.XLOOKUP(Table1[[#This Row],[Shipment Number]], 'pivot '!A:A,'pivot '!G:G, "NF")</f>
        <v>-0.34896515013701901</v>
      </c>
      <c r="I66" s="121">
        <f>Table1[[#This Row],[Tiyaar/gaz]]/1.0936</f>
        <v>4892.0994879297732</v>
      </c>
      <c r="J66" s="121" cm="1">
        <f t="array" ref="J6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48920.99487929773</v>
      </c>
      <c r="K66" s="29"/>
      <c r="S66"/>
    </row>
    <row r="67" spans="1:19" x14ac:dyDescent="0.3">
      <c r="A67" s="28">
        <v>45957</v>
      </c>
      <c r="B67" s="29" t="s">
        <v>198</v>
      </c>
      <c r="C67" s="29">
        <v>1018</v>
      </c>
      <c r="D67" s="29" t="s">
        <v>313</v>
      </c>
      <c r="E67" s="11">
        <v>1801</v>
      </c>
      <c r="F67" s="11">
        <v>3023</v>
      </c>
      <c r="G67" s="11">
        <v>3248</v>
      </c>
      <c r="H67" s="32">
        <f>_xlfn.XLOOKUP(Table1[[#This Row],[Shipment Number]], 'pivot '!A:A,'pivot '!G:G, "NF")</f>
        <v>1.7529832851817986</v>
      </c>
      <c r="I67" s="121">
        <f>Table1[[#This Row],[Tiyaar/gaz]]/1.0936</f>
        <v>2970.007315288954</v>
      </c>
      <c r="J67" s="121" cm="1">
        <f t="array" ref="J67">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44550.109729334312</v>
      </c>
      <c r="K67" s="29"/>
      <c r="S67"/>
    </row>
    <row r="68" spans="1:19" x14ac:dyDescent="0.3">
      <c r="A68" s="28">
        <v>45957</v>
      </c>
      <c r="B68" s="29" t="s">
        <v>25</v>
      </c>
      <c r="C68" s="29">
        <v>1019</v>
      </c>
      <c r="D68" s="29" t="s">
        <v>313</v>
      </c>
      <c r="E68" s="11">
        <v>1850</v>
      </c>
      <c r="F68" s="11">
        <v>5511</v>
      </c>
      <c r="G68" s="11">
        <v>5166</v>
      </c>
      <c r="H68" s="32">
        <f>_xlfn.XLOOKUP(Table1[[#This Row],[Shipment Number]], 'pivot '!A:A,'pivot '!G:G, "NF")</f>
        <v>0.39539196528799891</v>
      </c>
      <c r="I68" s="121">
        <f>Table1[[#This Row],[Tiyaar/gaz]]/1.0936</f>
        <v>4723.8478419897592</v>
      </c>
      <c r="J68" s="121" cm="1">
        <f t="array" ref="J68">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61410.021945866873</v>
      </c>
      <c r="K68" s="29"/>
      <c r="S68"/>
    </row>
    <row r="69" spans="1:19" x14ac:dyDescent="0.3">
      <c r="A69" s="28">
        <v>45957</v>
      </c>
      <c r="B69" s="29" t="s">
        <v>170</v>
      </c>
      <c r="C69" s="29">
        <v>1020</v>
      </c>
      <c r="D69" s="29" t="s">
        <v>85</v>
      </c>
      <c r="E69" s="11">
        <v>1791</v>
      </c>
      <c r="F69" s="11">
        <v>100849</v>
      </c>
      <c r="G69" s="11">
        <v>36082</v>
      </c>
      <c r="H69" s="32">
        <f>_xlfn.XLOOKUP(Table1[[#This Row],[Shipment Number]], 'pivot '!A:A,'pivot '!G:G, "NF")</f>
        <v>31.542252363752141</v>
      </c>
      <c r="I69" s="121">
        <f>Table1[[#This Row],[Tiyaar/gaz]]/1.0936</f>
        <v>32993.782004389177</v>
      </c>
      <c r="J69" s="121" cm="1">
        <f t="array" ref="J69">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329937.82004389178</v>
      </c>
      <c r="K69" s="29"/>
      <c r="S69"/>
    </row>
    <row r="70" spans="1:19" x14ac:dyDescent="0.3">
      <c r="A70" s="28">
        <v>45958</v>
      </c>
      <c r="B70" s="29" t="s">
        <v>27</v>
      </c>
      <c r="C70" s="29">
        <v>1021</v>
      </c>
      <c r="D70" s="29" t="s">
        <v>85</v>
      </c>
      <c r="E70" s="11">
        <v>1824</v>
      </c>
      <c r="F70" s="11">
        <v>50784</v>
      </c>
      <c r="G70" s="11">
        <v>4382</v>
      </c>
      <c r="H70" s="32">
        <f>_xlfn.XLOOKUP(Table1[[#This Row],[Shipment Number]], 'pivot '!A:A,'pivot '!G:G, "NF")</f>
        <v>2.4945043142688661</v>
      </c>
      <c r="I70" s="121">
        <f>Table1[[#This Row],[Tiyaar/gaz]]/1.0936</f>
        <v>4006.9495245062185</v>
      </c>
      <c r="J70" s="121" cm="1">
        <f t="array" ref="J70">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40069.495245062186</v>
      </c>
      <c r="K70" s="29"/>
      <c r="S70"/>
    </row>
    <row r="71" spans="1:19" x14ac:dyDescent="0.3">
      <c r="A71" s="28">
        <v>45958</v>
      </c>
      <c r="B71" s="29" t="s">
        <v>27</v>
      </c>
      <c r="C71" s="29">
        <v>1022</v>
      </c>
      <c r="D71" s="29" t="s">
        <v>85</v>
      </c>
      <c r="E71" s="11">
        <v>1824</v>
      </c>
      <c r="F71" s="11">
        <v>50784</v>
      </c>
      <c r="G71" s="11">
        <v>45820</v>
      </c>
      <c r="H71" s="32">
        <f>_xlfn.XLOOKUP(Table1[[#This Row],[Shipment Number]], 'pivot '!A:A,'pivot '!G:G, "NF")</f>
        <v>2.4945043142688661</v>
      </c>
      <c r="I71" s="121">
        <f>Table1[[#This Row],[Tiyaar/gaz]]/1.0936</f>
        <v>41898.317483540603</v>
      </c>
      <c r="J71" s="121" cm="1">
        <f t="array" ref="J71">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418983.17483540601</v>
      </c>
      <c r="K71" s="29"/>
      <c r="S71"/>
    </row>
    <row r="72" spans="1:19" x14ac:dyDescent="0.3">
      <c r="A72" s="28">
        <v>45958</v>
      </c>
      <c r="B72" s="29" t="s">
        <v>227</v>
      </c>
      <c r="C72" s="29">
        <v>1023</v>
      </c>
      <c r="D72" s="29" t="s">
        <v>314</v>
      </c>
      <c r="E72" s="11">
        <v>1814</v>
      </c>
      <c r="F72" s="11">
        <v>3702</v>
      </c>
      <c r="G72" s="11">
        <v>3697</v>
      </c>
      <c r="H72" s="32">
        <f>_xlfn.XLOOKUP(Table1[[#This Row],[Shipment Number]], 'pivot '!A:A,'pivot '!G:G, "NF")</f>
        <v>8.682390388239881</v>
      </c>
      <c r="I72" s="121">
        <f>Table1[[#This Row],[Tiyaar/gaz]]/1.0936</f>
        <v>3380.5779078273595</v>
      </c>
      <c r="J72" s="121" cm="1">
        <f t="array" ref="J72">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94656.181419166067</v>
      </c>
      <c r="K72" s="29"/>
      <c r="S72"/>
    </row>
    <row r="73" spans="1:19" x14ac:dyDescent="0.3">
      <c r="A73" s="28">
        <v>45958</v>
      </c>
      <c r="B73" s="29" t="s">
        <v>227</v>
      </c>
      <c r="C73" s="29">
        <v>1024</v>
      </c>
      <c r="D73" s="29" t="s">
        <v>85</v>
      </c>
      <c r="E73" s="11">
        <v>1815</v>
      </c>
      <c r="F73" s="11">
        <v>65932</v>
      </c>
      <c r="G73" s="11">
        <v>46732</v>
      </c>
      <c r="H73" s="32">
        <f>_xlfn.XLOOKUP(Table1[[#This Row],[Shipment Number]], 'pivot '!A:A,'pivot '!G:G, "NF")</f>
        <v>2.4745563705302374</v>
      </c>
      <c r="I73" s="121">
        <f>Table1[[#This Row],[Tiyaar/gaz]]/1.0936</f>
        <v>42732.26042428676</v>
      </c>
      <c r="J73" s="121" cm="1">
        <f t="array" ref="J7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427322.60424286762</v>
      </c>
      <c r="K73" s="29"/>
    </row>
    <row r="74" spans="1:19" x14ac:dyDescent="0.3">
      <c r="A74" s="28">
        <v>45959</v>
      </c>
      <c r="B74" s="29" t="s">
        <v>27</v>
      </c>
      <c r="C74" s="29">
        <v>1025</v>
      </c>
      <c r="D74" s="29" t="s">
        <v>85</v>
      </c>
      <c r="E74" s="11">
        <v>1824</v>
      </c>
      <c r="F74" s="11">
        <v>50784</v>
      </c>
      <c r="G74" s="11">
        <v>3950</v>
      </c>
      <c r="H74" s="32">
        <f>_xlfn.XLOOKUP(Table1[[#This Row],[Shipment Number]], 'pivot '!A:A,'pivot '!G:G, "NF")</f>
        <v>2.4945043142688661</v>
      </c>
      <c r="I74" s="121">
        <f>Table1[[#This Row],[Tiyaar/gaz]]/1.0936</f>
        <v>3611.9239209948796</v>
      </c>
      <c r="J74" s="121" cm="1">
        <f t="array" ref="J7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36119.239209948799</v>
      </c>
      <c r="K74" s="29"/>
    </row>
    <row r="75" spans="1:19" x14ac:dyDescent="0.3">
      <c r="A75" s="28">
        <v>45959</v>
      </c>
      <c r="B75" s="29" t="s">
        <v>227</v>
      </c>
      <c r="C75" s="29">
        <v>1026</v>
      </c>
      <c r="D75" s="29" t="s">
        <v>85</v>
      </c>
      <c r="E75" s="11">
        <v>1815</v>
      </c>
      <c r="F75" s="11">
        <v>65932</v>
      </c>
      <c r="G75" s="11">
        <v>23587</v>
      </c>
      <c r="H75" s="32">
        <f>_xlfn.XLOOKUP(Table1[[#This Row],[Shipment Number]], 'pivot '!A:A,'pivot '!G:G, "NF")</f>
        <v>2.4745563705302374</v>
      </c>
      <c r="I75" s="121">
        <f>Table1[[#This Row],[Tiyaar/gaz]]/1.0936</f>
        <v>21568.215069495247</v>
      </c>
      <c r="J75" s="121" cm="1">
        <f t="array" ref="J7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215682.15069495246</v>
      </c>
      <c r="K75" s="29"/>
    </row>
    <row r="76" spans="1:19" x14ac:dyDescent="0.3">
      <c r="A76" s="28">
        <v>45959</v>
      </c>
      <c r="B76" s="29" t="s">
        <v>9</v>
      </c>
      <c r="C76" s="29">
        <v>1027</v>
      </c>
      <c r="D76" s="29" t="s">
        <v>85</v>
      </c>
      <c r="E76" s="11">
        <v>1833</v>
      </c>
      <c r="F76" s="11">
        <v>50678</v>
      </c>
      <c r="G76" s="11">
        <v>17191</v>
      </c>
      <c r="H76" s="32">
        <f>_xlfn.XLOOKUP(Table1[[#This Row],[Shipment Number]], 'pivot '!A:A,'pivot '!G:G, "NF")</f>
        <v>2.8084081103831124</v>
      </c>
      <c r="I76" s="121">
        <f>Table1[[#This Row],[Tiyaar/gaz]]/1.0936</f>
        <v>15719.641550841259</v>
      </c>
      <c r="J76" s="121" cm="1">
        <f t="array" ref="J7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157196.41550841258</v>
      </c>
      <c r="K76" s="29"/>
    </row>
    <row r="77" spans="1:19" x14ac:dyDescent="0.3">
      <c r="A77" s="28">
        <v>45960</v>
      </c>
      <c r="B77" s="29" t="s">
        <v>9</v>
      </c>
      <c r="C77" s="29">
        <v>1028</v>
      </c>
      <c r="D77" s="29" t="s">
        <v>85</v>
      </c>
      <c r="E77" s="11">
        <v>1833</v>
      </c>
      <c r="F77" s="11">
        <v>50678</v>
      </c>
      <c r="G77" s="11">
        <v>36674</v>
      </c>
      <c r="H77" s="32">
        <f>_xlfn.XLOOKUP(Table1[[#This Row],[Shipment Number]], 'pivot '!A:A,'pivot '!G:G, "NF")</f>
        <v>2.8084081103831124</v>
      </c>
      <c r="I77" s="121">
        <f>Table1[[#This Row],[Tiyaar/gaz]]/1.0936</f>
        <v>33535.113386978788</v>
      </c>
      <c r="J77" s="121" cm="1">
        <f t="array" ref="J77">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335351.13386978791</v>
      </c>
      <c r="K77" s="29"/>
    </row>
    <row r="78" spans="1:19" x14ac:dyDescent="0.3">
      <c r="A78" s="28">
        <v>45960</v>
      </c>
      <c r="B78" s="29" t="s">
        <v>35</v>
      </c>
      <c r="C78" s="29">
        <v>1029</v>
      </c>
      <c r="D78" s="29" t="s">
        <v>85</v>
      </c>
      <c r="E78" s="11">
        <v>1665</v>
      </c>
      <c r="F78" s="11">
        <v>1037</v>
      </c>
      <c r="G78" s="11">
        <v>1098</v>
      </c>
      <c r="H78" s="32">
        <f>_xlfn.XLOOKUP(Table1[[#This Row],[Shipment Number]], 'pivot '!A:A,'pivot '!G:G, "NF")</f>
        <v>3.179999139377756</v>
      </c>
      <c r="I78" s="121">
        <f>Table1[[#This Row],[Tiyaar/gaz]]/1.0936</f>
        <v>1004.0234089246526</v>
      </c>
      <c r="J78" s="121" cm="1">
        <f t="array" ref="J78">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10040.234089246525</v>
      </c>
      <c r="K78" s="29"/>
    </row>
    <row r="79" spans="1:19" x14ac:dyDescent="0.3">
      <c r="A79" s="28">
        <v>45960</v>
      </c>
      <c r="B79" s="29" t="s">
        <v>21</v>
      </c>
      <c r="C79" s="29">
        <v>1030</v>
      </c>
      <c r="D79" s="29" t="s">
        <v>85</v>
      </c>
      <c r="E79" s="11" t="s">
        <v>339</v>
      </c>
      <c r="F79" s="11">
        <v>61384</v>
      </c>
      <c r="G79" s="11">
        <v>5540</v>
      </c>
      <c r="H79" s="32">
        <f>_xlfn.XLOOKUP(Table1[[#This Row],[Shipment Number]], 'pivot '!A:A,'pivot '!G:G, "NF")</f>
        <v>91.747299621097966</v>
      </c>
      <c r="I79" s="121">
        <f>Table1[[#This Row],[Tiyaar/gaz]]/1.0936</f>
        <v>5065.8376005852233</v>
      </c>
      <c r="J79" s="121" cm="1">
        <f t="array" ref="J79">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50658.376005852231</v>
      </c>
      <c r="K79" s="29"/>
    </row>
    <row r="80" spans="1:19" x14ac:dyDescent="0.3">
      <c r="A80"/>
      <c r="B80"/>
      <c r="C80"/>
      <c r="D80"/>
      <c r="E80" s="14"/>
      <c r="F80" s="14"/>
      <c r="G80" s="14"/>
      <c r="H80" s="48"/>
      <c r="I80" s="103" cm="1">
        <f t="array" aca="1" ref="I80" ca="1">SUMPRODUCT( SUBTOTAL(109, OFFSET(Table1[tiyar/meters], ROW(Table1[tiyar/meters])-MIN(ROW(Table1[tiyar/meters])), 0, 1)), --(Table1[Bill Number]&lt;&gt;"September Closing CF") )</f>
        <v>641533.46744696423</v>
      </c>
      <c r="J80" s="48" cm="1">
        <f t="array" aca="1" ref="J80" ca="1">SUMPRODUCT( SUBTOTAL(109, OFFSET(Table1[billing], ROW(Table1[billing])-MIN(ROW(Table1[billing])), 0, 1)), --(Table1[Bill Number]&lt;&gt;"September Closing CF") )</f>
        <v>6835491.0387710324</v>
      </c>
      <c r="K80" s="14">
        <f>SUMIFS(Table1[billing], Table1[Bill Number], "&lt;&gt;September Closing CF")</f>
        <v>6835491.0387710324</v>
      </c>
    </row>
    <row r="96" spans="15:17" x14ac:dyDescent="0.3">
      <c r="O96"/>
      <c r="P96"/>
      <c r="Q96"/>
    </row>
    <row r="97" spans="12:18" x14ac:dyDescent="0.3">
      <c r="O97"/>
      <c r="P97"/>
      <c r="Q97"/>
    </row>
    <row r="98" spans="12:18" x14ac:dyDescent="0.3">
      <c r="L98"/>
      <c r="M98"/>
      <c r="O98"/>
      <c r="P98"/>
      <c r="Q98"/>
    </row>
    <row r="99" spans="12:18" x14ac:dyDescent="0.3">
      <c r="M99"/>
      <c r="P99"/>
      <c r="Q99"/>
      <c r="R99"/>
    </row>
    <row r="100" spans="12:18" x14ac:dyDescent="0.3">
      <c r="M100"/>
      <c r="P100"/>
      <c r="Q100"/>
      <c r="R100"/>
    </row>
    <row r="101" spans="12:18" x14ac:dyDescent="0.3">
      <c r="M101"/>
      <c r="P101"/>
      <c r="Q101"/>
      <c r="R101"/>
    </row>
    <row r="102" spans="12:18" x14ac:dyDescent="0.3">
      <c r="M102"/>
      <c r="P102"/>
      <c r="Q102"/>
      <c r="R102"/>
    </row>
    <row r="103" spans="12:18" x14ac:dyDescent="0.3">
      <c r="M103"/>
      <c r="P103"/>
      <c r="Q103"/>
      <c r="R103"/>
    </row>
    <row r="104" spans="12:18" x14ac:dyDescent="0.3">
      <c r="M104"/>
      <c r="P104"/>
      <c r="Q104"/>
      <c r="R104"/>
    </row>
    <row r="105" spans="12:18" x14ac:dyDescent="0.3">
      <c r="M105"/>
      <c r="P105"/>
      <c r="Q105"/>
      <c r="R105"/>
    </row>
    <row r="106" spans="12:18" x14ac:dyDescent="0.3">
      <c r="P106"/>
      <c r="Q106"/>
      <c r="R106"/>
    </row>
    <row r="107" spans="12:18" x14ac:dyDescent="0.3">
      <c r="L107"/>
      <c r="P107"/>
      <c r="Q107"/>
      <c r="R107"/>
    </row>
    <row r="108" spans="12:18" x14ac:dyDescent="0.3">
      <c r="L108"/>
      <c r="P108"/>
      <c r="Q108"/>
      <c r="R108"/>
    </row>
    <row r="109" spans="12:18" x14ac:dyDescent="0.3">
      <c r="L109"/>
      <c r="O109"/>
      <c r="P109"/>
      <c r="Q109"/>
    </row>
    <row r="110" spans="12:18" x14ac:dyDescent="0.3">
      <c r="L110"/>
      <c r="O110"/>
      <c r="P110"/>
      <c r="Q110"/>
    </row>
    <row r="111" spans="12:18" x14ac:dyDescent="0.3">
      <c r="L111"/>
      <c r="O111"/>
      <c r="P111"/>
      <c r="Q111"/>
    </row>
    <row r="112" spans="12:18" x14ac:dyDescent="0.3">
      <c r="L112"/>
      <c r="O112"/>
      <c r="P112"/>
      <c r="Q112"/>
    </row>
    <row r="113" spans="4:17" x14ac:dyDescent="0.3">
      <c r="O113"/>
      <c r="P113"/>
      <c r="Q113"/>
    </row>
    <row r="114" spans="4:17" x14ac:dyDescent="0.3">
      <c r="O114"/>
      <c r="P114"/>
      <c r="Q114"/>
    </row>
    <row r="115" spans="4:17" x14ac:dyDescent="0.3">
      <c r="O115"/>
      <c r="P115"/>
      <c r="Q115"/>
    </row>
    <row r="116" spans="4:17" x14ac:dyDescent="0.3">
      <c r="O116"/>
      <c r="P116"/>
      <c r="Q116"/>
    </row>
    <row r="117" spans="4:17" x14ac:dyDescent="0.3">
      <c r="D117"/>
      <c r="E117"/>
      <c r="F117"/>
      <c r="G117"/>
      <c r="O117"/>
      <c r="P117"/>
      <c r="Q117"/>
    </row>
    <row r="118" spans="4:17" x14ac:dyDescent="0.3">
      <c r="D118"/>
      <c r="E118"/>
      <c r="F118"/>
      <c r="G118"/>
      <c r="O118"/>
      <c r="P118"/>
      <c r="Q118"/>
    </row>
    <row r="119" spans="4:17" x14ac:dyDescent="0.3">
      <c r="D119"/>
      <c r="E119"/>
      <c r="F119"/>
      <c r="G119"/>
      <c r="O119"/>
      <c r="P119"/>
      <c r="Q119"/>
    </row>
    <row r="120" spans="4:17" x14ac:dyDescent="0.3">
      <c r="P120"/>
      <c r="Q120"/>
    </row>
    <row r="121" spans="4:17" x14ac:dyDescent="0.3">
      <c r="D121" s="3" t="s">
        <v>2</v>
      </c>
      <c r="E121" t="s">
        <v>88</v>
      </c>
      <c r="P121"/>
      <c r="Q121"/>
    </row>
    <row r="122" spans="4:17" x14ac:dyDescent="0.3">
      <c r="D122" s="3" t="s">
        <v>75</v>
      </c>
      <c r="E122" t="s">
        <v>88</v>
      </c>
      <c r="P122"/>
      <c r="Q122"/>
    </row>
    <row r="123" spans="4:17" x14ac:dyDescent="0.3">
      <c r="D123" s="3" t="s">
        <v>79</v>
      </c>
      <c r="E123" t="s">
        <v>88</v>
      </c>
      <c r="P123"/>
      <c r="Q123"/>
    </row>
    <row r="124" spans="4:17" x14ac:dyDescent="0.3">
      <c r="P124"/>
      <c r="Q124"/>
    </row>
    <row r="125" spans="4:17" x14ac:dyDescent="0.3">
      <c r="D125" s="3" t="s">
        <v>6</v>
      </c>
      <c r="E125" t="s">
        <v>89</v>
      </c>
      <c r="F125" t="s">
        <v>90</v>
      </c>
      <c r="G125" t="s">
        <v>91</v>
      </c>
      <c r="I125" s="3" t="s">
        <v>6</v>
      </c>
      <c r="J125" t="s">
        <v>90</v>
      </c>
      <c r="K125" t="s">
        <v>91</v>
      </c>
      <c r="P125"/>
      <c r="Q125"/>
    </row>
    <row r="126" spans="4:17" x14ac:dyDescent="0.3">
      <c r="D126" s="16" t="s">
        <v>184</v>
      </c>
      <c r="E126" s="128"/>
      <c r="F126" s="33">
        <v>4247868.5076810541</v>
      </c>
      <c r="G126" s="128">
        <v>43223034.582516462</v>
      </c>
      <c r="I126" s="27">
        <v>45947</v>
      </c>
      <c r="J126" s="48">
        <v>4247868.5076810541</v>
      </c>
      <c r="K126" s="14">
        <v>43223034.582516462</v>
      </c>
      <c r="P126"/>
      <c r="Q126"/>
    </row>
    <row r="127" spans="4:17" x14ac:dyDescent="0.3">
      <c r="D127" s="16">
        <v>985</v>
      </c>
      <c r="E127" s="128">
        <v>3532</v>
      </c>
      <c r="F127" s="33">
        <v>3229.7000731528897</v>
      </c>
      <c r="G127" s="128">
        <v>38756.400877834676</v>
      </c>
      <c r="I127" s="27">
        <v>45948</v>
      </c>
      <c r="J127" s="48">
        <v>52326.261887344546</v>
      </c>
      <c r="K127" s="14">
        <v>659882.95537673729</v>
      </c>
      <c r="P127"/>
      <c r="Q127"/>
    </row>
    <row r="128" spans="4:17" x14ac:dyDescent="0.3">
      <c r="D128" s="16">
        <v>986</v>
      </c>
      <c r="E128" s="128">
        <v>4356</v>
      </c>
      <c r="F128" s="33">
        <v>3983.1748354059987</v>
      </c>
      <c r="G128" s="128">
        <v>47798.098024871986</v>
      </c>
      <c r="I128" s="27">
        <v>45950</v>
      </c>
      <c r="J128" s="48">
        <v>47101.316752011713</v>
      </c>
      <c r="K128" s="14">
        <v>572781.63862472575</v>
      </c>
      <c r="P128"/>
      <c r="Q128"/>
    </row>
    <row r="129" spans="4:17" x14ac:dyDescent="0.3">
      <c r="D129" s="16">
        <v>987</v>
      </c>
      <c r="E129" s="128">
        <v>7867</v>
      </c>
      <c r="F129" s="33">
        <v>7193.6722750548652</v>
      </c>
      <c r="G129" s="128">
        <v>86324.067300658382</v>
      </c>
      <c r="I129" s="27">
        <v>45951</v>
      </c>
      <c r="J129" s="48">
        <v>77286.027798098046</v>
      </c>
      <c r="K129" s="14">
        <v>857900.51207022695</v>
      </c>
      <c r="P129"/>
      <c r="Q129"/>
    </row>
    <row r="130" spans="4:17" x14ac:dyDescent="0.3">
      <c r="D130" s="16">
        <v>988</v>
      </c>
      <c r="E130" s="128">
        <v>3112</v>
      </c>
      <c r="F130" s="33">
        <v>2845.6474030724216</v>
      </c>
      <c r="G130" s="128">
        <v>34147.768836869058</v>
      </c>
      <c r="I130" s="27">
        <v>45952</v>
      </c>
      <c r="J130" s="48">
        <v>77123.262618873443</v>
      </c>
      <c r="K130" s="14">
        <v>775791.88002926123</v>
      </c>
      <c r="P130"/>
      <c r="Q130"/>
    </row>
    <row r="131" spans="4:17" x14ac:dyDescent="0.3">
      <c r="D131" s="16">
        <v>989</v>
      </c>
      <c r="E131" s="128">
        <v>34960</v>
      </c>
      <c r="F131" s="33">
        <v>31967.812728602781</v>
      </c>
      <c r="G131" s="128">
        <v>415581.56547183613</v>
      </c>
      <c r="I131" s="27">
        <v>45953</v>
      </c>
      <c r="J131" s="48">
        <v>41251.82882223848</v>
      </c>
      <c r="K131" s="14">
        <v>412518.28822238487</v>
      </c>
      <c r="O131"/>
      <c r="P131"/>
      <c r="Q131"/>
    </row>
    <row r="132" spans="4:17" x14ac:dyDescent="0.3">
      <c r="D132" s="16">
        <v>990</v>
      </c>
      <c r="E132" s="128">
        <v>3397</v>
      </c>
      <c r="F132" s="33">
        <v>3106.2545720555963</v>
      </c>
      <c r="G132" s="128">
        <v>37275.054864667152</v>
      </c>
      <c r="I132" s="27">
        <v>45954</v>
      </c>
      <c r="J132" s="48">
        <v>44754.937820043895</v>
      </c>
      <c r="K132" s="14">
        <v>447549.37820043892</v>
      </c>
      <c r="L132"/>
      <c r="M132"/>
      <c r="N132"/>
    </row>
    <row r="133" spans="4:17" x14ac:dyDescent="0.3">
      <c r="D133" s="16">
        <v>991</v>
      </c>
      <c r="E133" s="128">
        <v>20118</v>
      </c>
      <c r="F133" s="33">
        <v>18396.122896854427</v>
      </c>
      <c r="G133" s="128">
        <v>220753.47476225311</v>
      </c>
      <c r="I133" s="27">
        <v>45955</v>
      </c>
      <c r="J133" s="48">
        <v>46776.700804681794</v>
      </c>
      <c r="K133" s="14">
        <v>467767.00804681785</v>
      </c>
    </row>
    <row r="134" spans="4:17" x14ac:dyDescent="0.3">
      <c r="D134" s="16">
        <v>992</v>
      </c>
      <c r="E134" s="128">
        <v>21555</v>
      </c>
      <c r="F134" s="33">
        <v>19710.131675201173</v>
      </c>
      <c r="G134" s="128">
        <v>236521.58010241407</v>
      </c>
      <c r="I134" s="27">
        <v>45956</v>
      </c>
      <c r="J134" s="48">
        <v>41702.633504023404</v>
      </c>
      <c r="K134" s="14">
        <v>419322.42136064376</v>
      </c>
    </row>
    <row r="135" spans="4:17" x14ac:dyDescent="0.3">
      <c r="D135" s="16">
        <v>993</v>
      </c>
      <c r="E135" s="128">
        <v>1563</v>
      </c>
      <c r="F135" s="33">
        <v>1429.2245793708853</v>
      </c>
      <c r="G135" s="128">
        <v>17150.694952450624</v>
      </c>
      <c r="I135" s="27">
        <v>45957</v>
      </c>
      <c r="J135" s="48">
        <v>40687.637161667888</v>
      </c>
      <c r="K135" s="14">
        <v>435897.95171909296</v>
      </c>
    </row>
    <row r="136" spans="4:17" x14ac:dyDescent="0.3">
      <c r="D136" s="16">
        <v>994</v>
      </c>
      <c r="E136" s="128">
        <v>8274</v>
      </c>
      <c r="F136" s="33">
        <v>7565.8376005852242</v>
      </c>
      <c r="G136" s="128">
        <v>98355.888807607917</v>
      </c>
      <c r="I136" s="27">
        <v>45958</v>
      </c>
      <c r="J136" s="48">
        <v>92018.105340160953</v>
      </c>
      <c r="K136" s="14">
        <v>981031.45574250189</v>
      </c>
    </row>
    <row r="137" spans="4:17" x14ac:dyDescent="0.3">
      <c r="D137" s="16">
        <v>995</v>
      </c>
      <c r="E137" s="128">
        <v>19667</v>
      </c>
      <c r="F137" s="33">
        <v>17983.723482077545</v>
      </c>
      <c r="G137" s="128">
        <v>215804.68178493052</v>
      </c>
      <c r="I137" s="27">
        <v>45959</v>
      </c>
      <c r="J137" s="48">
        <v>40899.780541331384</v>
      </c>
      <c r="K137" s="14">
        <v>408997.80541331385</v>
      </c>
    </row>
    <row r="138" spans="4:17" x14ac:dyDescent="0.3">
      <c r="D138" s="16">
        <v>996</v>
      </c>
      <c r="E138" s="128">
        <v>17569</v>
      </c>
      <c r="F138" s="33">
        <v>16065.288953913681</v>
      </c>
      <c r="G138" s="128">
        <v>192783.46744696418</v>
      </c>
      <c r="I138" s="27">
        <v>45960</v>
      </c>
      <c r="J138" s="48"/>
      <c r="K138" s="14"/>
    </row>
    <row r="139" spans="4:17" x14ac:dyDescent="0.3">
      <c r="D139" s="16">
        <v>997</v>
      </c>
      <c r="E139" s="128">
        <v>9264</v>
      </c>
      <c r="F139" s="33">
        <v>8471.1046086320421</v>
      </c>
      <c r="G139" s="128">
        <v>101653.2553035845</v>
      </c>
      <c r="I139" s="27" t="s">
        <v>28</v>
      </c>
      <c r="J139" s="48">
        <v>4849797.0007315306</v>
      </c>
      <c r="K139" s="14">
        <v>49662475.877322607</v>
      </c>
    </row>
    <row r="140" spans="4:17" x14ac:dyDescent="0.3">
      <c r="D140" s="16">
        <v>998</v>
      </c>
      <c r="E140" s="128">
        <v>38020</v>
      </c>
      <c r="F140" s="33">
        <v>34765.910753474767</v>
      </c>
      <c r="G140" s="128">
        <v>347659.10753474769</v>
      </c>
      <c r="I140"/>
      <c r="J140"/>
      <c r="K140"/>
    </row>
    <row r="141" spans="4:17" x14ac:dyDescent="0.3">
      <c r="D141" s="16">
        <v>999</v>
      </c>
      <c r="E141" s="128">
        <v>37349</v>
      </c>
      <c r="F141" s="33">
        <v>34152.340892465254</v>
      </c>
      <c r="G141" s="128">
        <v>341523.40892465255</v>
      </c>
      <c r="I141"/>
      <c r="J141"/>
      <c r="K141"/>
    </row>
    <row r="142" spans="4:17" x14ac:dyDescent="0.3">
      <c r="D142" s="16">
        <v>1000</v>
      </c>
      <c r="E142" s="128">
        <v>1662</v>
      </c>
      <c r="F142" s="33">
        <v>1519.751280175567</v>
      </c>
      <c r="G142" s="128">
        <v>19756.766642282371</v>
      </c>
      <c r="I142"/>
      <c r="J142"/>
      <c r="K142"/>
    </row>
    <row r="143" spans="4:17" x14ac:dyDescent="0.3">
      <c r="D143" s="16">
        <v>1001</v>
      </c>
      <c r="E143" s="128">
        <v>45331</v>
      </c>
      <c r="F143" s="33">
        <v>41451.170446232631</v>
      </c>
      <c r="G143" s="128">
        <v>414511.70446232631</v>
      </c>
      <c r="I143"/>
      <c r="J143"/>
      <c r="K143"/>
    </row>
    <row r="144" spans="4:17" x14ac:dyDescent="0.3">
      <c r="D144" s="16">
        <v>1002</v>
      </c>
      <c r="E144" s="128">
        <v>10153</v>
      </c>
      <c r="F144" s="33">
        <v>9284.0160936356988</v>
      </c>
      <c r="G144" s="128">
        <v>92840.160936356988</v>
      </c>
      <c r="I144"/>
      <c r="J144"/>
      <c r="K144"/>
    </row>
    <row r="145" spans="4:11" x14ac:dyDescent="0.3">
      <c r="D145" s="16">
        <v>1003</v>
      </c>
      <c r="E145" s="128">
        <v>31733</v>
      </c>
      <c r="F145" s="33">
        <v>29017.008046817853</v>
      </c>
      <c r="G145" s="128">
        <v>290170.08046817855</v>
      </c>
      <c r="I145"/>
      <c r="J145"/>
      <c r="K145"/>
    </row>
    <row r="146" spans="4:11" x14ac:dyDescent="0.3">
      <c r="D146" s="16">
        <v>1004</v>
      </c>
      <c r="E146" s="128">
        <v>3227</v>
      </c>
      <c r="F146" s="33">
        <v>2950.8046817849308</v>
      </c>
      <c r="G146" s="128">
        <v>29508.04681784931</v>
      </c>
      <c r="I146"/>
      <c r="J146"/>
      <c r="K146"/>
    </row>
    <row r="147" spans="4:11" x14ac:dyDescent="0.3">
      <c r="D147" s="16">
        <v>1005</v>
      </c>
      <c r="E147" s="128">
        <v>7126</v>
      </c>
      <c r="F147" s="33">
        <v>6516.0936356986103</v>
      </c>
      <c r="G147" s="128">
        <v>65160.936356986102</v>
      </c>
      <c r="I147"/>
      <c r="J147"/>
      <c r="K147"/>
    </row>
    <row r="148" spans="4:11" x14ac:dyDescent="0.3">
      <c r="D148" s="16">
        <v>1006</v>
      </c>
      <c r="E148" s="128">
        <v>2200</v>
      </c>
      <c r="F148" s="33">
        <v>2011.704462326262</v>
      </c>
      <c r="G148" s="128">
        <v>20117.04462326262</v>
      </c>
      <c r="I148"/>
      <c r="J148"/>
      <c r="K148"/>
    </row>
    <row r="149" spans="4:11" x14ac:dyDescent="0.3">
      <c r="D149" s="16">
        <v>1007</v>
      </c>
      <c r="E149" s="128">
        <v>2372</v>
      </c>
      <c r="F149" s="33">
        <v>2168.9831748354063</v>
      </c>
      <c r="G149" s="128">
        <v>21689.831748354063</v>
      </c>
      <c r="I149"/>
      <c r="J149"/>
      <c r="K149"/>
    </row>
    <row r="150" spans="4:11" x14ac:dyDescent="0.3">
      <c r="D150" s="16">
        <v>1008</v>
      </c>
      <c r="E150" s="128">
        <v>10156</v>
      </c>
      <c r="F150" s="33">
        <v>9286.7593269934168</v>
      </c>
      <c r="G150" s="128">
        <v>92867.593269934165</v>
      </c>
      <c r="I150"/>
      <c r="J150"/>
      <c r="K150"/>
    </row>
    <row r="151" spans="4:11" x14ac:dyDescent="0.3">
      <c r="D151" s="16">
        <v>1009</v>
      </c>
      <c r="E151" s="128">
        <v>27090</v>
      </c>
      <c r="F151" s="33">
        <v>24771.3972201902</v>
      </c>
      <c r="G151" s="128">
        <v>247713.97220190201</v>
      </c>
      <c r="I151"/>
      <c r="J151"/>
      <c r="K151"/>
    </row>
    <row r="152" spans="4:11" x14ac:dyDescent="0.3">
      <c r="D152" s="16">
        <v>1010</v>
      </c>
      <c r="E152" s="128">
        <v>10885</v>
      </c>
      <c r="F152" s="33">
        <v>9953.3650329188004</v>
      </c>
      <c r="G152" s="128">
        <v>99533.650329188007</v>
      </c>
    </row>
    <row r="153" spans="4:11" x14ac:dyDescent="0.3">
      <c r="D153" s="16">
        <v>1011</v>
      </c>
      <c r="E153" s="128">
        <v>15623</v>
      </c>
      <c r="F153" s="33">
        <v>14285.844915874179</v>
      </c>
      <c r="G153" s="128">
        <v>142858.4491587418</v>
      </c>
    </row>
    <row r="154" spans="4:11" x14ac:dyDescent="0.3">
      <c r="D154" s="16">
        <v>1012</v>
      </c>
      <c r="E154" s="128">
        <v>15938</v>
      </c>
      <c r="F154" s="33">
        <v>14573.884418434529</v>
      </c>
      <c r="G154" s="128">
        <v>145738.84418434527</v>
      </c>
    </row>
    <row r="155" spans="4:11" x14ac:dyDescent="0.3">
      <c r="D155" s="16">
        <v>1013</v>
      </c>
      <c r="E155" s="128">
        <v>3756</v>
      </c>
      <c r="F155" s="33">
        <v>3434.5281638624729</v>
      </c>
      <c r="G155" s="128">
        <v>34345.281638624729</v>
      </c>
    </row>
    <row r="156" spans="4:11" x14ac:dyDescent="0.3">
      <c r="D156" s="16">
        <v>1014</v>
      </c>
      <c r="E156" s="128">
        <v>4953</v>
      </c>
      <c r="F156" s="33">
        <v>4529.0782735918074</v>
      </c>
      <c r="G156" s="128">
        <v>45290.782735918074</v>
      </c>
    </row>
    <row r="157" spans="4:11" x14ac:dyDescent="0.3">
      <c r="D157" s="16">
        <v>1015</v>
      </c>
      <c r="E157" s="128">
        <v>39419</v>
      </c>
      <c r="F157" s="33">
        <v>36045.171909290417</v>
      </c>
      <c r="G157" s="128">
        <v>360451.71909290418</v>
      </c>
    </row>
    <row r="158" spans="4:11" x14ac:dyDescent="0.3">
      <c r="D158" s="16">
        <v>1016</v>
      </c>
      <c r="E158" s="128">
        <v>837</v>
      </c>
      <c r="F158" s="33">
        <v>765.36210680321881</v>
      </c>
      <c r="G158" s="128">
        <v>9949.7073884418442</v>
      </c>
    </row>
    <row r="159" spans="4:11" x14ac:dyDescent="0.3">
      <c r="D159" s="16">
        <v>1017</v>
      </c>
      <c r="E159" s="128">
        <v>5350</v>
      </c>
      <c r="F159" s="33">
        <v>4892.0994879297732</v>
      </c>
      <c r="G159" s="128">
        <v>48920.99487929773</v>
      </c>
    </row>
    <row r="160" spans="4:11" x14ac:dyDescent="0.3">
      <c r="D160" s="16">
        <v>1018</v>
      </c>
      <c r="E160" s="128">
        <v>3248</v>
      </c>
      <c r="F160" s="33">
        <v>2970.007315288954</v>
      </c>
      <c r="G160" s="128">
        <v>44550.109729334312</v>
      </c>
    </row>
    <row r="161" spans="4:7" x14ac:dyDescent="0.3">
      <c r="D161" s="16">
        <v>1019</v>
      </c>
      <c r="E161" s="128">
        <v>5166</v>
      </c>
      <c r="F161" s="33">
        <v>4723.8478419897592</v>
      </c>
      <c r="G161" s="128">
        <v>61410.021945866873</v>
      </c>
    </row>
    <row r="162" spans="4:7" x14ac:dyDescent="0.3">
      <c r="D162" s="16">
        <v>1020</v>
      </c>
      <c r="E162" s="128">
        <v>36082</v>
      </c>
      <c r="F162" s="33">
        <v>32993.782004389177</v>
      </c>
      <c r="G162" s="128">
        <v>329937.82004389178</v>
      </c>
    </row>
    <row r="163" spans="4:7" x14ac:dyDescent="0.3">
      <c r="D163" s="16">
        <v>1021</v>
      </c>
      <c r="E163" s="128">
        <v>4382</v>
      </c>
      <c r="F163" s="33">
        <v>4006.9495245062185</v>
      </c>
      <c r="G163" s="128">
        <v>40069.495245062186</v>
      </c>
    </row>
    <row r="164" spans="4:7" x14ac:dyDescent="0.3">
      <c r="D164" s="16">
        <v>1022</v>
      </c>
      <c r="E164" s="128">
        <v>45820</v>
      </c>
      <c r="F164" s="33">
        <v>41898.317483540603</v>
      </c>
      <c r="G164" s="128">
        <v>418983.17483540601</v>
      </c>
    </row>
    <row r="165" spans="4:7" x14ac:dyDescent="0.3">
      <c r="D165" s="16">
        <v>1023</v>
      </c>
      <c r="E165" s="128">
        <v>3697</v>
      </c>
      <c r="F165" s="33">
        <v>3380.5779078273595</v>
      </c>
      <c r="G165" s="128">
        <v>94656.181419166067</v>
      </c>
    </row>
    <row r="166" spans="4:7" x14ac:dyDescent="0.3">
      <c r="D166" s="16">
        <v>1024</v>
      </c>
      <c r="E166" s="128">
        <v>46732</v>
      </c>
      <c r="F166" s="33">
        <v>42732.26042428676</v>
      </c>
      <c r="G166" s="128">
        <v>427322.60424286762</v>
      </c>
    </row>
    <row r="167" spans="4:7" x14ac:dyDescent="0.3">
      <c r="D167" s="16">
        <v>1025</v>
      </c>
      <c r="E167" s="128">
        <v>3950</v>
      </c>
      <c r="F167" s="33">
        <v>3611.9239209948796</v>
      </c>
      <c r="G167" s="128">
        <v>36119.239209948799</v>
      </c>
    </row>
    <row r="168" spans="4:7" x14ac:dyDescent="0.3">
      <c r="D168" s="16">
        <v>1026</v>
      </c>
      <c r="E168" s="128">
        <v>23587</v>
      </c>
      <c r="F168" s="33">
        <v>21568.215069495247</v>
      </c>
      <c r="G168" s="128">
        <v>215682.15069495246</v>
      </c>
    </row>
    <row r="169" spans="4:7" x14ac:dyDescent="0.3">
      <c r="D169" s="16">
        <v>1027</v>
      </c>
      <c r="E169" s="128">
        <v>17191</v>
      </c>
      <c r="F169" s="33">
        <v>15719.641550841259</v>
      </c>
      <c r="G169" s="128">
        <v>157196.41550841258</v>
      </c>
    </row>
    <row r="170" spans="4:7" x14ac:dyDescent="0.3">
      <c r="D170" s="16">
        <v>1028</v>
      </c>
      <c r="E170" s="128">
        <v>36674</v>
      </c>
      <c r="F170" s="33"/>
      <c r="G170" s="128"/>
    </row>
    <row r="171" spans="4:7" x14ac:dyDescent="0.3">
      <c r="D171" s="16">
        <v>1029</v>
      </c>
      <c r="E171" s="128">
        <v>1098</v>
      </c>
      <c r="F171" s="33"/>
      <c r="G171" s="128"/>
    </row>
    <row r="172" spans="4:7" x14ac:dyDescent="0.3">
      <c r="D172" s="16">
        <v>1030</v>
      </c>
      <c r="E172" s="128">
        <v>5540</v>
      </c>
      <c r="F172" s="33"/>
      <c r="G172" s="128"/>
    </row>
    <row r="173" spans="4:7" x14ac:dyDescent="0.3">
      <c r="D173" s="16" t="s">
        <v>106</v>
      </c>
      <c r="E173" s="128"/>
      <c r="F173" s="33"/>
      <c r="G173" s="128"/>
    </row>
    <row r="174" spans="4:7" x14ac:dyDescent="0.3">
      <c r="D174" s="16" t="s">
        <v>28</v>
      </c>
      <c r="E174" s="128">
        <v>701581</v>
      </c>
      <c r="F174" s="33">
        <v>4849797.0007315287</v>
      </c>
      <c r="G174" s="128">
        <v>49662475.877322592</v>
      </c>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row r="229" spans="4:7" x14ac:dyDescent="0.3">
      <c r="D229"/>
      <c r="E229"/>
      <c r="F229"/>
      <c r="G229"/>
    </row>
    <row r="230" spans="4:7" x14ac:dyDescent="0.3">
      <c r="D230"/>
      <c r="E230"/>
      <c r="F230"/>
      <c r="G230"/>
    </row>
    <row r="231" spans="4:7" x14ac:dyDescent="0.3">
      <c r="D231"/>
      <c r="E231"/>
      <c r="F231"/>
      <c r="G231"/>
    </row>
    <row r="232" spans="4:7" x14ac:dyDescent="0.3">
      <c r="D232"/>
      <c r="E232"/>
      <c r="F232"/>
      <c r="G232"/>
    </row>
    <row r="233" spans="4:7" x14ac:dyDescent="0.3">
      <c r="D233"/>
      <c r="E233"/>
      <c r="F233"/>
      <c r="G233"/>
    </row>
    <row r="234" spans="4:7" x14ac:dyDescent="0.3">
      <c r="D234"/>
      <c r="E234"/>
      <c r="F234"/>
      <c r="G234"/>
    </row>
    <row r="235" spans="4:7" x14ac:dyDescent="0.3">
      <c r="D235"/>
      <c r="E235"/>
      <c r="F235"/>
      <c r="G235"/>
    </row>
    <row r="236" spans="4:7" x14ac:dyDescent="0.3">
      <c r="D236"/>
      <c r="E236"/>
      <c r="F236"/>
      <c r="G236"/>
    </row>
    <row r="237" spans="4:7" x14ac:dyDescent="0.3">
      <c r="D237"/>
      <c r="E237"/>
      <c r="F237"/>
      <c r="G237"/>
    </row>
    <row r="238" spans="4:7" x14ac:dyDescent="0.3">
      <c r="D238"/>
      <c r="E238"/>
      <c r="F238"/>
      <c r="G238"/>
    </row>
    <row r="239" spans="4:7" x14ac:dyDescent="0.3">
      <c r="D239"/>
      <c r="E239"/>
      <c r="F239"/>
      <c r="G239"/>
    </row>
    <row r="240" spans="4:7" x14ac:dyDescent="0.3">
      <c r="D240"/>
      <c r="E240"/>
      <c r="F240"/>
      <c r="G240"/>
    </row>
    <row r="241" spans="4:7" x14ac:dyDescent="0.3">
      <c r="D241"/>
      <c r="E241"/>
      <c r="F241"/>
      <c r="G241"/>
    </row>
    <row r="242" spans="4:7" x14ac:dyDescent="0.3">
      <c r="D242"/>
      <c r="E242"/>
      <c r="F242"/>
      <c r="G242"/>
    </row>
    <row r="243" spans="4:7" x14ac:dyDescent="0.3">
      <c r="D243"/>
      <c r="E243"/>
      <c r="F243"/>
      <c r="G243"/>
    </row>
    <row r="244" spans="4:7" x14ac:dyDescent="0.3">
      <c r="D244"/>
      <c r="E244"/>
      <c r="F244"/>
      <c r="G244"/>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abSelected="1" topLeftCell="A28" zoomScale="122" zoomScaleNormal="165" workbookViewId="0">
      <selection activeCell="G35" sqref="G35"/>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2" width="20"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4286390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v>45956</v>
      </c>
      <c r="B26" t="s">
        <v>97</v>
      </c>
      <c r="C26" t="s">
        <v>291</v>
      </c>
      <c r="D26" s="11">
        <v>333</v>
      </c>
      <c r="E26" s="11">
        <v>810</v>
      </c>
      <c r="F26" s="11">
        <v>53700</v>
      </c>
      <c r="G26" s="11">
        <f t="shared" ref="G26:G30" si="6">D26*E26</f>
        <v>269730</v>
      </c>
      <c r="H26" s="11"/>
      <c r="I26" s="11">
        <f>(D26*E26)-Table3[[#This Row],[Paid]]</f>
        <v>269730</v>
      </c>
      <c r="L26" s="47" t="s">
        <v>280</v>
      </c>
      <c r="M26" s="14">
        <v>311</v>
      </c>
      <c r="N26" s="14">
        <v>251910</v>
      </c>
      <c r="O26" s="14">
        <v>252060</v>
      </c>
      <c r="P26" s="14">
        <v>-150</v>
      </c>
    </row>
    <row r="27" spans="1:16" x14ac:dyDescent="0.3">
      <c r="A27" s="1">
        <v>45956</v>
      </c>
      <c r="B27" t="s">
        <v>97</v>
      </c>
      <c r="C27" t="s">
        <v>189</v>
      </c>
      <c r="D27" s="11">
        <v>439</v>
      </c>
      <c r="E27" s="11">
        <v>810</v>
      </c>
      <c r="F27" s="11">
        <v>76850</v>
      </c>
      <c r="G27" s="11">
        <f t="shared" si="6"/>
        <v>355590</v>
      </c>
      <c r="H27" s="11">
        <f>SUMIFS(Table14[Debit], Table14[Date], Table3[[#This Row],[Date]], Table14[Party], Table3[[#This Row],[Party Name]])</f>
        <v>130550</v>
      </c>
      <c r="I27" s="11">
        <f>(D27*E27)-Table3[[#This Row],[Paid]]</f>
        <v>225040</v>
      </c>
      <c r="L27" s="27">
        <v>45955</v>
      </c>
      <c r="M27" s="14">
        <v>683</v>
      </c>
      <c r="N27" s="14">
        <v>553230</v>
      </c>
      <c r="O27" s="14">
        <v>426921</v>
      </c>
      <c r="P27" s="14">
        <v>126309</v>
      </c>
    </row>
    <row r="28" spans="1:16" x14ac:dyDescent="0.3">
      <c r="A28" s="1">
        <v>45957</v>
      </c>
      <c r="B28" t="s">
        <v>97</v>
      </c>
      <c r="C28" t="s">
        <v>300</v>
      </c>
      <c r="D28" s="11">
        <v>277</v>
      </c>
      <c r="E28" s="11">
        <v>810</v>
      </c>
      <c r="F28" s="11">
        <v>45335</v>
      </c>
      <c r="G28" s="11">
        <f t="shared" si="6"/>
        <v>224370</v>
      </c>
      <c r="H28" s="11">
        <f>SUMIFS(Table14[Debit], Table14[Date], Table3[[#This Row],[Date]], Table14[Party], Table3[[#This Row],[Party Name]])</f>
        <v>45335</v>
      </c>
      <c r="I28" s="11">
        <f>(D28*E28)-Table3[[#This Row],[Paid]]</f>
        <v>179035</v>
      </c>
      <c r="L28" s="47" t="s">
        <v>106</v>
      </c>
      <c r="M28" s="14"/>
      <c r="N28" s="14">
        <v>0</v>
      </c>
      <c r="O28" s="14">
        <v>100000</v>
      </c>
      <c r="P28" s="14">
        <v>-100000</v>
      </c>
    </row>
    <row r="29" spans="1:16" x14ac:dyDescent="0.3">
      <c r="A29" s="1">
        <v>45958</v>
      </c>
      <c r="B29" t="s">
        <v>97</v>
      </c>
      <c r="C29" t="s">
        <v>219</v>
      </c>
      <c r="D29" s="11">
        <v>307</v>
      </c>
      <c r="E29" s="11">
        <v>810</v>
      </c>
      <c r="F29" s="11">
        <v>49850</v>
      </c>
      <c r="G29" s="11">
        <f t="shared" si="6"/>
        <v>248670</v>
      </c>
      <c r="H29" s="11">
        <f>SUMIFS(Table14[Debit], Table14[Date], Table3[[#This Row],[Date]], Table14[Party], Table3[[#This Row],[Party Name]])</f>
        <v>399850</v>
      </c>
      <c r="I29" s="11">
        <f>(D29*E29)-Table3[[#This Row],[Paid]]</f>
        <v>-151180</v>
      </c>
      <c r="K29" s="14"/>
      <c r="L29" s="47" t="s">
        <v>289</v>
      </c>
      <c r="M29" s="14">
        <v>266</v>
      </c>
      <c r="N29" s="14">
        <v>215460</v>
      </c>
      <c r="O29" s="14"/>
      <c r="P29" s="14">
        <v>215460</v>
      </c>
    </row>
    <row r="30" spans="1:16" x14ac:dyDescent="0.3">
      <c r="A30" s="1">
        <v>45959</v>
      </c>
      <c r="B30" t="s">
        <v>97</v>
      </c>
      <c r="C30" t="s">
        <v>329</v>
      </c>
      <c r="D30" s="11">
        <v>301</v>
      </c>
      <c r="E30" s="11">
        <v>810</v>
      </c>
      <c r="F30" s="11">
        <v>48850</v>
      </c>
      <c r="G30" s="11">
        <f t="shared" si="6"/>
        <v>243810</v>
      </c>
      <c r="H30" s="11"/>
      <c r="I30" s="11">
        <f>(D30*E30)-Table3[[#This Row],[Paid]]</f>
        <v>243810</v>
      </c>
      <c r="L30" s="47" t="s">
        <v>284</v>
      </c>
      <c r="M30" s="14">
        <v>417</v>
      </c>
      <c r="N30" s="14">
        <v>337770</v>
      </c>
      <c r="O30" s="14">
        <v>326921</v>
      </c>
      <c r="P30" s="14">
        <v>10849</v>
      </c>
    </row>
    <row r="31" spans="1:16" x14ac:dyDescent="0.3">
      <c r="A31" s="1">
        <v>45959</v>
      </c>
      <c r="B31" t="s">
        <v>97</v>
      </c>
      <c r="C31" t="s">
        <v>320</v>
      </c>
      <c r="D31" s="11">
        <v>137</v>
      </c>
      <c r="E31" s="11">
        <v>810</v>
      </c>
      <c r="F31" s="11">
        <v>35000</v>
      </c>
      <c r="G31" s="11">
        <f>D31*E31</f>
        <v>110970</v>
      </c>
      <c r="H31" s="11">
        <f>SUMIFS(Table14[Debit], Table14[Date], Table3[[#This Row],[Date]], Table14[Party], Table3[[#This Row],[Party Name]])</f>
        <v>83850</v>
      </c>
      <c r="I31" s="11">
        <f>(D31*E31)-Table3[[#This Row],[Paid]]</f>
        <v>27120</v>
      </c>
      <c r="L31" s="27">
        <v>45956</v>
      </c>
      <c r="M31" s="14">
        <v>772</v>
      </c>
      <c r="N31" s="14">
        <v>625320</v>
      </c>
      <c r="O31" s="14">
        <v>130550</v>
      </c>
      <c r="P31" s="14">
        <v>494770</v>
      </c>
    </row>
    <row r="32" spans="1:16" x14ac:dyDescent="0.3">
      <c r="A32" s="1">
        <v>45960</v>
      </c>
      <c r="B32" t="s">
        <v>97</v>
      </c>
      <c r="D32" s="11"/>
      <c r="E32" s="11"/>
      <c r="F32" s="11"/>
      <c r="G32" s="11">
        <f>D32*E32</f>
        <v>0</v>
      </c>
      <c r="H32" s="11">
        <f>SUMIFS(Table14[Debit], Table14[Date], Table3[[#This Row],[Date]], Table14[Party], Table3[[#This Row],[Party Name]])</f>
        <v>300000</v>
      </c>
      <c r="I32" s="11">
        <f>(D32*E32)-Table3[[#This Row],[Paid]]</f>
        <v>-300000</v>
      </c>
      <c r="L32" s="47" t="s">
        <v>189</v>
      </c>
      <c r="M32" s="14">
        <v>439</v>
      </c>
      <c r="N32" s="14">
        <v>355590</v>
      </c>
      <c r="O32" s="14">
        <v>130550</v>
      </c>
      <c r="P32" s="14">
        <v>225040</v>
      </c>
    </row>
    <row r="33" spans="1:16" x14ac:dyDescent="0.3">
      <c r="A33" s="1"/>
      <c r="D33" s="14"/>
      <c r="E33" s="14"/>
      <c r="F33" s="14"/>
      <c r="G33" s="14">
        <f>SUBTOTAL(109,Table3[Total])</f>
        <v>4286390</v>
      </c>
      <c r="H33" s="14">
        <f>SUBTOTAL(109,Table3[Paid])</f>
        <v>3482566</v>
      </c>
      <c r="I33" s="14">
        <f>SUBTOTAL(109,Table3[balance])</f>
        <v>3320125</v>
      </c>
      <c r="L33" s="47" t="s">
        <v>291</v>
      </c>
      <c r="M33" s="14">
        <v>333</v>
      </c>
      <c r="N33" s="14">
        <v>269730</v>
      </c>
      <c r="O33" s="14"/>
      <c r="P33" s="14">
        <v>269730</v>
      </c>
    </row>
    <row r="34" spans="1:16" x14ac:dyDescent="0.3">
      <c r="L34" s="27">
        <v>45957</v>
      </c>
      <c r="M34" s="14">
        <v>277</v>
      </c>
      <c r="N34" s="14">
        <v>224370</v>
      </c>
      <c r="O34" s="14">
        <v>45335</v>
      </c>
      <c r="P34" s="14">
        <v>179035</v>
      </c>
    </row>
    <row r="35" spans="1:16" x14ac:dyDescent="0.3">
      <c r="L35" s="47" t="s">
        <v>300</v>
      </c>
      <c r="M35" s="14">
        <v>277</v>
      </c>
      <c r="N35" s="14">
        <v>224370</v>
      </c>
      <c r="O35" s="14">
        <v>45335</v>
      </c>
      <c r="P35" s="14">
        <v>179035</v>
      </c>
    </row>
    <row r="36" spans="1:16" x14ac:dyDescent="0.3">
      <c r="L36" s="27">
        <v>45958</v>
      </c>
      <c r="M36" s="14">
        <v>307</v>
      </c>
      <c r="N36" s="14">
        <v>248670</v>
      </c>
      <c r="O36" s="14">
        <v>399850</v>
      </c>
      <c r="P36" s="14">
        <v>-151180</v>
      </c>
    </row>
    <row r="37" spans="1:16" x14ac:dyDescent="0.3">
      <c r="L37" s="47" t="s">
        <v>219</v>
      </c>
      <c r="M37" s="14">
        <v>307</v>
      </c>
      <c r="N37" s="14">
        <v>248670</v>
      </c>
      <c r="O37" s="14">
        <v>399850</v>
      </c>
      <c r="P37" s="14">
        <v>-151180</v>
      </c>
    </row>
    <row r="38" spans="1:16" x14ac:dyDescent="0.3">
      <c r="L38" s="27">
        <v>45959</v>
      </c>
      <c r="M38" s="14">
        <v>438</v>
      </c>
      <c r="N38" s="14">
        <v>354780</v>
      </c>
      <c r="O38" s="14">
        <v>83850</v>
      </c>
      <c r="P38" s="14">
        <v>270930</v>
      </c>
    </row>
    <row r="39" spans="1:16" x14ac:dyDescent="0.3">
      <c r="L39" s="47" t="s">
        <v>329</v>
      </c>
      <c r="M39" s="14">
        <v>301</v>
      </c>
      <c r="N39" s="14">
        <v>243810</v>
      </c>
      <c r="O39" s="14"/>
      <c r="P39" s="14">
        <v>243810</v>
      </c>
    </row>
    <row r="40" spans="1:16" x14ac:dyDescent="0.3">
      <c r="L40" s="47" t="s">
        <v>320</v>
      </c>
      <c r="M40" s="14">
        <v>137</v>
      </c>
      <c r="N40" s="14">
        <v>110970</v>
      </c>
      <c r="O40" s="14">
        <v>83850</v>
      </c>
      <c r="P40" s="14">
        <v>27120</v>
      </c>
    </row>
    <row r="41" spans="1:16" x14ac:dyDescent="0.3">
      <c r="L41" s="27" t="s">
        <v>28</v>
      </c>
      <c r="M41" s="14">
        <v>5425</v>
      </c>
      <c r="N41" s="14">
        <v>4286390</v>
      </c>
      <c r="O41" s="14">
        <v>3182566</v>
      </c>
      <c r="P41" s="14">
        <v>3620125</v>
      </c>
    </row>
    <row r="42" spans="1:16" x14ac:dyDescent="0.3">
      <c r="L42" s="14">
        <f>I2-Table3[[#Totals],[balance]]</f>
        <v>-1347844</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01"/>
  <sheetViews>
    <sheetView topLeftCell="A179" zoomScale="132" workbookViewId="0">
      <selection activeCell="B192" sqref="B19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-789504</v>
      </c>
      <c r="E2" s="86"/>
      <c r="F2" s="93" t="s">
        <v>111</v>
      </c>
    </row>
    <row r="3" spans="1:16" x14ac:dyDescent="0.3">
      <c r="A3" s="91">
        <v>45947</v>
      </c>
      <c r="B3" s="86" t="s">
        <v>187</v>
      </c>
      <c r="C3" s="11"/>
      <c r="D3" s="92">
        <f>[1]Cashbook!$N$6</f>
        <v>-520515</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8646076</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8692130</v>
      </c>
      <c r="M5" s="50" t="s">
        <v>111</v>
      </c>
      <c r="N5" s="51">
        <f>(SUMIFS(Table14[Credit],Table14[Mode],"Bank")-SUMIFS(Table14[Debit],Table14[Mode],"Bank")-SUMIFS(Table14[Withdrawal],Table14[Mode],"Transfer"))</f>
        <v>589470</v>
      </c>
      <c r="O5">
        <v>360000</v>
      </c>
    </row>
    <row r="6" spans="1:16" x14ac:dyDescent="0.3">
      <c r="A6" s="115">
        <v>45948</v>
      </c>
      <c r="B6" t="s">
        <v>97</v>
      </c>
      <c r="C6" s="11">
        <v>44000</v>
      </c>
      <c r="D6" s="11"/>
      <c r="E6" t="s">
        <v>190</v>
      </c>
      <c r="F6" s="116" t="s">
        <v>111</v>
      </c>
      <c r="J6" s="57" t="s">
        <v>43</v>
      </c>
      <c r="K6" s="58">
        <f>(K5-K4)</f>
        <v>46054</v>
      </c>
      <c r="M6" s="50" t="s">
        <v>112</v>
      </c>
      <c r="N6" s="51">
        <f>((SUMIFS(Table14[Credit],Table14[Mode],"Cash")-SUMIFS(Table14[Debit],Table14[Mode],"Cash"))+SUMIFS(Table14[Withdrawal],Table14[Party],"Cash",Table14[Mode],"Transfer"))</f>
        <v>-543416</v>
      </c>
      <c r="O6">
        <v>50000</v>
      </c>
    </row>
    <row r="7" spans="1:16" x14ac:dyDescent="0.3">
      <c r="A7" s="115">
        <v>45948</v>
      </c>
      <c r="B7" t="s">
        <v>191</v>
      </c>
      <c r="C7" s="11">
        <v>10000</v>
      </c>
      <c r="D7" s="11"/>
      <c r="E7" t="s">
        <v>192</v>
      </c>
      <c r="F7" s="116" t="s">
        <v>111</v>
      </c>
      <c r="M7" s="53" t="s">
        <v>5</v>
      </c>
      <c r="N7" s="54">
        <f>SUM(N5:N6)</f>
        <v>46054</v>
      </c>
      <c r="O7" s="95">
        <f>SUM(O5,O6)</f>
        <v>410000</v>
      </c>
      <c r="P7" s="14">
        <f>Table18[[#Totals],[amount]]-Table18[[#Totals],[Actual]]</f>
        <v>-363946</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45957</v>
      </c>
      <c r="B141" t="s">
        <v>52</v>
      </c>
      <c r="C141" s="11"/>
      <c r="D141" s="11"/>
      <c r="E141" t="s">
        <v>299</v>
      </c>
      <c r="F141" s="116" t="s">
        <v>111</v>
      </c>
    </row>
    <row r="142" spans="1:6" x14ac:dyDescent="0.3">
      <c r="A142" s="43">
        <v>45957</v>
      </c>
      <c r="B142" t="s">
        <v>52</v>
      </c>
      <c r="C142" s="11"/>
      <c r="D142" s="11"/>
      <c r="E142" t="s">
        <v>192</v>
      </c>
      <c r="F142" s="116" t="s">
        <v>111</v>
      </c>
    </row>
    <row r="143" spans="1:6" x14ac:dyDescent="0.3">
      <c r="A143" s="43">
        <v>45957</v>
      </c>
      <c r="B143" t="s">
        <v>97</v>
      </c>
      <c r="C143" s="11">
        <v>45335</v>
      </c>
      <c r="D143" s="11"/>
      <c r="E143" t="s">
        <v>300</v>
      </c>
      <c r="F143" s="116" t="s">
        <v>111</v>
      </c>
    </row>
    <row r="144" spans="1:6" x14ac:dyDescent="0.3">
      <c r="A144" s="43">
        <v>45957</v>
      </c>
      <c r="B144" t="s">
        <v>120</v>
      </c>
      <c r="C144" s="11">
        <v>353250</v>
      </c>
      <c r="D144" s="11"/>
      <c r="E144" t="s">
        <v>301</v>
      </c>
      <c r="F144" s="116" t="s">
        <v>111</v>
      </c>
    </row>
    <row r="145" spans="1:6" x14ac:dyDescent="0.3">
      <c r="A145" s="43">
        <v>45957</v>
      </c>
      <c r="B145" t="s">
        <v>302</v>
      </c>
      <c r="C145" s="11"/>
      <c r="D145" s="11">
        <v>256200</v>
      </c>
      <c r="E145" t="s">
        <v>303</v>
      </c>
      <c r="F145" s="116" t="s">
        <v>111</v>
      </c>
    </row>
    <row r="146" spans="1:6" x14ac:dyDescent="0.3">
      <c r="A146" s="43">
        <v>45957</v>
      </c>
      <c r="B146" t="s">
        <v>304</v>
      </c>
      <c r="C146" s="11"/>
      <c r="D146" s="11">
        <v>95000</v>
      </c>
      <c r="F146" s="116" t="s">
        <v>111</v>
      </c>
    </row>
    <row r="147" spans="1:6" x14ac:dyDescent="0.3">
      <c r="A147" s="43">
        <v>45957</v>
      </c>
      <c r="B147" t="s">
        <v>212</v>
      </c>
      <c r="C147" s="11"/>
      <c r="D147" s="11">
        <v>2050</v>
      </c>
      <c r="E147" t="s">
        <v>305</v>
      </c>
      <c r="F147" s="116" t="s">
        <v>111</v>
      </c>
    </row>
    <row r="148" spans="1:6" x14ac:dyDescent="0.3">
      <c r="A148" s="43">
        <v>45956</v>
      </c>
      <c r="B148" t="s">
        <v>212</v>
      </c>
      <c r="C148" s="11">
        <v>3000</v>
      </c>
      <c r="D148" s="11"/>
      <c r="E148" t="s">
        <v>306</v>
      </c>
      <c r="F148" s="116" t="s">
        <v>111</v>
      </c>
    </row>
    <row r="149" spans="1:6" x14ac:dyDescent="0.3">
      <c r="A149" s="43">
        <v>45957</v>
      </c>
      <c r="B149" t="s">
        <v>55</v>
      </c>
      <c r="C149" s="11">
        <v>3300</v>
      </c>
      <c r="D149" s="11"/>
      <c r="F149" s="116" t="s">
        <v>111</v>
      </c>
    </row>
    <row r="150" spans="1:6" x14ac:dyDescent="0.3">
      <c r="A150" s="43">
        <v>45957</v>
      </c>
      <c r="B150" t="s">
        <v>55</v>
      </c>
      <c r="C150" s="11">
        <v>13750</v>
      </c>
      <c r="D150" s="11"/>
      <c r="F150" s="116" t="s">
        <v>111</v>
      </c>
    </row>
    <row r="151" spans="1:6" x14ac:dyDescent="0.3">
      <c r="A151" s="43">
        <v>45957</v>
      </c>
      <c r="B151" t="s">
        <v>55</v>
      </c>
      <c r="C151" s="11">
        <v>5500</v>
      </c>
      <c r="D151" s="11"/>
      <c r="F151" s="116" t="s">
        <v>111</v>
      </c>
    </row>
    <row r="152" spans="1:6" x14ac:dyDescent="0.3">
      <c r="A152" s="43">
        <v>45957</v>
      </c>
      <c r="B152" t="s">
        <v>52</v>
      </c>
      <c r="C152" s="117">
        <v>5000</v>
      </c>
      <c r="D152" s="117"/>
      <c r="E152" t="s">
        <v>270</v>
      </c>
      <c r="F152" s="116" t="s">
        <v>111</v>
      </c>
    </row>
    <row r="153" spans="1:6" x14ac:dyDescent="0.3">
      <c r="A153" s="43">
        <v>45957</v>
      </c>
      <c r="B153" t="s">
        <v>194</v>
      </c>
      <c r="C153" s="117">
        <v>500</v>
      </c>
      <c r="D153" s="117"/>
      <c r="F153" s="116" t="s">
        <v>112</v>
      </c>
    </row>
    <row r="154" spans="1:6" x14ac:dyDescent="0.3">
      <c r="A154" s="115">
        <v>45958</v>
      </c>
      <c r="B154" t="s">
        <v>24</v>
      </c>
      <c r="C154" s="11"/>
      <c r="D154" s="11">
        <v>1000000</v>
      </c>
      <c r="E154" t="s">
        <v>307</v>
      </c>
      <c r="F154" s="116" t="s">
        <v>111</v>
      </c>
    </row>
    <row r="155" spans="1:6" x14ac:dyDescent="0.3">
      <c r="A155" s="115">
        <v>45958</v>
      </c>
      <c r="B155" t="s">
        <v>97</v>
      </c>
      <c r="C155" s="11">
        <v>350000</v>
      </c>
      <c r="D155" s="11"/>
      <c r="E155" t="s">
        <v>308</v>
      </c>
      <c r="F155" s="116" t="s">
        <v>111</v>
      </c>
    </row>
    <row r="156" spans="1:6" x14ac:dyDescent="0.3">
      <c r="A156" s="115">
        <v>45958</v>
      </c>
      <c r="B156" t="s">
        <v>97</v>
      </c>
      <c r="C156" s="11">
        <v>49850</v>
      </c>
      <c r="D156" s="11"/>
      <c r="E156" t="s">
        <v>219</v>
      </c>
      <c r="F156" s="116" t="s">
        <v>111</v>
      </c>
    </row>
    <row r="157" spans="1:6" x14ac:dyDescent="0.3">
      <c r="A157" s="115">
        <v>45958</v>
      </c>
      <c r="B157" t="s">
        <v>54</v>
      </c>
      <c r="C157" s="11">
        <v>2000</v>
      </c>
      <c r="D157" s="11"/>
      <c r="E157" t="s">
        <v>309</v>
      </c>
      <c r="F157" s="116" t="s">
        <v>111</v>
      </c>
    </row>
    <row r="158" spans="1:6" x14ac:dyDescent="0.3">
      <c r="A158" s="115">
        <v>45958</v>
      </c>
      <c r="B158" t="s">
        <v>55</v>
      </c>
      <c r="C158" s="11">
        <v>1200</v>
      </c>
      <c r="D158" s="11"/>
      <c r="E158" t="s">
        <v>310</v>
      </c>
      <c r="F158" s="116" t="s">
        <v>111</v>
      </c>
    </row>
    <row r="159" spans="1:6" x14ac:dyDescent="0.3">
      <c r="A159" s="115">
        <v>45958</v>
      </c>
      <c r="B159" t="s">
        <v>50</v>
      </c>
      <c r="C159" s="117">
        <v>180</v>
      </c>
      <c r="D159" s="117"/>
      <c r="E159" t="s">
        <v>311</v>
      </c>
      <c r="F159" s="116" t="s">
        <v>111</v>
      </c>
    </row>
    <row r="160" spans="1:6" x14ac:dyDescent="0.3">
      <c r="A160" s="115">
        <v>45958</v>
      </c>
      <c r="B160" t="s">
        <v>191</v>
      </c>
      <c r="C160" s="11">
        <v>10000</v>
      </c>
      <c r="D160" s="11"/>
      <c r="E160" t="s">
        <v>312</v>
      </c>
      <c r="F160" s="116" t="s">
        <v>111</v>
      </c>
    </row>
    <row r="161" spans="1:12" x14ac:dyDescent="0.3">
      <c r="A161" s="115">
        <v>45958</v>
      </c>
      <c r="B161" t="s">
        <v>170</v>
      </c>
      <c r="C161" s="117"/>
      <c r="D161" s="117">
        <v>140000</v>
      </c>
      <c r="F161" s="116" t="s">
        <v>111</v>
      </c>
    </row>
    <row r="162" spans="1:12" x14ac:dyDescent="0.3">
      <c r="A162" s="115">
        <v>45958</v>
      </c>
      <c r="B162" t="s">
        <v>52</v>
      </c>
      <c r="C162" s="11">
        <v>25000</v>
      </c>
      <c r="D162" s="11"/>
      <c r="E162" t="s">
        <v>270</v>
      </c>
      <c r="F162" s="116" t="s">
        <v>111</v>
      </c>
    </row>
    <row r="163" spans="1:12" x14ac:dyDescent="0.3">
      <c r="A163" s="115">
        <v>45958</v>
      </c>
      <c r="B163" t="s">
        <v>191</v>
      </c>
      <c r="C163" s="11">
        <v>1500</v>
      </c>
      <c r="D163" s="11"/>
      <c r="E163" t="s">
        <v>317</v>
      </c>
      <c r="F163" s="116" t="s">
        <v>111</v>
      </c>
      <c r="J163" s="3" t="s">
        <v>6</v>
      </c>
      <c r="K163" t="s">
        <v>121</v>
      </c>
      <c r="L163" t="s">
        <v>122</v>
      </c>
    </row>
    <row r="164" spans="1:12" x14ac:dyDescent="0.3">
      <c r="A164" s="115">
        <v>45959</v>
      </c>
      <c r="B164" t="s">
        <v>54</v>
      </c>
      <c r="C164" s="11">
        <v>5303</v>
      </c>
      <c r="D164" s="11"/>
      <c r="E164" t="s">
        <v>231</v>
      </c>
      <c r="F164" s="116" t="s">
        <v>111</v>
      </c>
      <c r="J164" s="4" t="s">
        <v>191</v>
      </c>
      <c r="K164" s="14"/>
      <c r="L164" s="14">
        <v>27500</v>
      </c>
    </row>
    <row r="165" spans="1:12" x14ac:dyDescent="0.3">
      <c r="A165" s="115">
        <v>45959</v>
      </c>
      <c r="B165" t="s">
        <v>54</v>
      </c>
      <c r="C165" s="11">
        <v>1000</v>
      </c>
      <c r="D165" s="11"/>
      <c r="E165" t="s">
        <v>318</v>
      </c>
      <c r="F165" s="116" t="s">
        <v>111</v>
      </c>
      <c r="J165" s="4" t="s">
        <v>9</v>
      </c>
      <c r="K165" s="14">
        <v>1087234</v>
      </c>
      <c r="L165" s="14"/>
    </row>
    <row r="166" spans="1:12" x14ac:dyDescent="0.3">
      <c r="A166" s="115">
        <v>45959</v>
      </c>
      <c r="B166" t="s">
        <v>55</v>
      </c>
      <c r="C166" s="11">
        <v>2700</v>
      </c>
      <c r="D166" s="11"/>
      <c r="E166" t="s">
        <v>319</v>
      </c>
      <c r="F166" s="116" t="s">
        <v>111</v>
      </c>
      <c r="J166" s="4" t="s">
        <v>21</v>
      </c>
      <c r="K166" s="14">
        <v>3960588</v>
      </c>
      <c r="L166" s="14"/>
    </row>
    <row r="167" spans="1:12" x14ac:dyDescent="0.3">
      <c r="A167" s="115">
        <v>45959</v>
      </c>
      <c r="B167" t="s">
        <v>54</v>
      </c>
      <c r="C167" s="11">
        <v>1000</v>
      </c>
      <c r="D167" s="11"/>
      <c r="E167" t="s">
        <v>248</v>
      </c>
      <c r="F167" s="116" t="s">
        <v>112</v>
      </c>
      <c r="J167" s="4" t="s">
        <v>120</v>
      </c>
      <c r="K167" s="14"/>
      <c r="L167" s="14">
        <v>353250</v>
      </c>
    </row>
    <row r="168" spans="1:12" x14ac:dyDescent="0.3">
      <c r="A168" s="115">
        <v>45959</v>
      </c>
      <c r="B168" t="s">
        <v>55</v>
      </c>
      <c r="C168" s="11">
        <v>2340</v>
      </c>
      <c r="D168" s="11"/>
      <c r="F168" s="116" t="s">
        <v>111</v>
      </c>
      <c r="J168" s="4" t="s">
        <v>97</v>
      </c>
      <c r="K168" s="14"/>
      <c r="L168" s="14">
        <v>2924416</v>
      </c>
    </row>
    <row r="169" spans="1:12" x14ac:dyDescent="0.3">
      <c r="A169" s="115">
        <v>45959</v>
      </c>
      <c r="B169" t="s">
        <v>97</v>
      </c>
      <c r="C169" s="11">
        <v>48850</v>
      </c>
      <c r="D169" s="11"/>
      <c r="E169" t="s">
        <v>322</v>
      </c>
      <c r="F169" s="116" t="s">
        <v>111</v>
      </c>
      <c r="J169" s="4" t="s">
        <v>50</v>
      </c>
      <c r="K169" s="14"/>
      <c r="L169" s="14">
        <v>16030</v>
      </c>
    </row>
    <row r="170" spans="1:12" x14ac:dyDescent="0.3">
      <c r="A170" s="115">
        <v>45959</v>
      </c>
      <c r="B170" t="s">
        <v>97</v>
      </c>
      <c r="C170" s="11">
        <v>35000</v>
      </c>
      <c r="D170" s="11"/>
      <c r="E170" t="s">
        <v>321</v>
      </c>
      <c r="F170" s="116" t="s">
        <v>111</v>
      </c>
      <c r="J170" s="4" t="s">
        <v>55</v>
      </c>
      <c r="K170" s="14"/>
      <c r="L170" s="14">
        <v>225610</v>
      </c>
    </row>
    <row r="171" spans="1:12" x14ac:dyDescent="0.3">
      <c r="A171" s="115">
        <v>45959</v>
      </c>
      <c r="B171" t="s">
        <v>212</v>
      </c>
      <c r="C171" s="11">
        <v>2640</v>
      </c>
      <c r="D171" s="11"/>
      <c r="E171" t="s">
        <v>323</v>
      </c>
      <c r="F171" s="116" t="s">
        <v>111</v>
      </c>
      <c r="J171" s="4" t="s">
        <v>116</v>
      </c>
      <c r="K171" s="14"/>
      <c r="L171" s="14">
        <v>38245</v>
      </c>
    </row>
    <row r="172" spans="1:12" x14ac:dyDescent="0.3">
      <c r="A172" s="115">
        <v>45959</v>
      </c>
      <c r="B172" t="s">
        <v>212</v>
      </c>
      <c r="C172" s="11">
        <v>1000</v>
      </c>
      <c r="D172" s="11"/>
      <c r="E172" t="s">
        <v>324</v>
      </c>
      <c r="F172" s="116" t="s">
        <v>111</v>
      </c>
      <c r="J172" s="4" t="s">
        <v>52</v>
      </c>
      <c r="K172" s="14"/>
      <c r="L172" s="14">
        <v>65750</v>
      </c>
    </row>
    <row r="173" spans="1:12" x14ac:dyDescent="0.3">
      <c r="A173" s="115">
        <v>45959</v>
      </c>
      <c r="B173" t="s">
        <v>50</v>
      </c>
      <c r="C173" s="11">
        <v>1000</v>
      </c>
      <c r="D173" s="11"/>
      <c r="E173" t="s">
        <v>325</v>
      </c>
      <c r="F173" s="116" t="s">
        <v>111</v>
      </c>
      <c r="J173" s="4" t="s">
        <v>54</v>
      </c>
      <c r="K173" s="14"/>
      <c r="L173" s="14">
        <v>37966</v>
      </c>
    </row>
    <row r="174" spans="1:12" x14ac:dyDescent="0.3">
      <c r="A174" s="115">
        <v>45959</v>
      </c>
      <c r="B174" t="s">
        <v>170</v>
      </c>
      <c r="C174" s="11"/>
      <c r="D174" s="11">
        <v>160000</v>
      </c>
      <c r="F174" s="116" t="s">
        <v>111</v>
      </c>
      <c r="J174" s="4" t="s">
        <v>212</v>
      </c>
      <c r="K174" s="14">
        <v>2050</v>
      </c>
      <c r="L174" s="14">
        <v>163376</v>
      </c>
    </row>
    <row r="175" spans="1:12" x14ac:dyDescent="0.3">
      <c r="A175" s="115">
        <v>45959</v>
      </c>
      <c r="B175" t="s">
        <v>24</v>
      </c>
      <c r="C175" s="11"/>
      <c r="D175" s="11">
        <v>500000</v>
      </c>
      <c r="E175" t="s">
        <v>326</v>
      </c>
      <c r="F175" s="116" t="s">
        <v>111</v>
      </c>
      <c r="J175" s="4" t="s">
        <v>209</v>
      </c>
      <c r="K175" s="14">
        <v>3000</v>
      </c>
      <c r="L175" s="14">
        <v>5000</v>
      </c>
    </row>
    <row r="176" spans="1:12" x14ac:dyDescent="0.3">
      <c r="A176" s="115">
        <v>45959</v>
      </c>
      <c r="B176" t="s">
        <v>294</v>
      </c>
      <c r="C176" s="11">
        <v>169000</v>
      </c>
      <c r="D176" s="11"/>
      <c r="E176" t="s">
        <v>327</v>
      </c>
      <c r="F176" s="116" t="s">
        <v>111</v>
      </c>
      <c r="J176" s="4" t="s">
        <v>194</v>
      </c>
      <c r="K176" s="14">
        <v>4000</v>
      </c>
      <c r="L176" s="14">
        <v>3800</v>
      </c>
    </row>
    <row r="177" spans="1:12" x14ac:dyDescent="0.3">
      <c r="A177" s="115">
        <v>45959</v>
      </c>
      <c r="B177" t="s">
        <v>170</v>
      </c>
      <c r="C177" s="11"/>
      <c r="D177" s="11">
        <v>200000</v>
      </c>
      <c r="E177" t="s">
        <v>328</v>
      </c>
      <c r="F177" s="116" t="s">
        <v>111</v>
      </c>
      <c r="J177" s="4" t="s">
        <v>106</v>
      </c>
      <c r="K177" s="14"/>
      <c r="L177" s="14"/>
    </row>
    <row r="178" spans="1:12" x14ac:dyDescent="0.3">
      <c r="A178" s="43">
        <v>45959</v>
      </c>
      <c r="B178" t="s">
        <v>294</v>
      </c>
      <c r="C178" s="117">
        <v>200000</v>
      </c>
      <c r="D178" s="117"/>
      <c r="E178" t="s">
        <v>330</v>
      </c>
      <c r="F178" s="116" t="s">
        <v>111</v>
      </c>
      <c r="J178" s="4" t="s">
        <v>201</v>
      </c>
      <c r="K178" s="14">
        <v>1066681</v>
      </c>
      <c r="L178" s="14"/>
    </row>
    <row r="179" spans="1:12" x14ac:dyDescent="0.3">
      <c r="A179" s="125">
        <v>45960</v>
      </c>
      <c r="B179" t="s">
        <v>212</v>
      </c>
      <c r="C179" s="11">
        <v>1000</v>
      </c>
      <c r="D179" s="11"/>
      <c r="E179" t="s">
        <v>331</v>
      </c>
      <c r="F179" s="116" t="s">
        <v>112</v>
      </c>
      <c r="J179" s="4" t="s">
        <v>24</v>
      </c>
      <c r="K179" s="14">
        <v>1500000</v>
      </c>
      <c r="L179" s="14"/>
    </row>
    <row r="180" spans="1:12" x14ac:dyDescent="0.3">
      <c r="A180" s="125">
        <v>45960</v>
      </c>
      <c r="B180" t="s">
        <v>50</v>
      </c>
      <c r="C180" s="11">
        <v>500</v>
      </c>
      <c r="D180" s="11"/>
      <c r="E180" t="s">
        <v>332</v>
      </c>
      <c r="F180" s="116" t="s">
        <v>112</v>
      </c>
      <c r="J180" s="4" t="s">
        <v>118</v>
      </c>
      <c r="K180" s="14"/>
      <c r="L180" s="14">
        <v>400000</v>
      </c>
    </row>
    <row r="181" spans="1:12" x14ac:dyDescent="0.3">
      <c r="A181" s="125">
        <v>45960</v>
      </c>
      <c r="B181" t="s">
        <v>50</v>
      </c>
      <c r="C181" s="11">
        <v>420</v>
      </c>
      <c r="D181" s="11"/>
      <c r="E181" t="s">
        <v>286</v>
      </c>
      <c r="F181" s="116" t="s">
        <v>112</v>
      </c>
      <c r="J181" s="4" t="s">
        <v>35</v>
      </c>
      <c r="K181" s="14">
        <v>179000</v>
      </c>
      <c r="L181" s="14"/>
    </row>
    <row r="182" spans="1:12" x14ac:dyDescent="0.3">
      <c r="A182" s="125">
        <v>45960</v>
      </c>
      <c r="B182" t="s">
        <v>9</v>
      </c>
      <c r="C182" s="11"/>
      <c r="D182" s="11">
        <v>300000</v>
      </c>
      <c r="E182" t="s">
        <v>333</v>
      </c>
      <c r="F182" s="116" t="s">
        <v>111</v>
      </c>
      <c r="J182" s="4" t="s">
        <v>152</v>
      </c>
      <c r="K182" s="14"/>
      <c r="L182" s="14">
        <v>100000</v>
      </c>
    </row>
    <row r="183" spans="1:12" x14ac:dyDescent="0.3">
      <c r="A183" s="125">
        <v>45960</v>
      </c>
      <c r="B183" t="s">
        <v>97</v>
      </c>
      <c r="C183" s="11">
        <v>300000</v>
      </c>
      <c r="D183" s="11"/>
      <c r="E183" t="s">
        <v>333</v>
      </c>
      <c r="F183" s="116" t="s">
        <v>111</v>
      </c>
      <c r="J183" s="4" t="s">
        <v>64</v>
      </c>
      <c r="K183" s="14"/>
      <c r="L183" s="14">
        <v>12000</v>
      </c>
    </row>
    <row r="184" spans="1:12" x14ac:dyDescent="0.3">
      <c r="A184" s="125">
        <v>45960</v>
      </c>
      <c r="B184" t="s">
        <v>54</v>
      </c>
      <c r="C184" s="11">
        <v>1000</v>
      </c>
      <c r="D184" s="11"/>
      <c r="E184" t="s">
        <v>248</v>
      </c>
      <c r="F184" s="116" t="s">
        <v>112</v>
      </c>
      <c r="J184" s="4" t="s">
        <v>277</v>
      </c>
      <c r="K184" s="14"/>
      <c r="L184" s="14">
        <v>250000</v>
      </c>
    </row>
    <row r="185" spans="1:12" x14ac:dyDescent="0.3">
      <c r="A185" s="125">
        <v>45960</v>
      </c>
      <c r="B185" t="s">
        <v>52</v>
      </c>
      <c r="C185" s="11"/>
      <c r="D185" s="11"/>
      <c r="E185" t="s">
        <v>334</v>
      </c>
      <c r="F185" s="116"/>
      <c r="J185" s="4" t="s">
        <v>170</v>
      </c>
      <c r="K185" s="14">
        <v>500000</v>
      </c>
      <c r="L185" s="14"/>
    </row>
    <row r="186" spans="1:12" x14ac:dyDescent="0.3">
      <c r="A186" s="125">
        <v>45960</v>
      </c>
      <c r="B186" t="s">
        <v>55</v>
      </c>
      <c r="C186" s="11">
        <v>890</v>
      </c>
      <c r="D186" s="11"/>
      <c r="E186" t="s">
        <v>335</v>
      </c>
      <c r="F186" s="116" t="s">
        <v>112</v>
      </c>
      <c r="J186" s="4" t="s">
        <v>174</v>
      </c>
      <c r="K186" s="14"/>
      <c r="L186" s="14">
        <v>457150</v>
      </c>
    </row>
    <row r="187" spans="1:12" x14ac:dyDescent="0.3">
      <c r="A187" s="125">
        <v>45960</v>
      </c>
      <c r="B187" s="126" t="s">
        <v>180</v>
      </c>
      <c r="C187" s="117"/>
      <c r="D187" s="117">
        <v>80000</v>
      </c>
      <c r="E187" s="126"/>
      <c r="F187" s="127" t="s">
        <v>111</v>
      </c>
      <c r="G187" s="126"/>
      <c r="J187" s="4" t="s">
        <v>182</v>
      </c>
      <c r="K187" s="14"/>
      <c r="L187" s="14">
        <v>1000</v>
      </c>
    </row>
    <row r="188" spans="1:12" x14ac:dyDescent="0.3">
      <c r="A188" s="125">
        <v>45960</v>
      </c>
      <c r="B188" t="s">
        <v>336</v>
      </c>
      <c r="C188" s="11">
        <v>73500</v>
      </c>
      <c r="D188" s="11"/>
      <c r="E188" t="s">
        <v>167</v>
      </c>
      <c r="F188" s="116" t="s">
        <v>111</v>
      </c>
      <c r="J188" s="4" t="s">
        <v>294</v>
      </c>
      <c r="K188" s="14"/>
      <c r="L188" s="14">
        <v>749000</v>
      </c>
    </row>
    <row r="189" spans="1:12" x14ac:dyDescent="0.3">
      <c r="A189" s="125">
        <v>45960</v>
      </c>
      <c r="B189" t="s">
        <v>50</v>
      </c>
      <c r="C189" s="11">
        <v>300</v>
      </c>
      <c r="D189" s="11"/>
      <c r="E189" t="s">
        <v>337</v>
      </c>
      <c r="F189" s="116" t="s">
        <v>111</v>
      </c>
      <c r="J189" s="4" t="s">
        <v>187</v>
      </c>
      <c r="K189" s="14">
        <v>-1310019</v>
      </c>
      <c r="L189" s="14"/>
    </row>
    <row r="190" spans="1:12" x14ac:dyDescent="0.3">
      <c r="A190" s="125">
        <v>45960</v>
      </c>
      <c r="B190" t="s">
        <v>54</v>
      </c>
      <c r="C190" s="11">
        <v>5311</v>
      </c>
      <c r="D190" s="11"/>
      <c r="E190" t="s">
        <v>231</v>
      </c>
      <c r="F190" s="116" t="s">
        <v>111</v>
      </c>
      <c r="J190" s="4" t="s">
        <v>198</v>
      </c>
      <c r="K190" s="14">
        <v>415571</v>
      </c>
      <c r="L190" s="14"/>
    </row>
    <row r="191" spans="1:12" x14ac:dyDescent="0.3">
      <c r="A191" s="125">
        <v>45960</v>
      </c>
      <c r="B191" t="s">
        <v>212</v>
      </c>
      <c r="C191" s="11">
        <v>4836</v>
      </c>
      <c r="D191" s="11"/>
      <c r="E191" t="s">
        <v>338</v>
      </c>
      <c r="F191" s="116" t="s">
        <v>111</v>
      </c>
      <c r="J191" s="4" t="s">
        <v>206</v>
      </c>
      <c r="K191" s="14"/>
      <c r="L191" s="14">
        <v>162250</v>
      </c>
    </row>
    <row r="192" spans="1:12" x14ac:dyDescent="0.3">
      <c r="A192" s="125">
        <v>45960</v>
      </c>
      <c r="C192" s="11"/>
      <c r="D192" s="11"/>
      <c r="F192" s="116"/>
      <c r="J192" s="4" t="s">
        <v>214</v>
      </c>
      <c r="K192" s="14">
        <v>54825</v>
      </c>
      <c r="L192" s="14">
        <v>35195</v>
      </c>
    </row>
    <row r="193" spans="1:12" x14ac:dyDescent="0.3">
      <c r="A193" s="43"/>
      <c r="C193" s="14">
        <f>SUBTOTAL(109,Table14[Debit])</f>
        <v>8646076</v>
      </c>
      <c r="D193" s="14">
        <f>SUBTOTAL(109,Table14[Credit])</f>
        <v>8692130</v>
      </c>
      <c r="F193" s="59">
        <f>(Table14[[#Totals],[Credit]]-Table14[[#Totals],[Debit]])</f>
        <v>46054</v>
      </c>
      <c r="J193" s="4" t="s">
        <v>222</v>
      </c>
      <c r="K193" s="14"/>
      <c r="L193" s="14">
        <v>42000</v>
      </c>
    </row>
    <row r="194" spans="1:12" x14ac:dyDescent="0.3">
      <c r="J194" s="4" t="s">
        <v>244</v>
      </c>
      <c r="K194" s="14"/>
      <c r="L194" s="14">
        <v>2503038</v>
      </c>
    </row>
    <row r="195" spans="1:12" x14ac:dyDescent="0.3">
      <c r="J195" s="4" t="s">
        <v>227</v>
      </c>
      <c r="K195" s="14">
        <v>98000</v>
      </c>
      <c r="L195" s="14"/>
    </row>
    <row r="196" spans="1:12" x14ac:dyDescent="0.3">
      <c r="J196" s="4" t="s">
        <v>180</v>
      </c>
      <c r="K196" s="14">
        <v>480000</v>
      </c>
      <c r="L196" s="14"/>
    </row>
    <row r="197" spans="1:12" x14ac:dyDescent="0.3">
      <c r="J197" s="4" t="s">
        <v>296</v>
      </c>
      <c r="K197" s="14">
        <v>300000</v>
      </c>
      <c r="L197" s="14"/>
    </row>
    <row r="198" spans="1:12" x14ac:dyDescent="0.3">
      <c r="J198" s="4" t="s">
        <v>302</v>
      </c>
      <c r="K198" s="14">
        <v>256200</v>
      </c>
      <c r="L198" s="14"/>
    </row>
    <row r="199" spans="1:12" x14ac:dyDescent="0.3">
      <c r="J199" s="4" t="s">
        <v>304</v>
      </c>
      <c r="K199" s="14">
        <v>95000</v>
      </c>
      <c r="L199" s="14"/>
    </row>
    <row r="200" spans="1:12" x14ac:dyDescent="0.3">
      <c r="J200" s="4" t="s">
        <v>336</v>
      </c>
      <c r="K200" s="14"/>
      <c r="L200" s="14">
        <v>73500</v>
      </c>
    </row>
    <row r="201" spans="1:12" x14ac:dyDescent="0.3">
      <c r="J201" s="4" t="s">
        <v>28</v>
      </c>
      <c r="K201" s="14">
        <v>8692130</v>
      </c>
      <c r="L201" s="14">
        <v>8646076</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L10" s="128"/>
      <c r="M10" s="128">
        <v>640125</v>
      </c>
    </row>
    <row r="11" spans="1:14" x14ac:dyDescent="0.3">
      <c r="K11" s="27">
        <v>45948</v>
      </c>
      <c r="L11" s="128"/>
      <c r="M11" s="128">
        <v>-300000</v>
      </c>
    </row>
    <row r="12" spans="1:14" x14ac:dyDescent="0.3">
      <c r="K12" s="27">
        <v>45955</v>
      </c>
      <c r="L12" s="128"/>
      <c r="M12" s="128">
        <v>-100000</v>
      </c>
    </row>
    <row r="13" spans="1:14" x14ac:dyDescent="0.3">
      <c r="A13" t="s">
        <v>57</v>
      </c>
      <c r="B13" t="s">
        <v>159</v>
      </c>
      <c r="C13" t="s">
        <v>160</v>
      </c>
      <c r="D13" t="s">
        <v>4</v>
      </c>
      <c r="E13" t="s">
        <v>161</v>
      </c>
      <c r="K13" s="4" t="s">
        <v>28</v>
      </c>
      <c r="L13" s="128"/>
      <c r="M13" s="128">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topLeftCell="A6" workbookViewId="0">
      <selection activeCell="G67" sqref="G67"/>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s="128">
        <v>128000</v>
      </c>
      <c r="L5" s="128">
        <v>0</v>
      </c>
      <c r="M5" s="128">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s="128">
        <v>0</v>
      </c>
      <c r="L6" s="128">
        <v>0</v>
      </c>
      <c r="M6" s="128">
        <v>353250</v>
      </c>
    </row>
    <row r="7" spans="1:13" x14ac:dyDescent="0.3">
      <c r="A7" s="90">
        <v>45947</v>
      </c>
      <c r="B7" s="90" t="s">
        <v>168</v>
      </c>
      <c r="C7" s="87" t="s">
        <v>184</v>
      </c>
      <c r="F7">
        <v>0</v>
      </c>
      <c r="G7">
        <v>0</v>
      </c>
      <c r="H7" s="86">
        <v>0</v>
      </c>
      <c r="J7" s="4" t="s">
        <v>168</v>
      </c>
      <c r="K7" s="128">
        <v>120000</v>
      </c>
      <c r="L7" s="128">
        <v>0</v>
      </c>
      <c r="M7" s="128">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s="128">
        <v>248000</v>
      </c>
      <c r="L8" s="128">
        <v>0</v>
      </c>
      <c r="M8" s="12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9:10" x14ac:dyDescent="0.3">
      <c r="I24" t="s">
        <v>57</v>
      </c>
      <c r="J24" t="s">
        <v>185</v>
      </c>
    </row>
    <row r="25" spans="9:10" x14ac:dyDescent="0.3">
      <c r="I25" t="s">
        <v>61</v>
      </c>
      <c r="J25">
        <f>7750*16</f>
        <v>124000</v>
      </c>
    </row>
    <row r="26" spans="9:10" x14ac:dyDescent="0.3">
      <c r="I26" t="s">
        <v>61</v>
      </c>
      <c r="J26">
        <f>353250</f>
        <v>353250</v>
      </c>
    </row>
    <row r="27" spans="9:10" x14ac:dyDescent="0.3">
      <c r="I27" t="s">
        <v>167</v>
      </c>
      <c r="J27">
        <f>(82000/3)*2</f>
        <v>54666.666666666664</v>
      </c>
    </row>
    <row r="30" spans="9:10" x14ac:dyDescent="0.3">
      <c r="I30" t="s">
        <v>161</v>
      </c>
      <c r="J30">
        <f>SUM(J25:J27)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0" zoomScale="118" workbookViewId="0">
      <selection activeCell="G9" sqref="G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5000</v>
      </c>
      <c r="D10" t="s">
        <v>270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5000</v>
      </c>
      <c r="D13" t="s">
        <v>270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25000</v>
      </c>
      <c r="D14" t="s">
        <v>270</v>
      </c>
      <c r="H14" s="1">
        <v>45958</v>
      </c>
      <c r="I14">
        <f>SUMIFS(Table14[Debit], Table14[Date], Table16[[#This Row],[Date]], Table14[Party], "Advance Salary", Table14[Description], Table16[[#This Row],[Person]] )</f>
        <v>1500</v>
      </c>
      <c r="J14" t="s">
        <v>317</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11500</v>
      </c>
    </row>
    <row r="37" spans="2:9" x14ac:dyDescent="0.3">
      <c r="B37" s="1"/>
      <c r="C37" s="26">
        <f>SUM(Table11[Amount])</f>
        <v>38750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765948</v>
      </c>
      <c r="C2" s="37">
        <f>GETPIVOTDATA("Sum of Tiyaar/gaz",$A$3)</f>
        <v>701581</v>
      </c>
      <c r="D2" s="36">
        <f>((B2*48)+((C2/1.0936)*10))/C2</f>
        <v>61.547902059020473</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14059</v>
      </c>
      <c r="D25" s="33">
        <f t="shared" si="1"/>
        <v>52.883210701603282</v>
      </c>
      <c r="E25" s="11">
        <f t="shared" si="2"/>
        <v>14010.109599999998</v>
      </c>
      <c r="F25" s="11">
        <f t="shared" si="0"/>
        <v>14059</v>
      </c>
      <c r="G25" s="83">
        <f t="shared" si="6"/>
        <v>-0.34896515013701901</v>
      </c>
      <c r="H25" s="33">
        <f t="shared" si="3"/>
        <v>12855.705925384054</v>
      </c>
      <c r="I25" s="33">
        <f t="shared" si="5"/>
        <v>52.883210701603282</v>
      </c>
    </row>
    <row r="26" spans="1:9" x14ac:dyDescent="0.3">
      <c r="A26" s="16">
        <v>1791</v>
      </c>
      <c r="B26" s="14">
        <v>100849</v>
      </c>
      <c r="C26" s="14">
        <v>75501</v>
      </c>
      <c r="D26" s="33">
        <f t="shared" si="1"/>
        <v>73.259182515950727</v>
      </c>
      <c r="E26" s="11">
        <f t="shared" si="2"/>
        <v>110288.46639999999</v>
      </c>
      <c r="F26" s="11">
        <f t="shared" si="0"/>
        <v>75501</v>
      </c>
      <c r="G26" s="83">
        <f t="shared" si="6"/>
        <v>31.542252363752141</v>
      </c>
      <c r="H26" s="33">
        <f t="shared" si="3"/>
        <v>69038.953913679594</v>
      </c>
      <c r="I26" s="33">
        <f t="shared" si="5"/>
        <v>73.259182515950727</v>
      </c>
    </row>
    <row r="27" spans="1:9" x14ac:dyDescent="0.3">
      <c r="A27" s="16">
        <v>1850</v>
      </c>
      <c r="B27" s="14">
        <v>5511</v>
      </c>
      <c r="C27" s="14">
        <v>6003</v>
      </c>
      <c r="D27" s="33">
        <f t="shared" si="1"/>
        <v>53.210078208883857</v>
      </c>
      <c r="E27" s="11">
        <f t="shared" si="2"/>
        <v>6026.8295999999991</v>
      </c>
      <c r="F27" s="11">
        <f t="shared" si="0"/>
        <v>6003</v>
      </c>
      <c r="G27" s="83">
        <f t="shared" si="6"/>
        <v>0.39539196528799891</v>
      </c>
      <c r="H27" s="33">
        <f t="shared" si="3"/>
        <v>5489.2099487929781</v>
      </c>
      <c r="I27" s="33">
        <f t="shared" si="5"/>
        <v>53.210078208883857</v>
      </c>
    </row>
    <row r="28" spans="1:9" x14ac:dyDescent="0.3">
      <c r="A28" s="16">
        <v>1801</v>
      </c>
      <c r="B28" s="14">
        <v>3023</v>
      </c>
      <c r="C28" s="14">
        <v>3248</v>
      </c>
      <c r="D28" s="33">
        <f t="shared" si="1"/>
        <v>53.818988039682743</v>
      </c>
      <c r="E28" s="11">
        <f t="shared" si="2"/>
        <v>3305.9527999999996</v>
      </c>
      <c r="F28" s="11">
        <f t="shared" si="0"/>
        <v>3248</v>
      </c>
      <c r="G28" s="83">
        <f t="shared" si="6"/>
        <v>1.7529832851817986</v>
      </c>
      <c r="H28" s="33">
        <f t="shared" si="3"/>
        <v>2970.007315288954</v>
      </c>
      <c r="I28" s="33">
        <f t="shared" si="5"/>
        <v>53.818988039682743</v>
      </c>
    </row>
    <row r="29" spans="1:9" x14ac:dyDescent="0.3">
      <c r="A29" s="16">
        <v>1824</v>
      </c>
      <c r="B29" s="14">
        <v>50784</v>
      </c>
      <c r="C29" s="14">
        <v>54152</v>
      </c>
      <c r="D29" s="33">
        <f t="shared" si="1"/>
        <v>54.158736690988647</v>
      </c>
      <c r="E29" s="11">
        <f t="shared" si="2"/>
        <v>55537.382399999995</v>
      </c>
      <c r="F29" s="11">
        <f t="shared" si="0"/>
        <v>54152</v>
      </c>
      <c r="G29" s="83">
        <f t="shared" si="6"/>
        <v>2.4945043142688661</v>
      </c>
      <c r="H29" s="33">
        <f t="shared" si="3"/>
        <v>49517.190929041702</v>
      </c>
      <c r="I29" s="33">
        <f t="shared" si="5"/>
        <v>54.158736690988647</v>
      </c>
    </row>
    <row r="30" spans="1:9" x14ac:dyDescent="0.3">
      <c r="A30" s="16">
        <v>1814</v>
      </c>
      <c r="B30" s="14">
        <v>3702</v>
      </c>
      <c r="C30" s="14">
        <v>3697</v>
      </c>
      <c r="D30" s="33">
        <f t="shared" si="1"/>
        <v>57.209028693068326</v>
      </c>
      <c r="E30" s="11">
        <f t="shared" si="2"/>
        <v>4048.5071999999996</v>
      </c>
      <c r="F30" s="11">
        <f t="shared" si="0"/>
        <v>3697</v>
      </c>
      <c r="G30" s="83">
        <f t="shared" si="6"/>
        <v>8.682390388239881</v>
      </c>
      <c r="H30" s="33">
        <f t="shared" si="3"/>
        <v>3380.5779078273595</v>
      </c>
      <c r="I30" s="33">
        <f t="shared" si="5"/>
        <v>57.209028693068326</v>
      </c>
    </row>
    <row r="31" spans="1:9" x14ac:dyDescent="0.3">
      <c r="A31" s="16">
        <v>1815</v>
      </c>
      <c r="B31" s="14">
        <v>65932</v>
      </c>
      <c r="C31" s="14">
        <v>70319</v>
      </c>
      <c r="D31" s="33">
        <f t="shared" si="1"/>
        <v>54.149529358179443</v>
      </c>
      <c r="E31" s="11">
        <f t="shared" si="2"/>
        <v>72103.235199999996</v>
      </c>
      <c r="F31" s="11">
        <f t="shared" si="0"/>
        <v>70319</v>
      </c>
      <c r="G31" s="83">
        <f t="shared" si="6"/>
        <v>2.4745563705302374</v>
      </c>
      <c r="H31" s="33">
        <f t="shared" si="3"/>
        <v>64300.475493782011</v>
      </c>
      <c r="I31" s="33">
        <f t="shared" si="5"/>
        <v>54.149529358179443</v>
      </c>
    </row>
    <row r="32" spans="1:9" x14ac:dyDescent="0.3">
      <c r="A32" s="16">
        <v>1833</v>
      </c>
      <c r="B32" s="14">
        <v>50678</v>
      </c>
      <c r="C32" s="14">
        <v>53865</v>
      </c>
      <c r="D32" s="33">
        <f t="shared" si="1"/>
        <v>54.304122331350605</v>
      </c>
      <c r="E32" s="11">
        <f t="shared" si="2"/>
        <v>55421.460799999993</v>
      </c>
      <c r="F32" s="11">
        <f t="shared" si="0"/>
        <v>53865</v>
      </c>
      <c r="G32" s="83">
        <f t="shared" si="6"/>
        <v>2.8084081103831124</v>
      </c>
      <c r="H32" s="33">
        <f t="shared" si="3"/>
        <v>49254.754937820049</v>
      </c>
      <c r="I32" s="33">
        <f t="shared" si="5"/>
        <v>54.304122331350605</v>
      </c>
    </row>
    <row r="33" spans="1:9" x14ac:dyDescent="0.3">
      <c r="A33" s="16">
        <v>1665</v>
      </c>
      <c r="B33" s="14">
        <v>1037</v>
      </c>
      <c r="C33" s="14">
        <v>1098</v>
      </c>
      <c r="D33" s="33">
        <f t="shared" ref="D33:D37" si="7">I33</f>
        <v>54.477444525725438</v>
      </c>
      <c r="E33" s="11">
        <f t="shared" ref="E33:E37" si="8">B33 * 1.0936</f>
        <v>1134.0631999999998</v>
      </c>
      <c r="F33" s="11">
        <f t="shared" ref="F33:F37" si="9">C33</f>
        <v>1098</v>
      </c>
      <c r="G33" s="83">
        <f t="shared" ref="G33:G37" si="10">100- (F33/E33 *100)</f>
        <v>3.179999139377756</v>
      </c>
      <c r="H33" s="33">
        <f t="shared" ref="H33:H37" si="11">F33/1.0936</f>
        <v>1004.0234089246526</v>
      </c>
      <c r="I33" s="33">
        <f t="shared" ref="I33:I37" si="12">((B33*48)+(H33*10))/C33</f>
        <v>54.477444525725438</v>
      </c>
    </row>
    <row r="34" spans="1:9" x14ac:dyDescent="0.3">
      <c r="A34" s="16" t="s">
        <v>339</v>
      </c>
      <c r="B34" s="14">
        <v>61384</v>
      </c>
      <c r="C34" s="14">
        <v>5540</v>
      </c>
      <c r="D34" s="33">
        <f t="shared" si="7"/>
        <v>540.99104260033437</v>
      </c>
      <c r="E34" s="11">
        <f t="shared" si="8"/>
        <v>67129.542399999991</v>
      </c>
      <c r="F34" s="11">
        <f t="shared" si="9"/>
        <v>5540</v>
      </c>
      <c r="G34" s="83">
        <f t="shared" si="10"/>
        <v>91.747299621097966</v>
      </c>
      <c r="H34" s="33">
        <f t="shared" si="11"/>
        <v>5065.8376005852233</v>
      </c>
      <c r="I34" s="33">
        <f t="shared" si="12"/>
        <v>540.99104260033437</v>
      </c>
    </row>
    <row r="35" spans="1:9" x14ac:dyDescent="0.3">
      <c r="A35" s="16" t="s">
        <v>28</v>
      </c>
      <c r="B35" s="35">
        <v>100849</v>
      </c>
      <c r="C35" s="35">
        <v>701581</v>
      </c>
      <c r="D35" s="33">
        <f t="shared" si="7"/>
        <v>16.043887554636804</v>
      </c>
      <c r="E35" s="11">
        <f t="shared" si="8"/>
        <v>110288.46639999999</v>
      </c>
      <c r="F35" s="11">
        <f t="shared" si="9"/>
        <v>701581</v>
      </c>
      <c r="G35" s="83">
        <f t="shared" si="10"/>
        <v>-536.13270081702763</v>
      </c>
      <c r="H35" s="33">
        <f t="shared" si="11"/>
        <v>641533.46744696423</v>
      </c>
      <c r="I35" s="33">
        <f t="shared" si="12"/>
        <v>16.043887554636804</v>
      </c>
    </row>
    <row r="36" spans="1:9" x14ac:dyDescent="0.3">
      <c r="D36" s="33" t="e">
        <f t="shared" si="7"/>
        <v>#DIV/0!</v>
      </c>
      <c r="E36" s="11">
        <f t="shared" si="8"/>
        <v>0</v>
      </c>
      <c r="F36" s="11">
        <f t="shared" si="9"/>
        <v>0</v>
      </c>
      <c r="G36" s="83" t="e">
        <f t="shared" si="10"/>
        <v>#DIV/0!</v>
      </c>
      <c r="H36" s="33">
        <f t="shared" si="11"/>
        <v>0</v>
      </c>
      <c r="I36" s="33" t="e">
        <f t="shared" si="12"/>
        <v>#DIV/0!</v>
      </c>
    </row>
    <row r="37" spans="1:9" x14ac:dyDescent="0.3">
      <c r="D37" s="33" t="e">
        <f t="shared" si="7"/>
        <v>#DIV/0!</v>
      </c>
      <c r="E37" s="11">
        <f t="shared" si="8"/>
        <v>0</v>
      </c>
      <c r="F37" s="11">
        <f t="shared" si="9"/>
        <v>0</v>
      </c>
      <c r="G37" s="83" t="e">
        <f t="shared" si="10"/>
        <v>#DIV/0!</v>
      </c>
      <c r="H37" s="33">
        <f t="shared" si="11"/>
        <v>0</v>
      </c>
      <c r="I37" s="33" t="e">
        <f t="shared" si="12"/>
        <v>#DIV/0!</v>
      </c>
    </row>
    <row r="38" spans="1:9" x14ac:dyDescent="0.3">
      <c r="D38" s="33" t="e">
        <f t="shared" si="1"/>
        <v>#DIV/0!</v>
      </c>
      <c r="E38" s="11">
        <f t="shared" si="2"/>
        <v>0</v>
      </c>
      <c r="F38" s="11">
        <f t="shared" si="0"/>
        <v>0</v>
      </c>
      <c r="G38" s="83" t="e">
        <f t="shared" si="6"/>
        <v>#DIV/0!</v>
      </c>
      <c r="H38" s="33">
        <f t="shared" si="3"/>
        <v>0</v>
      </c>
      <c r="I38" s="33" t="e">
        <f t="shared" si="5"/>
        <v>#DIV/0!</v>
      </c>
    </row>
    <row r="39" spans="1: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1:9" x14ac:dyDescent="0.3">
      <c r="D40" s="33" t="e">
        <f t="shared" si="13"/>
        <v>#DIV/0!</v>
      </c>
      <c r="E40" s="11">
        <f t="shared" si="14"/>
        <v>0</v>
      </c>
      <c r="F40" s="11">
        <f t="shared" si="15"/>
        <v>0</v>
      </c>
      <c r="G40" s="83" t="e">
        <f t="shared" si="16"/>
        <v>#DIV/0!</v>
      </c>
      <c r="H40" s="33">
        <f t="shared" si="17"/>
        <v>0</v>
      </c>
      <c r="I40" s="33" t="e">
        <f t="shared" si="18"/>
        <v>#DIV/0!</v>
      </c>
    </row>
    <row r="41" spans="1:9" x14ac:dyDescent="0.3">
      <c r="D41" s="33" t="e">
        <f t="shared" si="13"/>
        <v>#DIV/0!</v>
      </c>
      <c r="E41" s="11">
        <f t="shared" si="14"/>
        <v>0</v>
      </c>
      <c r="F41" s="11">
        <f t="shared" si="15"/>
        <v>0</v>
      </c>
      <c r="G41" s="83" t="e">
        <f t="shared" si="16"/>
        <v>#DIV/0!</v>
      </c>
      <c r="H41" s="33">
        <f t="shared" si="17"/>
        <v>0</v>
      </c>
      <c r="I41" s="33" t="e">
        <f t="shared" si="18"/>
        <v>#DIV/0!</v>
      </c>
    </row>
    <row r="42" spans="1:9" x14ac:dyDescent="0.3">
      <c r="D42" s="33" t="e">
        <f t="shared" si="13"/>
        <v>#DIV/0!</v>
      </c>
      <c r="E42" s="11">
        <f t="shared" si="14"/>
        <v>0</v>
      </c>
      <c r="F42" s="11">
        <f t="shared" si="15"/>
        <v>0</v>
      </c>
      <c r="G42" s="83" t="e">
        <f t="shared" si="16"/>
        <v>#DIV/0!</v>
      </c>
      <c r="H42" s="33">
        <f t="shared" si="17"/>
        <v>0</v>
      </c>
      <c r="I42" s="33" t="e">
        <f t="shared" si="18"/>
        <v>#DIV/0!</v>
      </c>
    </row>
    <row r="43" spans="1:9" x14ac:dyDescent="0.3">
      <c r="D43" s="33" t="e">
        <f t="shared" si="13"/>
        <v>#DIV/0!</v>
      </c>
      <c r="E43" s="11">
        <f t="shared" si="14"/>
        <v>0</v>
      </c>
      <c r="F43" s="11">
        <f t="shared" si="15"/>
        <v>0</v>
      </c>
      <c r="G43" s="83" t="e">
        <f t="shared" si="16"/>
        <v>#DIV/0!</v>
      </c>
      <c r="H43" s="33">
        <f t="shared" si="17"/>
        <v>0</v>
      </c>
      <c r="I43" s="33" t="e">
        <f t="shared" si="18"/>
        <v>#DIV/0!</v>
      </c>
    </row>
    <row r="44" spans="1:9" x14ac:dyDescent="0.3">
      <c r="D44" s="33" t="e">
        <f t="shared" si="13"/>
        <v>#DIV/0!</v>
      </c>
      <c r="E44" s="11">
        <f t="shared" si="14"/>
        <v>0</v>
      </c>
      <c r="F44" s="11">
        <f t="shared" si="15"/>
        <v>0</v>
      </c>
      <c r="G44" s="83" t="e">
        <f t="shared" si="16"/>
        <v>#DIV/0!</v>
      </c>
      <c r="H44" s="33">
        <f t="shared" si="17"/>
        <v>0</v>
      </c>
      <c r="I44" s="33" t="e">
        <f t="shared" si="18"/>
        <v>#DIV/0!</v>
      </c>
    </row>
    <row r="45" spans="1: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1:9" x14ac:dyDescent="0.3">
      <c r="D46" s="33" t="e">
        <f t="shared" si="19"/>
        <v>#DIV/0!</v>
      </c>
      <c r="E46" s="11">
        <f t="shared" si="20"/>
        <v>0</v>
      </c>
      <c r="F46" s="11">
        <f t="shared" si="21"/>
        <v>0</v>
      </c>
      <c r="G46" s="83" t="e">
        <f t="shared" si="22"/>
        <v>#DIV/0!</v>
      </c>
      <c r="H46" s="33">
        <f t="shared" si="23"/>
        <v>0</v>
      </c>
      <c r="I46" s="33" t="e">
        <f t="shared" si="24"/>
        <v>#DIV/0!</v>
      </c>
    </row>
    <row r="47" spans="1:9" x14ac:dyDescent="0.3">
      <c r="D47" s="33" t="e">
        <f t="shared" si="19"/>
        <v>#DIV/0!</v>
      </c>
      <c r="E47" s="11">
        <f t="shared" si="20"/>
        <v>0</v>
      </c>
      <c r="F47" s="11">
        <f t="shared" si="21"/>
        <v>0</v>
      </c>
      <c r="G47" s="83" t="e">
        <f t="shared" si="22"/>
        <v>#DIV/0!</v>
      </c>
      <c r="H47" s="33">
        <f t="shared" si="23"/>
        <v>0</v>
      </c>
      <c r="I47" s="33" t="e">
        <f t="shared" si="24"/>
        <v>#DIV/0!</v>
      </c>
    </row>
    <row r="48" spans="1: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22550</v>
      </c>
    </row>
    <row r="14" spans="2:10" x14ac:dyDescent="0.3">
      <c r="B14" s="1">
        <v>45958</v>
      </c>
      <c r="C14" t="s">
        <v>116</v>
      </c>
      <c r="D14">
        <f>SUMIFS(Table14[Debit], Table14[Date], Table5[[#This Row],[Date]], Table14[Party], "Rashan")</f>
        <v>0</v>
      </c>
      <c r="H14" s="1">
        <v>45958</v>
      </c>
      <c r="J14">
        <f>SUMIFS(Table14[Debit], Table14[Date], Table15[[#This Row],[Date]], Table14[Party], "Parts")</f>
        <v>1200</v>
      </c>
    </row>
    <row r="15" spans="2:10" x14ac:dyDescent="0.3">
      <c r="B15" s="1">
        <v>45959</v>
      </c>
      <c r="C15" t="s">
        <v>116</v>
      </c>
      <c r="D15">
        <f>SUMIFS(Table14[Debit], Table14[Date], Table5[[#This Row],[Date]], Table14[Party], "Rashan")</f>
        <v>0</v>
      </c>
      <c r="H15" s="1">
        <v>45959</v>
      </c>
      <c r="J15">
        <f>SUMIFS(Table14[Debit], Table14[Date], Table15[[#This Row],[Date]], Table14[Party], "Parts")</f>
        <v>5040</v>
      </c>
    </row>
    <row r="16" spans="2:10" x14ac:dyDescent="0.3">
      <c r="B16" s="1">
        <v>45960</v>
      </c>
      <c r="C16" t="s">
        <v>116</v>
      </c>
      <c r="D16">
        <f>SUMIFS(Table14[Debit], Table14[Date], Table5[[#This Row],[Date]], Table14[Party], "Rashan")</f>
        <v>0</v>
      </c>
      <c r="H16" s="1">
        <v>45960</v>
      </c>
      <c r="J16">
        <f>SUMIFS(Table14[Debit], Table14[Date], Table15[[#This Row],[Date]], Table14[Party], "Parts")</f>
        <v>890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225610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Billing!Q5</f>
        <v>BSC</v>
      </c>
      <c r="B2" s="14">
        <f>Billing!AA5</f>
        <v>16815241</v>
      </c>
      <c r="C2" s="101">
        <f>Billing!AB5</f>
        <v>604000.03877103329</v>
      </c>
    </row>
    <row r="3" spans="1:3" ht="18" x14ac:dyDescent="0.35">
      <c r="A3" s="86" t="str">
        <f>Billing!Q6</f>
        <v>Ejaz Sahab</v>
      </c>
      <c r="B3" s="14">
        <f>Billing!AA6</f>
        <v>859904</v>
      </c>
      <c r="C3" s="101">
        <f>Billing!AB6</f>
        <v>1155421.5303584493</v>
      </c>
    </row>
    <row r="4" spans="1:3" ht="18" x14ac:dyDescent="0.35">
      <c r="A4" s="86" t="str">
        <f>Billing!Q7</f>
        <v>Arshad</v>
      </c>
      <c r="B4" s="14">
        <f>Billing!AA7</f>
        <v>3393935</v>
      </c>
      <c r="C4" s="102">
        <f>Billing!AB7</f>
        <v>192548.17483540624</v>
      </c>
    </row>
    <row r="5" spans="1:3" ht="18" x14ac:dyDescent="0.35">
      <c r="A5" s="86" t="str">
        <f>Billing!Q8</f>
        <v>Shehzad Kamoki</v>
      </c>
      <c r="B5" s="14">
        <f>Billing!AA8</f>
        <v>1268740</v>
      </c>
      <c r="C5" s="102">
        <f>Billing!AB8</f>
        <v>530.34403803967871</v>
      </c>
    </row>
    <row r="6" spans="1:3" ht="18" x14ac:dyDescent="0.35">
      <c r="A6" s="86" t="str">
        <f>Billing!Q9</f>
        <v>Sufi Nawaz Sahab</v>
      </c>
      <c r="B6" s="14">
        <f>Billing!AA9</f>
        <v>10129100</v>
      </c>
      <c r="C6" s="101">
        <f>Billing!AB9</f>
        <v>1109704.4725676663</v>
      </c>
    </row>
    <row r="7" spans="1:3" ht="18" x14ac:dyDescent="0.35">
      <c r="A7" s="86" t="str">
        <f>Billing!Q10</f>
        <v>Sajad Khan</v>
      </c>
      <c r="B7" s="14">
        <f>Billing!AA10</f>
        <v>4817947</v>
      </c>
      <c r="C7" s="101">
        <f>Billing!AB10</f>
        <v>917.30138990469277</v>
      </c>
    </row>
    <row r="8" spans="1:3" ht="18" x14ac:dyDescent="0.35">
      <c r="A8" s="86" t="str">
        <f>Billing!Q11</f>
        <v>Raaz Fabrics</v>
      </c>
      <c r="B8" s="14">
        <f>Billing!AA11</f>
        <v>600000</v>
      </c>
      <c r="C8" s="101">
        <f>Billing!AB11</f>
        <v>90919.89758595475</v>
      </c>
    </row>
    <row r="9" spans="1:3" ht="18" x14ac:dyDescent="0.35">
      <c r="A9" s="86" t="str">
        <f>Billing!Q12</f>
        <v>Azam</v>
      </c>
      <c r="B9" s="14">
        <f>Billing!AA12</f>
        <v>1617620</v>
      </c>
      <c r="C9" s="102">
        <f>Billing!AB12</f>
        <v>467.05193855194375</v>
      </c>
    </row>
    <row r="10" spans="1:3" ht="18" x14ac:dyDescent="0.35">
      <c r="A10" s="86" t="str">
        <f>Billing!Q13</f>
        <v>Ubaidullah</v>
      </c>
      <c r="B10" s="14">
        <f>Billing!AA13</f>
        <v>630150</v>
      </c>
      <c r="C10" s="101">
        <f>Billing!AB13</f>
        <v>11124.689100219635</v>
      </c>
    </row>
    <row r="11" spans="1:3" ht="18" x14ac:dyDescent="0.35">
      <c r="A11" s="86" t="str">
        <f>Billing!Q14</f>
        <v>Ashraf Zia</v>
      </c>
      <c r="B11" s="14">
        <f>Billing!AA14</f>
        <v>0</v>
      </c>
      <c r="C11" s="101">
        <f>Billing!AB14</f>
        <v>255724.21360643749</v>
      </c>
    </row>
    <row r="12" spans="1:3" ht="18" x14ac:dyDescent="0.35">
      <c r="A12" s="86" t="str">
        <f>Billing!Q15</f>
        <v>Hafiz Qureshi</v>
      </c>
      <c r="B12" s="14">
        <f>Billing!AA15</f>
        <v>400000</v>
      </c>
      <c r="C12" s="101">
        <f>Billing!AB15</f>
        <v>542053.76737381134</v>
      </c>
    </row>
    <row r="13" spans="1:3" ht="18" x14ac:dyDescent="0.35">
      <c r="A13" s="86" t="str">
        <f>Billing!Q16</f>
        <v>Badshah Fabrics</v>
      </c>
      <c r="B13" s="14">
        <f>Billing!AA16</f>
        <v>1870000</v>
      </c>
      <c r="C13" s="101">
        <f>Billing!AB16</f>
        <v>1475932.6993416245</v>
      </c>
    </row>
    <row r="14" spans="1:3" ht="18" x14ac:dyDescent="0.35">
      <c r="A14" t="str">
        <f>Billing!Q17</f>
        <v>Reject</v>
      </c>
      <c r="B14" s="14">
        <f>Billing!AA17</f>
        <v>0</v>
      </c>
      <c r="C14" s="101">
        <f>Billing!AB17</f>
        <v>0</v>
      </c>
    </row>
    <row r="15" spans="1:3" ht="18" x14ac:dyDescent="0.35">
      <c r="A15" t="str">
        <f>Billing!Q18</f>
        <v>Amjad 7up</v>
      </c>
      <c r="B15" s="14">
        <f>Billing!AA18</f>
        <v>480000</v>
      </c>
      <c r="C15" s="101">
        <f>Billing!AB18</f>
        <v>3851.4996342355735</v>
      </c>
    </row>
    <row r="16" spans="1:3" ht="18" x14ac:dyDescent="0.35">
      <c r="A16" t="str">
        <f>Billing!Q19</f>
        <v>Hazrat Khan</v>
      </c>
      <c r="B16" s="14">
        <f>Billing!AA19</f>
        <v>95000</v>
      </c>
      <c r="C16" s="101">
        <f>Billing!AB19</f>
        <v>-5844.9158741770225</v>
      </c>
    </row>
    <row r="17" spans="1:3" ht="18" x14ac:dyDescent="0.35">
      <c r="A17" t="str">
        <f>Billing!Q20</f>
        <v>Haseeb Shamsi</v>
      </c>
      <c r="B17" s="14">
        <f>Billing!AA20</f>
        <v>256200</v>
      </c>
      <c r="C17" s="101">
        <f>Billing!AB20</f>
        <v>72.860277981031686</v>
      </c>
    </row>
    <row r="18" spans="1:3" ht="18" x14ac:dyDescent="0.35">
      <c r="A18" t="str">
        <f>Billing!Q21</f>
        <v>Faizan</v>
      </c>
      <c r="B18" s="14">
        <f>Billing!AA21</f>
        <v>415571</v>
      </c>
      <c r="C18" s="102">
        <f>Billing!AB21</f>
        <v>10.565471836132929</v>
      </c>
    </row>
    <row r="19" spans="1:3" ht="18" x14ac:dyDescent="0.35">
      <c r="A19" t="str">
        <f>Billing!Q22</f>
        <v>Shafique Ansari</v>
      </c>
      <c r="B19" s="14">
        <f>Billing!AA22</f>
        <v>98000</v>
      </c>
      <c r="C19" s="102">
        <f>Billing!AB22</f>
        <v>643360.64374542807</v>
      </c>
    </row>
    <row r="20" spans="1:3" ht="18" x14ac:dyDescent="0.35">
      <c r="A20" t="str">
        <f>Billing!Q23</f>
        <v>Amjad sohail</v>
      </c>
      <c r="B20" s="14">
        <f>Billing!AA23</f>
        <v>300000</v>
      </c>
      <c r="C20" s="101">
        <f>Billing!AB23</f>
        <v>-280243.23335771763</v>
      </c>
    </row>
    <row r="21" spans="1:3" ht="18" x14ac:dyDescent="0.35">
      <c r="A21">
        <f>Billing!Q24</f>
        <v>0</v>
      </c>
      <c r="B21" s="14">
        <f>Billing!AA24</f>
        <v>0</v>
      </c>
      <c r="C21" s="101">
        <f>Billing!AB24</f>
        <v>0</v>
      </c>
    </row>
    <row r="22" spans="1:3" ht="18" x14ac:dyDescent="0.35">
      <c r="A22">
        <f>Billing!Q25</f>
        <v>0</v>
      </c>
      <c r="B22" s="14">
        <f>Billing!AA25</f>
        <v>0</v>
      </c>
      <c r="C22" s="101">
        <f>Billing!AB25</f>
        <v>0</v>
      </c>
    </row>
    <row r="23" spans="1:3" ht="18" x14ac:dyDescent="0.35">
      <c r="A23">
        <f>Billing!Q26</f>
        <v>0</v>
      </c>
      <c r="B23" s="14">
        <f>Billing!AA26</f>
        <v>0</v>
      </c>
      <c r="C23" s="101">
        <f>Billing!AB26</f>
        <v>0</v>
      </c>
    </row>
    <row r="24" spans="1:3" ht="18" x14ac:dyDescent="0.35">
      <c r="A24">
        <f>Billing!Q27</f>
        <v>0</v>
      </c>
      <c r="B24" s="14">
        <f>Billing!AA27</f>
        <v>0</v>
      </c>
      <c r="C24" s="101">
        <f>Billing!AB27</f>
        <v>0</v>
      </c>
    </row>
    <row r="25" spans="1:3" ht="18" x14ac:dyDescent="0.35">
      <c r="A25">
        <f>Billing!Q28</f>
        <v>0</v>
      </c>
      <c r="B25" s="14">
        <f>Billing!AA28</f>
        <v>0</v>
      </c>
      <c r="C25" s="101">
        <f>Billing!AB28</f>
        <v>0</v>
      </c>
    </row>
    <row r="26" spans="1:3" ht="18" x14ac:dyDescent="0.35">
      <c r="A26">
        <f>Billing!Q29</f>
        <v>0</v>
      </c>
      <c r="B26" s="14">
        <f>Billing!AA29</f>
        <v>0</v>
      </c>
      <c r="C26" s="101">
        <f>Billing!AB29</f>
        <v>0</v>
      </c>
    </row>
    <row r="27" spans="1:3" ht="18" x14ac:dyDescent="0.35">
      <c r="A27">
        <f>Billing!Q30</f>
        <v>0</v>
      </c>
      <c r="B27" s="14">
        <f>Billing!AA30</f>
        <v>0</v>
      </c>
      <c r="C27" s="101">
        <f>Billing!AB30</f>
        <v>0</v>
      </c>
    </row>
    <row r="28" spans="1:3" ht="18" x14ac:dyDescent="0.35">
      <c r="A28">
        <f>Billing!Q31</f>
        <v>0</v>
      </c>
      <c r="B28" s="14">
        <f>Billing!AA31</f>
        <v>0</v>
      </c>
      <c r="C28" s="101">
        <f>Billing!AB31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Billing!Q5</f>
        <v>BSC</v>
      </c>
      <c r="B2" s="10">
        <f>_xlfn.XLOOKUP($A2,[1]Billing!$O$5:$O$29,[1]Billing!$W$5:$W$29)</f>
        <v>12854653</v>
      </c>
    </row>
    <row r="3" spans="1:2" x14ac:dyDescent="0.3">
      <c r="A3" t="str">
        <f>Billing!Q6</f>
        <v>Ejaz Sahab</v>
      </c>
      <c r="B3" s="10">
        <f>_xlfn.XLOOKUP($A3,[1]Billing!$O$5:$O$29,[1]Billing!$W$5:$W$29)</f>
        <v>859904</v>
      </c>
    </row>
    <row r="4" spans="1:2" x14ac:dyDescent="0.3">
      <c r="A4" t="str">
        <f>Billing!Q7</f>
        <v>Arshad</v>
      </c>
      <c r="B4" s="10">
        <f>_xlfn.XLOOKUP($A4,[1]Billing!$O$5:$O$29,[1]Billing!$W$5:$W$29)</f>
        <v>2306701</v>
      </c>
    </row>
    <row r="5" spans="1:2" x14ac:dyDescent="0.3">
      <c r="A5" t="str">
        <f>Billing!Q8</f>
        <v>Shehzad Kamoki</v>
      </c>
      <c r="B5" s="10">
        <f>_xlfn.XLOOKUP($A5,[1]Billing!$O$5:$O$29,[1]Billing!$W$5:$W$29)</f>
        <v>1268740</v>
      </c>
    </row>
    <row r="6" spans="1:2" x14ac:dyDescent="0.3">
      <c r="A6" t="str">
        <f>Billing!Q9</f>
        <v>Sufi Nawaz Sahab</v>
      </c>
      <c r="B6" s="10">
        <f>_xlfn.XLOOKUP($A6,[1]Billing!$O$5:$O$29,[1]Billing!$W$5:$W$29)</f>
        <v>8629100</v>
      </c>
    </row>
    <row r="7" spans="1:2" x14ac:dyDescent="0.3">
      <c r="A7" t="str">
        <f>Billing!Q10</f>
        <v>Sajad Khan</v>
      </c>
      <c r="B7" s="10">
        <f>_xlfn.XLOOKUP($A7,[1]Billing!$O$5:$O$29,[1]Billing!$W$5:$W$29)</f>
        <v>3751266</v>
      </c>
    </row>
    <row r="8" spans="1:2" x14ac:dyDescent="0.3">
      <c r="A8" t="str">
        <f>Billing!Q11</f>
        <v>Raaz Fabrics</v>
      </c>
      <c r="B8" s="10">
        <f>_xlfn.XLOOKUP($A8,[1]Billing!$O$5:$O$29,[1]Billing!$W$5:$W$29)</f>
        <v>600000</v>
      </c>
    </row>
    <row r="9" spans="1:2" x14ac:dyDescent="0.3">
      <c r="A9" t="str">
        <f>Billing!Q12</f>
        <v>Azam</v>
      </c>
      <c r="B9" s="10">
        <f>_xlfn.XLOOKUP($A9,[1]Billing!$O$5:$O$29,[1]Billing!$W$5:$W$29)</f>
        <v>1617620</v>
      </c>
    </row>
    <row r="10" spans="1:2" x14ac:dyDescent="0.3">
      <c r="A10" t="str">
        <f>Billing!Q13</f>
        <v>Ubaidullah</v>
      </c>
      <c r="B10" s="10">
        <f>_xlfn.XLOOKUP($A10,[1]Billing!$O$5:$O$29,[1]Billing!$W$5:$W$29)</f>
        <v>451150</v>
      </c>
    </row>
    <row r="11" spans="1:2" x14ac:dyDescent="0.3">
      <c r="A11" t="str">
        <f>Billing!Q14</f>
        <v>Ashraf Zia</v>
      </c>
      <c r="B11" s="10">
        <f>_xlfn.XLOOKUP($A11,[1]Billing!$O$5:$O$29,[1]Billing!$W$5:$W$29)</f>
        <v>0</v>
      </c>
    </row>
    <row r="12" spans="1:2" x14ac:dyDescent="0.3">
      <c r="A12" t="str">
        <f>Billing!Q15</f>
        <v>Hafiz Qureshi</v>
      </c>
      <c r="B12" s="10">
        <f>_xlfn.XLOOKUP($A12,[1]Billing!$O$5:$O$29,[1]Billing!$W$5:$W$29)</f>
        <v>400000</v>
      </c>
    </row>
    <row r="13" spans="1:2" x14ac:dyDescent="0.3">
      <c r="A13" t="str">
        <f>Billing!Q16</f>
        <v>Badshah Fabrics</v>
      </c>
      <c r="B13" s="10">
        <f>_xlfn.XLOOKUP($A13,[1]Billing!$O$5:$O$29,[1]Billing!$W$5:$W$29)</f>
        <v>1370000</v>
      </c>
    </row>
    <row r="14" spans="1:2" x14ac:dyDescent="0.3">
      <c r="A14" t="str">
        <f>Billing!Q17</f>
        <v>Reject</v>
      </c>
      <c r="B14" s="10">
        <f>_xlfn.XLOOKUP($A14,[1]Billing!$O$5:$O$29,[1]Billing!$W$5:$W$29)</f>
        <v>0</v>
      </c>
    </row>
    <row r="15" spans="1:2" x14ac:dyDescent="0.3">
      <c r="A15" t="str">
        <f>Billing!Q18</f>
        <v>Amjad 7up</v>
      </c>
      <c r="B15" s="10">
        <f>_xlfn.XLOOKUP($A15,[1]Billing!$O$5:$O$29,[1]Billing!$W$5:$W$29)</f>
        <v>0</v>
      </c>
    </row>
    <row r="16" spans="1:2" x14ac:dyDescent="0.3">
      <c r="A16" t="str">
        <f>Billing!Q19</f>
        <v>Hazrat Khan</v>
      </c>
      <c r="B16" s="10">
        <f>_xlfn.XLOOKUP($A16,[1]Billing!$O$5:$O$29,[1]Billing!$W$5:$W$29)</f>
        <v>0</v>
      </c>
    </row>
    <row r="17" spans="1:2" x14ac:dyDescent="0.3">
      <c r="A17" t="str">
        <f>Billing!Q20</f>
        <v>Haseeb Shamsi</v>
      </c>
      <c r="B17" s="10">
        <f>_xlfn.XLOOKUP($A17,[1]Billing!$O$5:$O$29,[1]Billing!$W$5:$W$29)</f>
        <v>0</v>
      </c>
    </row>
    <row r="18" spans="1:2" x14ac:dyDescent="0.3">
      <c r="A18" t="str">
        <f>Billing!Q21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2025-10-30T19:46:48Z</dcterms:modified>
  <cp:category/>
  <cp:contentStatus/>
</cp:coreProperties>
</file>