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7.xml" ContentType="application/vnd.openxmlformats-officedocument.spreadsheetml.table+xml"/>
  <Override PartName="/xl/slicers/slicer4.xml" ContentType="application/vnd.ms-excel.slicer+xml"/>
  <Override PartName="/xl/tables/table18.xml" ContentType="application/vnd.openxmlformats-officedocument.spreadsheetml.table+xml"/>
  <Override PartName="/xl/tables/table19.xml" ContentType="application/vnd.openxmlformats-officedocument.spreadsheetml.table+xml"/>
  <Override PartName="/xl/drawings/drawing5.xml" ContentType="application/vnd.openxmlformats-officedocument.drawing+xml"/>
  <Override PartName="/xl/tables/table20.xml" ContentType="application/vnd.openxmlformats-officedocument.spreadsheetml.table+xml"/>
  <Override PartName="/xl/tables/table21.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neve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1096" documentId="8_{4BA2F63F-AD4E-4F04-A724-5F712AF3C5FD}" xr6:coauthVersionLast="47" xr6:coauthVersionMax="47" xr10:uidLastSave="{10749D9E-EC70-402C-A409-218C0117B414}"/>
  <bookViews>
    <workbookView xWindow="-108" yWindow="-108" windowWidth="23256" windowHeight="12456" activeTab="5"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39" r:id="rId19"/>
    <pivotCache cacheId="43" r:id="rId20"/>
    <pivotCache cacheId="48" r:id="rId21"/>
    <pivotCache cacheId="54" r:id="rId22"/>
    <pivotCache cacheId="58" r:id="rId23"/>
    <pivotCache cacheId="65"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0" i="6" l="1"/>
  <c r="I20" i="6" s="1"/>
  <c r="G20" i="6"/>
  <c r="G21" i="6"/>
  <c r="I21" i="6"/>
  <c r="H19" i="6"/>
  <c r="I19" i="6" s="1"/>
  <c r="H16" i="6"/>
  <c r="I16" i="6" s="1"/>
  <c r="H17" i="6"/>
  <c r="I17" i="6" s="1"/>
  <c r="H18" i="6"/>
  <c r="I18" i="6" s="1"/>
  <c r="G18" i="6"/>
  <c r="G19" i="6"/>
  <c r="G16" i="6"/>
  <c r="G17" i="6"/>
  <c r="I47" i="1"/>
  <c r="J47" i="1" a="1"/>
  <c r="J47" i="1" s="1"/>
  <c r="I48" i="1"/>
  <c r="J48" i="1" a="1"/>
  <c r="J48" i="1" s="1"/>
  <c r="I49" i="1"/>
  <c r="J49" i="1" a="1"/>
  <c r="J49" i="1"/>
  <c r="I50" i="1"/>
  <c r="J50" i="1" s="1" a="1"/>
  <c r="J50" i="1" s="1"/>
  <c r="I44" i="1"/>
  <c r="J44" i="1" a="1"/>
  <c r="J44" i="1" s="1"/>
  <c r="I45" i="1"/>
  <c r="J45" i="1" a="1"/>
  <c r="J45" i="1" s="1"/>
  <c r="I46" i="1"/>
  <c r="J46" i="1" a="1"/>
  <c r="J46" i="1"/>
  <c r="C37" i="17"/>
  <c r="C48" i="17"/>
  <c r="I43" i="1"/>
  <c r="J43" i="1" a="1"/>
  <c r="J43" i="1"/>
  <c r="I42" i="1"/>
  <c r="J42" i="1" a="1"/>
  <c r="J42" i="1"/>
  <c r="I41" i="1"/>
  <c r="J41" i="1" a="1"/>
  <c r="J41" i="1"/>
  <c r="I40" i="1"/>
  <c r="J40" i="1" a="1"/>
  <c r="J40" i="1" s="1"/>
  <c r="I39" i="1"/>
  <c r="I38" i="1"/>
  <c r="I37" i="1"/>
  <c r="I36" i="1"/>
  <c r="I35" i="1"/>
  <c r="J35" i="1" a="1"/>
  <c r="J35" i="1" s="1"/>
  <c r="K51" i="1" s="1"/>
  <c r="I34" i="1"/>
  <c r="J34" i="1" a="1"/>
  <c r="J34" i="1"/>
  <c r="I33" i="1"/>
  <c r="J33" i="1" a="1"/>
  <c r="J33" i="1" s="1"/>
  <c r="I32" i="1"/>
  <c r="J32" i="1" a="1"/>
  <c r="J32" i="1" s="1"/>
  <c r="I31" i="1"/>
  <c r="J31" i="1" a="1"/>
  <c r="J31" i="1" s="1"/>
  <c r="I30" i="1"/>
  <c r="J30" i="1" a="1"/>
  <c r="J30" i="1"/>
  <c r="I29" i="1"/>
  <c r="J29" i="1" a="1"/>
  <c r="J29" i="1" s="1"/>
  <c r="I28" i="1"/>
  <c r="J28" i="1" a="1"/>
  <c r="J28" i="1" s="1"/>
  <c r="I27" i="1"/>
  <c r="I26" i="1"/>
  <c r="I25" i="1"/>
  <c r="I24" i="1"/>
  <c r="J24" i="1" a="1"/>
  <c r="J24" i="1" s="1"/>
  <c r="I23" i="1"/>
  <c r="J23" i="1" a="1"/>
  <c r="J23" i="1" s="1"/>
  <c r="I22" i="1"/>
  <c r="J22" i="1" a="1"/>
  <c r="J22" i="1" s="1"/>
  <c r="I21" i="1"/>
  <c r="I20" i="1"/>
  <c r="I19" i="1"/>
  <c r="J19" i="1" a="1"/>
  <c r="J19" i="1"/>
  <c r="I18" i="1"/>
  <c r="J18" i="1" a="1"/>
  <c r="J18" i="1" s="1"/>
  <c r="I17" i="1"/>
  <c r="J17" i="1" a="1"/>
  <c r="J17" i="1"/>
  <c r="I16" i="1"/>
  <c r="J16" i="1" a="1"/>
  <c r="J16" i="1"/>
  <c r="I15" i="1"/>
  <c r="J15" i="1" a="1"/>
  <c r="J15" i="1"/>
  <c r="I14" i="1"/>
  <c r="I13" i="1"/>
  <c r="I12" i="1"/>
  <c r="I11" i="1"/>
  <c r="J11" i="1" a="1"/>
  <c r="J11" i="1"/>
  <c r="I10" i="1"/>
  <c r="J10" i="1" a="1"/>
  <c r="J10" i="1"/>
  <c r="I9" i="1"/>
  <c r="I8" i="1"/>
  <c r="I7" i="1"/>
  <c r="J7" i="1" a="1"/>
  <c r="J7" i="1"/>
  <c r="I6" i="1"/>
  <c r="I5" i="1"/>
  <c r="I2" i="1"/>
  <c r="I3" i="1"/>
  <c r="I4" i="1"/>
  <c r="I51" i="1" a="1"/>
  <c r="I51" i="1" s="1"/>
  <c r="J5" i="1" a="1"/>
  <c r="J5" i="1" s="1"/>
  <c r="J4" i="1" a="1"/>
  <c r="J4" i="1"/>
  <c r="J3" i="1" a="1"/>
  <c r="J3" i="1"/>
  <c r="J2" i="1" a="1"/>
  <c r="J2" i="1" s="1"/>
  <c r="P25" i="9" a="1"/>
  <c r="P25" i="9" s="1"/>
  <c r="Q25" i="9" a="1"/>
  <c r="Q25" i="9" s="1"/>
  <c r="R25" i="9" a="1"/>
  <c r="R25" i="9" s="1"/>
  <c r="S25" i="9" a="1"/>
  <c r="S25" i="9" s="1"/>
  <c r="T25" i="9" a="1"/>
  <c r="T25" i="9" s="1"/>
  <c r="U25" i="9" a="1"/>
  <c r="U25" i="9" s="1"/>
  <c r="W25" i="9"/>
  <c r="B22" i="20" s="1"/>
  <c r="P26" i="9" a="1"/>
  <c r="P26" i="9" s="1"/>
  <c r="Q26" i="9" a="1"/>
  <c r="Q26" i="9" s="1"/>
  <c r="R26" i="9" a="1"/>
  <c r="R26" i="9" s="1"/>
  <c r="S26" i="9" a="1"/>
  <c r="S26" i="9" s="1"/>
  <c r="T26" i="9" a="1"/>
  <c r="T26" i="9" s="1"/>
  <c r="U26" i="9" a="1"/>
  <c r="U26" i="9" s="1"/>
  <c r="W26" i="9"/>
  <c r="B23" i="20" s="1"/>
  <c r="P27" i="9" a="1"/>
  <c r="P27" i="9" s="1"/>
  <c r="Q27" i="9" a="1"/>
  <c r="Q27" i="9" s="1"/>
  <c r="R27" i="9" a="1"/>
  <c r="R27" i="9" s="1"/>
  <c r="S27" i="9" a="1"/>
  <c r="S27" i="9" s="1"/>
  <c r="T27" i="9" a="1"/>
  <c r="T27" i="9" s="1"/>
  <c r="V27" i="9" s="1"/>
  <c r="U27" i="9" a="1"/>
  <c r="U27" i="9" s="1"/>
  <c r="W27" i="9"/>
  <c r="B24" i="20" s="1"/>
  <c r="P28" i="9" a="1"/>
  <c r="P28" i="9"/>
  <c r="Q28" i="9" a="1"/>
  <c r="Q28" i="9"/>
  <c r="R28" i="9" a="1"/>
  <c r="R28" i="9" s="1"/>
  <c r="S28" i="9" a="1"/>
  <c r="S28" i="9"/>
  <c r="T28" i="9" a="1"/>
  <c r="T28" i="9" s="1"/>
  <c r="U28" i="9" a="1"/>
  <c r="U28" i="9" s="1"/>
  <c r="W28" i="9"/>
  <c r="B25" i="20" s="1"/>
  <c r="P29" i="9" a="1"/>
  <c r="P29" i="9" s="1"/>
  <c r="Q29" i="9" a="1"/>
  <c r="Q29" i="9"/>
  <c r="R29" i="9" a="1"/>
  <c r="R29" i="9" s="1"/>
  <c r="S29" i="9" a="1"/>
  <c r="S29" i="9" s="1"/>
  <c r="T29" i="9" a="1"/>
  <c r="T29" i="9" s="1"/>
  <c r="U29" i="9" a="1"/>
  <c r="U29" i="9" s="1"/>
  <c r="W29" i="9"/>
  <c r="B26" i="20" s="1"/>
  <c r="P30" i="9" a="1"/>
  <c r="P30" i="9"/>
  <c r="Q30" i="9" a="1"/>
  <c r="Q30" i="9" s="1"/>
  <c r="R30" i="9" a="1"/>
  <c r="R30" i="9" s="1"/>
  <c r="S30" i="9" a="1"/>
  <c r="S30" i="9" s="1"/>
  <c r="T30" i="9" a="1"/>
  <c r="T30" i="9" s="1"/>
  <c r="U30" i="9" a="1"/>
  <c r="U30" i="9"/>
  <c r="W30" i="9"/>
  <c r="B27" i="20" s="1"/>
  <c r="P31" i="9" a="1"/>
  <c r="P31" i="9" s="1"/>
  <c r="Q31" i="9" a="1"/>
  <c r="Q31" i="9" s="1"/>
  <c r="R31" i="9" a="1"/>
  <c r="R31" i="9" s="1"/>
  <c r="S31" i="9" a="1"/>
  <c r="S31" i="9" s="1"/>
  <c r="T31" i="9" a="1"/>
  <c r="T31" i="9" s="1"/>
  <c r="U31" i="9" a="1"/>
  <c r="U31" i="9" s="1"/>
  <c r="W31" i="9"/>
  <c r="B28" i="20" s="1"/>
  <c r="P32" i="9" a="1"/>
  <c r="P32" i="9" s="1"/>
  <c r="Q32" i="9" a="1"/>
  <c r="Q32" i="9" s="1"/>
  <c r="R32" i="9" a="1"/>
  <c r="R32" i="9" s="1"/>
  <c r="S32" i="9" a="1"/>
  <c r="S32" i="9" s="1"/>
  <c r="T32" i="9" a="1"/>
  <c r="T32" i="9" s="1"/>
  <c r="U32" i="9" a="1"/>
  <c r="U32" i="9" s="1"/>
  <c r="W32" i="9"/>
  <c r="P33" i="9" a="1"/>
  <c r="P33" i="9" s="1"/>
  <c r="Q33" i="9" a="1"/>
  <c r="Q33" i="9" s="1"/>
  <c r="R33" i="9" a="1"/>
  <c r="R33" i="9"/>
  <c r="S33" i="9" a="1"/>
  <c r="S33" i="9" s="1"/>
  <c r="T33" i="9" a="1"/>
  <c r="T33" i="9" s="1"/>
  <c r="U33" i="9" a="1"/>
  <c r="U33" i="9"/>
  <c r="W33" i="9"/>
  <c r="P34" i="9" a="1"/>
  <c r="P34" i="9" s="1"/>
  <c r="Q34" i="9" a="1"/>
  <c r="Q34" i="9" s="1"/>
  <c r="R34" i="9" a="1"/>
  <c r="R34" i="9" s="1"/>
  <c r="S34" i="9" a="1"/>
  <c r="S34" i="9" s="1"/>
  <c r="T34" i="9" a="1"/>
  <c r="T34" i="9" s="1"/>
  <c r="U34" i="9" a="1"/>
  <c r="U34" i="9" s="1"/>
  <c r="W34" i="9"/>
  <c r="P35" i="9" a="1"/>
  <c r="P35" i="9" s="1"/>
  <c r="Q35" i="9" a="1"/>
  <c r="Q35" i="9"/>
  <c r="R35" i="9" a="1"/>
  <c r="R35" i="9" s="1"/>
  <c r="S35" i="9" a="1"/>
  <c r="S35" i="9" s="1"/>
  <c r="T35" i="9" a="1"/>
  <c r="T35" i="9" s="1"/>
  <c r="U35" i="9" a="1"/>
  <c r="U35" i="9"/>
  <c r="W35" i="9"/>
  <c r="H15" i="6"/>
  <c r="I15" i="6" s="1"/>
  <c r="G13" i="6"/>
  <c r="G14" i="6"/>
  <c r="G15" i="6"/>
  <c r="I13" i="6"/>
  <c r="I14" i="6"/>
  <c r="J8" i="1" a="1"/>
  <c r="J8" i="1"/>
  <c r="J12" i="1" a="1"/>
  <c r="J12" i="1"/>
  <c r="J20" i="1" a="1"/>
  <c r="J20" i="1"/>
  <c r="J36" i="1" a="1"/>
  <c r="J36" i="1"/>
  <c r="J9" i="1" a="1"/>
  <c r="J9" i="1"/>
  <c r="J13" i="1" a="1"/>
  <c r="J13" i="1" s="1"/>
  <c r="J21" i="1" a="1"/>
  <c r="J21" i="1"/>
  <c r="J25" i="1" a="1"/>
  <c r="J25" i="1"/>
  <c r="J37" i="1" a="1"/>
  <c r="J37" i="1"/>
  <c r="J14" i="1" a="1"/>
  <c r="J14" i="1"/>
  <c r="J26" i="1" a="1"/>
  <c r="J26" i="1"/>
  <c r="J38" i="1" a="1"/>
  <c r="J38" i="1" s="1"/>
  <c r="J27" i="1" a="1"/>
  <c r="J27" i="1"/>
  <c r="J39" i="1" a="1"/>
  <c r="J39" i="1"/>
  <c r="H11" i="6"/>
  <c r="I11" i="6" s="1"/>
  <c r="H12" i="6"/>
  <c r="I12" i="6" s="1"/>
  <c r="H10" i="6"/>
  <c r="I10" i="6" s="1"/>
  <c r="H7" i="6"/>
  <c r="I7" i="6" s="1"/>
  <c r="J4" i="14"/>
  <c r="C5"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4" i="12"/>
  <c r="G2" i="7"/>
  <c r="G3" i="7"/>
  <c r="G4" i="7"/>
  <c r="H4" i="7" s="1"/>
  <c r="G5" i="7"/>
  <c r="H5" i="7" s="1"/>
  <c r="G6" i="7"/>
  <c r="H6" i="7" s="1"/>
  <c r="G7" i="7"/>
  <c r="H7" i="7" s="1"/>
  <c r="I35" i="12"/>
  <c r="G5" i="6"/>
  <c r="G6" i="6"/>
  <c r="G7" i="6"/>
  <c r="G8" i="6"/>
  <c r="G9" i="6"/>
  <c r="G10" i="6"/>
  <c r="G11" i="6"/>
  <c r="G12" i="6"/>
  <c r="I8" i="6"/>
  <c r="I9" i="6"/>
  <c r="F5" i="15"/>
  <c r="F6" i="15"/>
  <c r="F8" i="15"/>
  <c r="F9" i="15"/>
  <c r="G8" i="15"/>
  <c r="G9" i="15"/>
  <c r="H9" i="15" s="1"/>
  <c r="B84" i="9" a="1"/>
  <c r="B84" i="9"/>
  <c r="D2" i="17"/>
  <c r="D3" i="17"/>
  <c r="N6" i="17"/>
  <c r="B27" i="15"/>
  <c r="B26" i="15"/>
  <c r="B25" i="15"/>
  <c r="B30" i="15"/>
  <c r="E15" i="7"/>
  <c r="E16" i="7"/>
  <c r="E17" i="7"/>
  <c r="E18" i="7"/>
  <c r="E19" i="7"/>
  <c r="E20" i="7"/>
  <c r="E21" i="7"/>
  <c r="E22" i="7"/>
  <c r="E23" i="7"/>
  <c r="E24" i="7"/>
  <c r="E25" i="7"/>
  <c r="E26" i="7"/>
  <c r="E27" i="7"/>
  <c r="E28" i="7"/>
  <c r="E29" i="7"/>
  <c r="E30" i="7"/>
  <c r="E31" i="7"/>
  <c r="E32" i="7"/>
  <c r="E33" i="7"/>
  <c r="E34" i="7"/>
  <c r="E35" i="7"/>
  <c r="E14" i="7"/>
  <c r="E83" i="2"/>
  <c r="F83" i="2"/>
  <c r="H83" i="2"/>
  <c r="I83" i="2"/>
  <c r="D83" i="2"/>
  <c r="E84" i="2"/>
  <c r="F84" i="2"/>
  <c r="H84" i="2"/>
  <c r="I84" i="2"/>
  <c r="D84" i="2"/>
  <c r="E85" i="2"/>
  <c r="F85" i="2"/>
  <c r="E86" i="2"/>
  <c r="F86" i="2"/>
  <c r="H86" i="2"/>
  <c r="I86" i="2"/>
  <c r="D86" i="2"/>
  <c r="E87" i="2"/>
  <c r="F87" i="2"/>
  <c r="H87" i="2"/>
  <c r="I87" i="2"/>
  <c r="D87" i="2"/>
  <c r="E88" i="2"/>
  <c r="F88" i="2"/>
  <c r="E89" i="2"/>
  <c r="F89" i="2"/>
  <c r="G89" i="2"/>
  <c r="E90" i="2"/>
  <c r="F90" i="2"/>
  <c r="H90" i="2"/>
  <c r="I90" i="2"/>
  <c r="D90" i="2"/>
  <c r="E91" i="2"/>
  <c r="F91" i="2"/>
  <c r="H91" i="2"/>
  <c r="I91" i="2"/>
  <c r="D91" i="2"/>
  <c r="E92" i="2"/>
  <c r="F92" i="2"/>
  <c r="G92" i="2"/>
  <c r="E93" i="2"/>
  <c r="F93" i="2"/>
  <c r="G93" i="2"/>
  <c r="E94" i="2"/>
  <c r="F94" i="2"/>
  <c r="G94" i="2"/>
  <c r="E95" i="2"/>
  <c r="F95" i="2"/>
  <c r="G95" i="2"/>
  <c r="E96" i="2"/>
  <c r="F96" i="2"/>
  <c r="H96" i="2"/>
  <c r="I96" i="2"/>
  <c r="D96" i="2"/>
  <c r="G96" i="2"/>
  <c r="E97" i="2"/>
  <c r="F97" i="2"/>
  <c r="G97" i="2"/>
  <c r="E98" i="2"/>
  <c r="F98" i="2"/>
  <c r="G98" i="2"/>
  <c r="E99" i="2"/>
  <c r="F99" i="2"/>
  <c r="G99" i="2"/>
  <c r="H99" i="2"/>
  <c r="I99" i="2"/>
  <c r="D99" i="2"/>
  <c r="E100" i="2"/>
  <c r="F100" i="2"/>
  <c r="G100" i="2"/>
  <c r="H100" i="2"/>
  <c r="I100" i="2"/>
  <c r="D100" i="2"/>
  <c r="E101" i="2"/>
  <c r="F101" i="2"/>
  <c r="G101" i="2"/>
  <c r="H101" i="2"/>
  <c r="I101" i="2"/>
  <c r="D101" i="2"/>
  <c r="E102" i="2"/>
  <c r="F102" i="2"/>
  <c r="G102" i="2"/>
  <c r="H102" i="2"/>
  <c r="I102" i="2"/>
  <c r="D102" i="2"/>
  <c r="E103" i="2"/>
  <c r="F103" i="2"/>
  <c r="G103" i="2"/>
  <c r="H103" i="2"/>
  <c r="I103" i="2"/>
  <c r="D103" i="2"/>
  <c r="E104" i="2"/>
  <c r="F104" i="2"/>
  <c r="G104" i="2"/>
  <c r="H104" i="2"/>
  <c r="I104" i="2"/>
  <c r="D104" i="2"/>
  <c r="E105" i="2"/>
  <c r="F105" i="2"/>
  <c r="G105" i="2"/>
  <c r="H105" i="2"/>
  <c r="I105" i="2"/>
  <c r="D105" i="2"/>
  <c r="E106" i="2"/>
  <c r="F106" i="2"/>
  <c r="G106" i="2"/>
  <c r="H106" i="2"/>
  <c r="I106" i="2"/>
  <c r="D106" i="2"/>
  <c r="E107" i="2"/>
  <c r="F107" i="2"/>
  <c r="G107" i="2"/>
  <c r="H107" i="2"/>
  <c r="I107" i="2"/>
  <c r="D107" i="2"/>
  <c r="E108" i="2"/>
  <c r="F108" i="2"/>
  <c r="G108" i="2"/>
  <c r="H108" i="2"/>
  <c r="I108" i="2"/>
  <c r="D108" i="2"/>
  <c r="E109" i="2"/>
  <c r="F109" i="2"/>
  <c r="G109" i="2"/>
  <c r="H109" i="2"/>
  <c r="I109" i="2"/>
  <c r="D109" i="2"/>
  <c r="E110" i="2"/>
  <c r="F110" i="2"/>
  <c r="G110" i="2"/>
  <c r="H110" i="2"/>
  <c r="I110" i="2"/>
  <c r="D110" i="2"/>
  <c r="E111" i="2"/>
  <c r="F111" i="2"/>
  <c r="G111" i="2"/>
  <c r="H111" i="2"/>
  <c r="I111" i="2"/>
  <c r="D111" i="2"/>
  <c r="E112" i="2"/>
  <c r="F112" i="2"/>
  <c r="G112" i="2"/>
  <c r="H112" i="2"/>
  <c r="I112" i="2"/>
  <c r="D112" i="2"/>
  <c r="E113" i="2"/>
  <c r="F113" i="2"/>
  <c r="G113" i="2"/>
  <c r="H113" i="2"/>
  <c r="I113" i="2"/>
  <c r="D113" i="2"/>
  <c r="E114" i="2"/>
  <c r="F114" i="2"/>
  <c r="G114" i="2"/>
  <c r="H114" i="2"/>
  <c r="I114" i="2"/>
  <c r="D114" i="2"/>
  <c r="E115" i="2"/>
  <c r="F115" i="2"/>
  <c r="G115" i="2"/>
  <c r="H115" i="2"/>
  <c r="I115" i="2"/>
  <c r="D115" i="2"/>
  <c r="E116" i="2"/>
  <c r="F116" i="2"/>
  <c r="G116" i="2"/>
  <c r="H116" i="2"/>
  <c r="I116" i="2"/>
  <c r="D116" i="2"/>
  <c r="E117" i="2"/>
  <c r="F117" i="2"/>
  <c r="G117" i="2"/>
  <c r="H117" i="2"/>
  <c r="I117" i="2"/>
  <c r="D117" i="2"/>
  <c r="E118" i="2"/>
  <c r="F118" i="2"/>
  <c r="G118" i="2"/>
  <c r="H118" i="2"/>
  <c r="I118" i="2"/>
  <c r="D118" i="2"/>
  <c r="E119" i="2"/>
  <c r="F119" i="2"/>
  <c r="G119" i="2"/>
  <c r="H119" i="2"/>
  <c r="I119" i="2"/>
  <c r="D119" i="2"/>
  <c r="E74" i="2"/>
  <c r="F74" i="2"/>
  <c r="E75" i="2"/>
  <c r="F75" i="2"/>
  <c r="H75" i="2"/>
  <c r="I75" i="2"/>
  <c r="D75" i="2"/>
  <c r="E76" i="2"/>
  <c r="F76" i="2"/>
  <c r="E77" i="2"/>
  <c r="F77" i="2"/>
  <c r="H77" i="2"/>
  <c r="I77" i="2"/>
  <c r="D77" i="2"/>
  <c r="E78" i="2"/>
  <c r="F78" i="2"/>
  <c r="H78" i="2"/>
  <c r="I78" i="2"/>
  <c r="D78" i="2"/>
  <c r="E79" i="2"/>
  <c r="F79" i="2"/>
  <c r="H79" i="2"/>
  <c r="I79" i="2"/>
  <c r="D79" i="2"/>
  <c r="E80" i="2"/>
  <c r="F80" i="2"/>
  <c r="H80" i="2"/>
  <c r="I80" i="2"/>
  <c r="D80" i="2"/>
  <c r="E81" i="2"/>
  <c r="F81" i="2"/>
  <c r="E82" i="2"/>
  <c r="F82" i="2"/>
  <c r="C16" i="10"/>
  <c r="A22" i="20"/>
  <c r="A23" i="20"/>
  <c r="A24" i="20"/>
  <c r="A25" i="20"/>
  <c r="A26" i="20"/>
  <c r="A27" i="20"/>
  <c r="A28" i="20"/>
  <c r="O5" i="9" a="1"/>
  <c r="B49" i="9" a="1"/>
  <c r="G64" i="9" a="1"/>
  <c r="G64" i="9"/>
  <c r="H64" i="9" a="1"/>
  <c r="H64" i="9" s="1"/>
  <c r="J64" i="9"/>
  <c r="G69" i="9" a="1"/>
  <c r="G69" i="9" s="1"/>
  <c r="H69" i="9" a="1"/>
  <c r="H69" i="9" s="1"/>
  <c r="J69" i="9"/>
  <c r="G5" i="15"/>
  <c r="G6" i="15"/>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G4" i="6"/>
  <c r="E56" i="2"/>
  <c r="F56" i="2"/>
  <c r="E57" i="2"/>
  <c r="F57" i="2"/>
  <c r="H57" i="2"/>
  <c r="I57" i="2"/>
  <c r="D57" i="2"/>
  <c r="E58" i="2"/>
  <c r="F58" i="2"/>
  <c r="H58" i="2"/>
  <c r="I58" i="2"/>
  <c r="D58" i="2"/>
  <c r="E59" i="2"/>
  <c r="F59" i="2"/>
  <c r="H59" i="2"/>
  <c r="I59" i="2"/>
  <c r="D59" i="2"/>
  <c r="E60" i="2"/>
  <c r="F60" i="2"/>
  <c r="H60" i="2"/>
  <c r="I60" i="2"/>
  <c r="D60" i="2"/>
  <c r="E61" i="2"/>
  <c r="F61" i="2"/>
  <c r="H61" i="2"/>
  <c r="I61" i="2"/>
  <c r="D61" i="2"/>
  <c r="E62" i="2"/>
  <c r="F62" i="2"/>
  <c r="H62" i="2"/>
  <c r="I62" i="2"/>
  <c r="D62" i="2"/>
  <c r="E63" i="2"/>
  <c r="F63" i="2"/>
  <c r="H63" i="2"/>
  <c r="I63" i="2"/>
  <c r="D63" i="2"/>
  <c r="E64" i="2"/>
  <c r="F64" i="2"/>
  <c r="H64" i="2"/>
  <c r="I64" i="2"/>
  <c r="D64" i="2"/>
  <c r="E65" i="2"/>
  <c r="F65" i="2"/>
  <c r="E66" i="2"/>
  <c r="F66" i="2"/>
  <c r="H66" i="2"/>
  <c r="I66" i="2"/>
  <c r="D66" i="2"/>
  <c r="E67" i="2"/>
  <c r="F67" i="2"/>
  <c r="H67" i="2"/>
  <c r="I67" i="2"/>
  <c r="D67" i="2"/>
  <c r="E68" i="2"/>
  <c r="F68" i="2"/>
  <c r="H68" i="2"/>
  <c r="I68" i="2"/>
  <c r="D68" i="2"/>
  <c r="E69" i="2"/>
  <c r="F69" i="2"/>
  <c r="H69" i="2"/>
  <c r="I69" i="2"/>
  <c r="D69" i="2"/>
  <c r="E70" i="2"/>
  <c r="F70" i="2"/>
  <c r="H70" i="2"/>
  <c r="I70" i="2"/>
  <c r="D70" i="2"/>
  <c r="E71" i="2"/>
  <c r="F71" i="2"/>
  <c r="H71" i="2"/>
  <c r="I71" i="2"/>
  <c r="D71" i="2"/>
  <c r="E72" i="2"/>
  <c r="F72" i="2"/>
  <c r="E73" i="2"/>
  <c r="F73" i="2"/>
  <c r="H73" i="2"/>
  <c r="I73" i="2"/>
  <c r="D73" i="2"/>
  <c r="E45" i="2"/>
  <c r="F45" i="2"/>
  <c r="H45" i="2"/>
  <c r="I45" i="2"/>
  <c r="D45" i="2"/>
  <c r="E46" i="2"/>
  <c r="F46" i="2"/>
  <c r="H46" i="2"/>
  <c r="I46" i="2"/>
  <c r="D46" i="2"/>
  <c r="E47" i="2"/>
  <c r="F47" i="2"/>
  <c r="H47" i="2"/>
  <c r="I47" i="2"/>
  <c r="D47" i="2"/>
  <c r="E48" i="2"/>
  <c r="F48" i="2"/>
  <c r="H48" i="2"/>
  <c r="I48" i="2"/>
  <c r="D48" i="2"/>
  <c r="E49" i="2"/>
  <c r="F49" i="2"/>
  <c r="H49" i="2"/>
  <c r="I49" i="2"/>
  <c r="D49" i="2"/>
  <c r="E50" i="2"/>
  <c r="F50" i="2"/>
  <c r="H50" i="2"/>
  <c r="I50" i="2"/>
  <c r="D50" i="2"/>
  <c r="E51" i="2"/>
  <c r="F51" i="2"/>
  <c r="H51" i="2"/>
  <c r="I51" i="2"/>
  <c r="D51" i="2"/>
  <c r="E52" i="2"/>
  <c r="F52" i="2"/>
  <c r="H52" i="2"/>
  <c r="I52" i="2"/>
  <c r="D52" i="2"/>
  <c r="E53" i="2"/>
  <c r="F53" i="2"/>
  <c r="H53" i="2"/>
  <c r="I53" i="2"/>
  <c r="D53" i="2"/>
  <c r="E54" i="2"/>
  <c r="F54" i="2"/>
  <c r="H54" i="2"/>
  <c r="I54" i="2"/>
  <c r="D54" i="2"/>
  <c r="E55" i="2"/>
  <c r="F55" i="2"/>
  <c r="H55" i="2"/>
  <c r="I55" i="2"/>
  <c r="D55" i="2"/>
  <c r="C3" i="12"/>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K6" i="6" s="1"/>
  <c r="C4" i="8" s="1"/>
  <c r="C19" i="8"/>
  <c r="D16" i="14"/>
  <c r="J18" i="14"/>
  <c r="J19" i="14"/>
  <c r="J20" i="14"/>
  <c r="E33" i="2"/>
  <c r="F33" i="2"/>
  <c r="E34" i="2"/>
  <c r="F34" i="2"/>
  <c r="H34" i="2"/>
  <c r="I34" i="2"/>
  <c r="D34" i="2"/>
  <c r="E35" i="2"/>
  <c r="F35" i="2"/>
  <c r="H35" i="2"/>
  <c r="I35" i="2"/>
  <c r="D35" i="2"/>
  <c r="E36" i="2"/>
  <c r="F36" i="2"/>
  <c r="E37" i="2"/>
  <c r="F37" i="2"/>
  <c r="H37" i="2"/>
  <c r="I37" i="2"/>
  <c r="D37" i="2"/>
  <c r="E39" i="2"/>
  <c r="F39" i="2"/>
  <c r="H39" i="2"/>
  <c r="I39" i="2"/>
  <c r="D39" i="2"/>
  <c r="E40" i="2"/>
  <c r="F40" i="2"/>
  <c r="H40" i="2"/>
  <c r="I40" i="2"/>
  <c r="D40" i="2"/>
  <c r="E41" i="2"/>
  <c r="F41" i="2"/>
  <c r="E42" i="2"/>
  <c r="F42" i="2"/>
  <c r="E43" i="2"/>
  <c r="F43" i="2"/>
  <c r="H43" i="2"/>
  <c r="I43" i="2"/>
  <c r="D43" i="2"/>
  <c r="E44" i="2"/>
  <c r="F44" i="2"/>
  <c r="H44" i="2"/>
  <c r="I44" i="2"/>
  <c r="D44" i="2"/>
  <c r="F38" i="2"/>
  <c r="H38" i="2"/>
  <c r="I38" i="2"/>
  <c r="D38" i="2"/>
  <c r="E38" i="2"/>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5" i="14"/>
  <c r="J6" i="14"/>
  <c r="J7" i="14"/>
  <c r="J8" i="14"/>
  <c r="J9" i="14"/>
  <c r="J10" i="14"/>
  <c r="J11" i="14"/>
  <c r="J12" i="14"/>
  <c r="J13" i="14"/>
  <c r="J14" i="14"/>
  <c r="J16" i="14"/>
  <c r="J17" i="14"/>
  <c r="J4" i="19" a="1"/>
  <c r="J4" i="19"/>
  <c r="E8" i="18"/>
  <c r="E3" i="18"/>
  <c r="E4" i="18"/>
  <c r="E5" i="18"/>
  <c r="E6" i="18"/>
  <c r="E7" i="18"/>
  <c r="E9" i="18"/>
  <c r="E10" i="18"/>
  <c r="E11" i="18"/>
  <c r="E12" i="18"/>
  <c r="E13" i="18"/>
  <c r="E14" i="18"/>
  <c r="E15" i="18"/>
  <c r="E16" i="18"/>
  <c r="E17" i="18"/>
  <c r="E18" i="18"/>
  <c r="E19" i="18"/>
  <c r="E20" i="18"/>
  <c r="F21" i="2"/>
  <c r="H21" i="2"/>
  <c r="I21" i="2"/>
  <c r="D21" i="2"/>
  <c r="F22" i="2"/>
  <c r="H22" i="2"/>
  <c r="I22" i="2"/>
  <c r="D22" i="2"/>
  <c r="F23" i="2"/>
  <c r="H23" i="2"/>
  <c r="I23" i="2"/>
  <c r="D23" i="2"/>
  <c r="F24" i="2"/>
  <c r="H24" i="2"/>
  <c r="I24" i="2"/>
  <c r="D24" i="2"/>
  <c r="F25" i="2"/>
  <c r="H25" i="2"/>
  <c r="I25" i="2"/>
  <c r="D25" i="2"/>
  <c r="F26" i="2"/>
  <c r="F27" i="2"/>
  <c r="H27" i="2"/>
  <c r="I27" i="2"/>
  <c r="D27" i="2"/>
  <c r="F28" i="2"/>
  <c r="H28" i="2"/>
  <c r="I28" i="2"/>
  <c r="D28" i="2"/>
  <c r="F29" i="2"/>
  <c r="H29" i="2"/>
  <c r="I29" i="2"/>
  <c r="D29" i="2"/>
  <c r="F30" i="2"/>
  <c r="H30" i="2"/>
  <c r="I30" i="2"/>
  <c r="D30" i="2"/>
  <c r="F31" i="2"/>
  <c r="H31" i="2"/>
  <c r="I31" i="2"/>
  <c r="D31" i="2"/>
  <c r="F32" i="2"/>
  <c r="H32" i="2"/>
  <c r="I32" i="2"/>
  <c r="D32" i="2"/>
  <c r="E22" i="2"/>
  <c r="E23" i="2"/>
  <c r="E24" i="2"/>
  <c r="E25" i="2"/>
  <c r="E26" i="2"/>
  <c r="E27" i="2"/>
  <c r="E28" i="2"/>
  <c r="E29" i="2"/>
  <c r="E30" i="2"/>
  <c r="E31" i="2"/>
  <c r="E32" i="2"/>
  <c r="E20" i="2"/>
  <c r="E21" i="2"/>
  <c r="N4" i="17"/>
  <c r="F20" i="2"/>
  <c r="H20" i="2"/>
  <c r="I20" i="2"/>
  <c r="D20" i="2"/>
  <c r="E15" i="2"/>
  <c r="F15" i="2"/>
  <c r="H15" i="2" s="1"/>
  <c r="I15" i="2" s="1"/>
  <c r="D15" i="2" s="1"/>
  <c r="E16" i="2"/>
  <c r="E17" i="2"/>
  <c r="G17" i="2" s="1"/>
  <c r="E18" i="2"/>
  <c r="E19" i="2"/>
  <c r="E7" i="2"/>
  <c r="E8" i="2"/>
  <c r="E9" i="2"/>
  <c r="E10" i="2"/>
  <c r="E11" i="2"/>
  <c r="E12" i="2"/>
  <c r="E13" i="2"/>
  <c r="E14" i="2"/>
  <c r="E5" i="2"/>
  <c r="E6" i="2"/>
  <c r="G6" i="2" s="1"/>
  <c r="H37" i="1" s="1"/>
  <c r="E4" i="2"/>
  <c r="G4" i="2" s="1"/>
  <c r="F13" i="2"/>
  <c r="F14" i="2"/>
  <c r="H14" i="2" s="1"/>
  <c r="I14" i="2" s="1"/>
  <c r="D14" i="2" s="1"/>
  <c r="F16" i="2"/>
  <c r="F17" i="2"/>
  <c r="H17" i="2" s="1"/>
  <c r="I17" i="2" s="1"/>
  <c r="D17" i="2" s="1"/>
  <c r="F18" i="2"/>
  <c r="F19" i="2"/>
  <c r="H19" i="2"/>
  <c r="I19" i="2"/>
  <c r="D19" i="2"/>
  <c r="C8" i="8"/>
  <c r="F11" i="2"/>
  <c r="H11" i="2" s="1"/>
  <c r="I11" i="2" s="1"/>
  <c r="F10" i="2"/>
  <c r="H10" i="2" s="1"/>
  <c r="I10" i="2" s="1"/>
  <c r="D10" i="2" s="1"/>
  <c r="F6" i="2"/>
  <c r="H6" i="2"/>
  <c r="I6" i="2" s="1"/>
  <c r="D6" i="2" s="1"/>
  <c r="F7" i="2"/>
  <c r="H7" i="2" s="1"/>
  <c r="I7" i="2" s="1"/>
  <c r="D7" i="2" s="1"/>
  <c r="F8" i="2"/>
  <c r="G8" i="2"/>
  <c r="H40" i="1" s="1"/>
  <c r="F9" i="2"/>
  <c r="H9" i="2" s="1"/>
  <c r="I9" i="2" s="1"/>
  <c r="D9" i="2" s="1"/>
  <c r="G9" i="2"/>
  <c r="H41" i="1" s="1"/>
  <c r="N3" i="7"/>
  <c r="N5" i="7"/>
  <c r="E6" i="11"/>
  <c r="D6" i="11"/>
  <c r="F12" i="2"/>
  <c r="H12" i="2"/>
  <c r="I12" i="2"/>
  <c r="D12" i="2" s="1"/>
  <c r="F5" i="2"/>
  <c r="H5" i="2"/>
  <c r="I5" i="2" s="1"/>
  <c r="D5" i="2" s="1"/>
  <c r="F3" i="2"/>
  <c r="F4" i="2"/>
  <c r="H4" i="2" s="1"/>
  <c r="I4" i="2" s="1"/>
  <c r="D4" i="2" s="1"/>
  <c r="J15" i="14"/>
  <c r="C6" i="8"/>
  <c r="H92" i="2"/>
  <c r="I92" i="2"/>
  <c r="D92" i="2"/>
  <c r="G76" i="2"/>
  <c r="G88" i="2"/>
  <c r="G81" i="2"/>
  <c r="G72" i="2"/>
  <c r="G87" i="2"/>
  <c r="H94" i="2"/>
  <c r="I94" i="2"/>
  <c r="D94" i="2"/>
  <c r="G91" i="2"/>
  <c r="G90" i="2"/>
  <c r="H89" i="2"/>
  <c r="I89" i="2"/>
  <c r="D89" i="2"/>
  <c r="J85" i="9"/>
  <c r="D98" i="9"/>
  <c r="Q19" i="9" a="1"/>
  <c r="Q19" i="9" s="1"/>
  <c r="F10" i="15"/>
  <c r="E8" i="7"/>
  <c r="C7" i="8"/>
  <c r="G83" i="2"/>
  <c r="G80" i="2"/>
  <c r="H98" i="2"/>
  <c r="I98" i="2"/>
  <c r="D98" i="2"/>
  <c r="H93" i="2"/>
  <c r="I93" i="2"/>
  <c r="D93" i="2"/>
  <c r="G85" i="2"/>
  <c r="H88" i="2"/>
  <c r="I88" i="2"/>
  <c r="D88" i="2"/>
  <c r="G41" i="2"/>
  <c r="H95" i="2"/>
  <c r="I95" i="2"/>
  <c r="D95" i="2"/>
  <c r="G84" i="2"/>
  <c r="H97" i="2"/>
  <c r="I97" i="2"/>
  <c r="D97" i="2"/>
  <c r="C100" i="17"/>
  <c r="K4" i="17" s="1"/>
  <c r="G71" i="2"/>
  <c r="G60" i="2"/>
  <c r="G50" i="2"/>
  <c r="G67" i="2"/>
  <c r="G42" i="2"/>
  <c r="G36" i="2"/>
  <c r="G55" i="2"/>
  <c r="H72" i="2"/>
  <c r="I72" i="2"/>
  <c r="D72" i="2"/>
  <c r="G58" i="2"/>
  <c r="G35" i="2"/>
  <c r="G86" i="2"/>
  <c r="G70" i="2"/>
  <c r="G56" i="2"/>
  <c r="G39" i="2"/>
  <c r="G65" i="2"/>
  <c r="G44" i="2"/>
  <c r="G77" i="2"/>
  <c r="G75" i="2"/>
  <c r="G45" i="2"/>
  <c r="G64" i="2"/>
  <c r="G74" i="2"/>
  <c r="G68" i="2"/>
  <c r="G82" i="2"/>
  <c r="G78" i="2"/>
  <c r="H85" i="2"/>
  <c r="I85" i="2"/>
  <c r="D85" i="2"/>
  <c r="G22" i="2"/>
  <c r="G47" i="2"/>
  <c r="H10" i="1"/>
  <c r="G24" i="2"/>
  <c r="G46" i="2"/>
  <c r="G79" i="2"/>
  <c r="G49" i="2"/>
  <c r="G26" i="2"/>
  <c r="G30" i="2"/>
  <c r="G52" i="2"/>
  <c r="G21" i="2"/>
  <c r="H56" i="2"/>
  <c r="I56" i="2"/>
  <c r="D56" i="2"/>
  <c r="G53" i="2"/>
  <c r="G19" i="2"/>
  <c r="H82" i="2"/>
  <c r="I82" i="2"/>
  <c r="D82" i="2"/>
  <c r="G27" i="2"/>
  <c r="G34" i="2"/>
  <c r="G38" i="2"/>
  <c r="G37" i="2"/>
  <c r="G28" i="2"/>
  <c r="H26" i="2"/>
  <c r="I26" i="2"/>
  <c r="D26" i="2"/>
  <c r="G40" i="2"/>
  <c r="G59" i="2"/>
  <c r="G18" i="2"/>
  <c r="G29" i="2"/>
  <c r="G63" i="2"/>
  <c r="H74" i="2"/>
  <c r="I74" i="2"/>
  <c r="D74" i="2"/>
  <c r="G25" i="2"/>
  <c r="H81" i="2"/>
  <c r="I81" i="2"/>
  <c r="D81" i="2"/>
  <c r="H76" i="2"/>
  <c r="I76" i="2"/>
  <c r="D76" i="2"/>
  <c r="G20" i="2"/>
  <c r="G32" i="2"/>
  <c r="G43" i="2"/>
  <c r="G33" i="2"/>
  <c r="G73" i="2"/>
  <c r="G69" i="2"/>
  <c r="G66" i="2"/>
  <c r="G62" i="2"/>
  <c r="G57" i="2"/>
  <c r="H33" i="2"/>
  <c r="I33" i="2"/>
  <c r="D33" i="2"/>
  <c r="G23" i="2"/>
  <c r="H41" i="2"/>
  <c r="I41" i="2"/>
  <c r="D41" i="2"/>
  <c r="H65" i="2"/>
  <c r="I65" i="2"/>
  <c r="D65" i="2"/>
  <c r="G51" i="2"/>
  <c r="G54" i="2"/>
  <c r="G48" i="2"/>
  <c r="G31" i="2"/>
  <c r="H36" i="2"/>
  <c r="I36" i="2"/>
  <c r="D36" i="2"/>
  <c r="H42" i="2"/>
  <c r="I42" i="2"/>
  <c r="D42" i="2"/>
  <c r="G61" i="2"/>
  <c r="H18" i="2"/>
  <c r="I18" i="2"/>
  <c r="D18" i="2"/>
  <c r="H61" i="9" a="1"/>
  <c r="H61" i="9" s="1"/>
  <c r="N5" i="17"/>
  <c r="C12" i="10"/>
  <c r="H5" i="1"/>
  <c r="H27" i="1"/>
  <c r="H28" i="1"/>
  <c r="H30" i="1"/>
  <c r="H17" i="1"/>
  <c r="H31" i="1"/>
  <c r="H26" i="1"/>
  <c r="H32" i="1"/>
  <c r="H18" i="1"/>
  <c r="H33" i="1"/>
  <c r="H19" i="1"/>
  <c r="H22" i="1"/>
  <c r="H2" i="1"/>
  <c r="H20" i="1"/>
  <c r="H23" i="1"/>
  <c r="H21" i="1"/>
  <c r="H24" i="1"/>
  <c r="H15" i="1"/>
  <c r="H25" i="1"/>
  <c r="H16" i="1"/>
  <c r="H29" i="1"/>
  <c r="H8" i="1"/>
  <c r="H9" i="1"/>
  <c r="H12" i="1"/>
  <c r="H6" i="1"/>
  <c r="H13" i="1"/>
  <c r="H14" i="1"/>
  <c r="H3" i="1"/>
  <c r="H7" i="1"/>
  <c r="H4" i="1"/>
  <c r="H11" i="1"/>
  <c r="E37" i="7"/>
  <c r="C5" i="8"/>
  <c r="B2" i="2"/>
  <c r="J90" i="9"/>
  <c r="P21" i="9" a="1"/>
  <c r="P21" i="9" s="1"/>
  <c r="F99" i="9"/>
  <c r="S20" i="9" a="1"/>
  <c r="S20" i="9" s="1"/>
  <c r="H89" i="9"/>
  <c r="U10" i="9" a="1"/>
  <c r="U10" i="9" s="1"/>
  <c r="G94" i="9"/>
  <c r="J50" i="9"/>
  <c r="G61" i="9" a="1"/>
  <c r="G61" i="9" s="1"/>
  <c r="A8" i="20"/>
  <c r="A4" i="20"/>
  <c r="H16" i="2"/>
  <c r="I16" i="2" s="1"/>
  <c r="D16" i="2" s="1"/>
  <c r="H8" i="2"/>
  <c r="I8" i="2"/>
  <c r="D8" i="2"/>
  <c r="H13" i="2"/>
  <c r="I13" i="2" s="1"/>
  <c r="D13" i="2" s="1"/>
  <c r="D100" i="17"/>
  <c r="K5" i="17"/>
  <c r="O5" i="9"/>
  <c r="A6" i="20"/>
  <c r="A15" i="21"/>
  <c r="B15" i="21"/>
  <c r="A3" i="20"/>
  <c r="A18" i="20"/>
  <c r="A10" i="21"/>
  <c r="B10" i="21"/>
  <c r="W23" i="9"/>
  <c r="B20" i="20" s="1"/>
  <c r="A8" i="21"/>
  <c r="B8" i="21"/>
  <c r="U24" i="9" a="1"/>
  <c r="U24" i="9" s="1"/>
  <c r="T24" i="9" a="1"/>
  <c r="T24" i="9" s="1"/>
  <c r="G54" i="9" a="1"/>
  <c r="G54" i="9" s="1"/>
  <c r="E90" i="9"/>
  <c r="R11" i="9" a="1"/>
  <c r="R11" i="9" s="1"/>
  <c r="S24" i="9" a="1"/>
  <c r="S24" i="9"/>
  <c r="J52" i="9"/>
  <c r="A18" i="21"/>
  <c r="B18" i="21"/>
  <c r="W6" i="9"/>
  <c r="B3" i="20" s="1"/>
  <c r="A14" i="21"/>
  <c r="B14" i="21"/>
  <c r="W11" i="9"/>
  <c r="B8" i="20" s="1"/>
  <c r="H39" i="1"/>
  <c r="G14" i="2"/>
  <c r="H48" i="1" s="1"/>
  <c r="Q24" i="9" a="1"/>
  <c r="Q24" i="9" s="1"/>
  <c r="S22" i="9" a="1"/>
  <c r="S22" i="9" s="1"/>
  <c r="D14" i="19" s="1" a="1"/>
  <c r="D14" i="19" s="1"/>
  <c r="A17" i="20"/>
  <c r="A6" i="21"/>
  <c r="B6" i="21"/>
  <c r="E99" i="9"/>
  <c r="R20" i="9" a="1"/>
  <c r="R20" i="9" s="1"/>
  <c r="A14" i="20"/>
  <c r="A3" i="21"/>
  <c r="B3" i="21"/>
  <c r="J88" i="9"/>
  <c r="W9" i="9"/>
  <c r="B6" i="20" s="1"/>
  <c r="D88" i="9"/>
  <c r="Q9" i="9" a="1"/>
  <c r="Q9" i="9"/>
  <c r="C99" i="9"/>
  <c r="P20" i="9" a="1"/>
  <c r="P20" i="9" s="1"/>
  <c r="F86" i="9"/>
  <c r="S7" i="9" a="1"/>
  <c r="S7" i="9" s="1"/>
  <c r="H99" i="9"/>
  <c r="U20" i="9" a="1"/>
  <c r="U20" i="9" s="1"/>
  <c r="H66" i="9" a="1"/>
  <c r="H66" i="9" s="1"/>
  <c r="A21" i="20"/>
  <c r="A20" i="20"/>
  <c r="B7" i="9"/>
  <c r="E7" i="9" a="1"/>
  <c r="E7" i="9" s="1"/>
  <c r="W21" i="9"/>
  <c r="B18" i="20"/>
  <c r="A10" i="20"/>
  <c r="G63" i="9" a="1"/>
  <c r="G63" i="9" s="1"/>
  <c r="I63" i="9" s="1"/>
  <c r="A9" i="21"/>
  <c r="B9" i="21"/>
  <c r="H85" i="9"/>
  <c r="U6" i="9" a="1"/>
  <c r="U6" i="9" s="1"/>
  <c r="A7" i="21"/>
  <c r="B7" i="21"/>
  <c r="A5" i="20"/>
  <c r="G67" i="9" a="1"/>
  <c r="G67" i="9" s="1"/>
  <c r="G97" i="9"/>
  <c r="T18" i="9" a="1"/>
  <c r="T18" i="9" s="1"/>
  <c r="V18" i="9" s="1"/>
  <c r="H68" i="9" a="1"/>
  <c r="H68" i="9" s="1"/>
  <c r="R24" i="9" a="1"/>
  <c r="R24" i="9" s="1"/>
  <c r="G98" i="9"/>
  <c r="T19" i="9" a="1"/>
  <c r="T19" i="9" s="1"/>
  <c r="A17" i="21"/>
  <c r="B17" i="21"/>
  <c r="A9" i="20"/>
  <c r="A19" i="20"/>
  <c r="J55" i="9"/>
  <c r="C95" i="9"/>
  <c r="P16" i="9" a="1"/>
  <c r="P16" i="9" s="1"/>
  <c r="P24" i="9" a="1"/>
  <c r="P24" i="9"/>
  <c r="G50" i="9" a="1"/>
  <c r="G50" i="9" s="1"/>
  <c r="I50" i="9" s="1"/>
  <c r="A5" i="21"/>
  <c r="B5" i="21"/>
  <c r="A4" i="21"/>
  <c r="B4" i="21"/>
  <c r="G86" i="9"/>
  <c r="T7" i="9" a="1"/>
  <c r="T7" i="9" s="1"/>
  <c r="B11" i="9"/>
  <c r="E11" i="9"/>
  <c r="G95" i="9"/>
  <c r="T16" i="9" a="1"/>
  <c r="T16" i="9" s="1"/>
  <c r="V16" i="9" s="1"/>
  <c r="H51" i="9" a="1"/>
  <c r="H51" i="9" s="1"/>
  <c r="R23" i="9" a="1"/>
  <c r="R23" i="9" s="1"/>
  <c r="D93" i="9"/>
  <c r="Q14" i="9" a="1"/>
  <c r="Q14" i="9" s="1"/>
  <c r="B6" i="9"/>
  <c r="E6" i="9"/>
  <c r="H87" i="9"/>
  <c r="U8" i="9" a="1"/>
  <c r="U8" i="9" s="1"/>
  <c r="A13" i="21"/>
  <c r="B13" i="21"/>
  <c r="A11" i="20"/>
  <c r="G90" i="9"/>
  <c r="A16" i="20"/>
  <c r="A13" i="20"/>
  <c r="A15" i="20"/>
  <c r="J98" i="9"/>
  <c r="W19" i="9"/>
  <c r="B16" i="20" s="1"/>
  <c r="H98" i="9"/>
  <c r="U19" i="9" a="1"/>
  <c r="U19" i="9" s="1"/>
  <c r="C87" i="9"/>
  <c r="P8" i="9" a="1"/>
  <c r="P8" i="9" s="1"/>
  <c r="E89" i="9"/>
  <c r="R10" i="9" a="1"/>
  <c r="R10" i="9" s="1"/>
  <c r="A16" i="21"/>
  <c r="B16" i="21"/>
  <c r="B13" i="9"/>
  <c r="C13" i="9"/>
  <c r="A12" i="20"/>
  <c r="A11" i="21"/>
  <c r="B11" i="21"/>
  <c r="J68" i="9"/>
  <c r="J62" i="9"/>
  <c r="H52" i="9" a="1"/>
  <c r="H52" i="9" s="1"/>
  <c r="H63" i="9" a="1"/>
  <c r="H63" i="9"/>
  <c r="B8" i="9"/>
  <c r="H58" i="9" a="1"/>
  <c r="H58" i="9" s="1"/>
  <c r="G68" i="9" a="1"/>
  <c r="G68" i="9" s="1"/>
  <c r="W24" i="9"/>
  <c r="B21" i="20" s="1"/>
  <c r="W22" i="9"/>
  <c r="B19" i="20" s="1"/>
  <c r="G57" i="9" a="1"/>
  <c r="G57" i="9" s="1"/>
  <c r="J94" i="9"/>
  <c r="W15" i="9"/>
  <c r="B12" i="20" s="1"/>
  <c r="E91" i="9"/>
  <c r="R12" i="9" a="1"/>
  <c r="R12" i="9" s="1"/>
  <c r="H59" i="9" a="1"/>
  <c r="H59" i="9" s="1"/>
  <c r="F94" i="9"/>
  <c r="F89" i="9"/>
  <c r="H54" i="9" a="1"/>
  <c r="H54" i="9" s="1"/>
  <c r="D92" i="9"/>
  <c r="Q13" i="9" a="1"/>
  <c r="Q13" i="9" s="1"/>
  <c r="B49" i="9"/>
  <c r="G84" i="9"/>
  <c r="T5" i="9" a="1"/>
  <c r="T5" i="9" s="1"/>
  <c r="J92" i="9"/>
  <c r="W13" i="9"/>
  <c r="B10" i="20" s="1"/>
  <c r="H94" i="9"/>
  <c r="U15" i="9" a="1"/>
  <c r="U15" i="9"/>
  <c r="S10" i="9" a="1"/>
  <c r="S10" i="9" s="1"/>
  <c r="C88" i="9"/>
  <c r="P9" i="9" a="1"/>
  <c r="P9" i="9" s="1"/>
  <c r="F87" i="9"/>
  <c r="S8" i="9" a="1"/>
  <c r="S8" i="9" s="1"/>
  <c r="H97" i="9"/>
  <c r="J86" i="9"/>
  <c r="W7" i="9"/>
  <c r="B4" i="20" s="1"/>
  <c r="J97" i="9"/>
  <c r="W18" i="9"/>
  <c r="B15" i="20" s="1"/>
  <c r="F88" i="9"/>
  <c r="S9" i="9" a="1"/>
  <c r="S9" i="9" s="1"/>
  <c r="H53" i="9" a="1"/>
  <c r="H53" i="9" s="1"/>
  <c r="A12" i="21"/>
  <c r="B12" i="21"/>
  <c r="C92" i="9"/>
  <c r="P13" i="9" a="1"/>
  <c r="P13" i="9" s="1"/>
  <c r="D87" i="9"/>
  <c r="Q8" i="9" a="1"/>
  <c r="Q8" i="9"/>
  <c r="J61" i="9"/>
  <c r="J65" i="9"/>
  <c r="C98" i="9"/>
  <c r="P19" i="9" a="1"/>
  <c r="P19" i="9" s="1"/>
  <c r="J93" i="9"/>
  <c r="W14" i="9"/>
  <c r="B11" i="20" s="1"/>
  <c r="G53" i="9" a="1"/>
  <c r="G53" i="9" s="1"/>
  <c r="E94" i="9"/>
  <c r="R15" i="9" a="1"/>
  <c r="R15" i="9" s="1"/>
  <c r="C89" i="9"/>
  <c r="P10" i="9" a="1"/>
  <c r="P10" i="9"/>
  <c r="B9" i="9"/>
  <c r="E9" i="9"/>
  <c r="I97" i="9"/>
  <c r="H96" i="9"/>
  <c r="U17" i="9" a="1"/>
  <c r="U17" i="9" s="1"/>
  <c r="F91" i="9"/>
  <c r="S12" i="9" a="1"/>
  <c r="S12" i="9" s="1"/>
  <c r="E86" i="9"/>
  <c r="R7" i="9" a="1"/>
  <c r="R7" i="9"/>
  <c r="H55" i="9" a="1"/>
  <c r="H55" i="9" s="1"/>
  <c r="S21" i="9" a="1"/>
  <c r="S21" i="9"/>
  <c r="J54" i="9"/>
  <c r="D97" i="9"/>
  <c r="Q18" i="9" a="1"/>
  <c r="Q18" i="9" s="1"/>
  <c r="G59" i="9" a="1"/>
  <c r="G59" i="9" s="1"/>
  <c r="F98" i="9"/>
  <c r="S19" i="9" a="1"/>
  <c r="S19" i="9"/>
  <c r="E98" i="9"/>
  <c r="R19" i="9" a="1"/>
  <c r="R19" i="9" s="1"/>
  <c r="C11" i="9"/>
  <c r="B10" i="9"/>
  <c r="F92" i="9"/>
  <c r="S13" i="9" a="1"/>
  <c r="S13" i="9" s="1"/>
  <c r="D85" i="9"/>
  <c r="Q6" i="9" a="1"/>
  <c r="Q6" i="9" s="1"/>
  <c r="H62" i="9" a="1"/>
  <c r="H62" i="9" s="1"/>
  <c r="C96" i="9"/>
  <c r="P17" i="9" a="1"/>
  <c r="P17" i="9"/>
  <c r="B12" i="9"/>
  <c r="E12" i="9"/>
  <c r="T15" i="9" a="1"/>
  <c r="T15" i="9" s="1"/>
  <c r="G60" i="9" a="1"/>
  <c r="G60" i="9" s="1"/>
  <c r="J95" i="9"/>
  <c r="W16" i="9"/>
  <c r="B13" i="20" s="1"/>
  <c r="J87" i="9"/>
  <c r="W8" i="9"/>
  <c r="B5" i="20" s="1"/>
  <c r="G85" i="9"/>
  <c r="J60" i="9"/>
  <c r="F90" i="9"/>
  <c r="S11" i="9" a="1"/>
  <c r="S11" i="9" s="1"/>
  <c r="H56" i="9" a="1"/>
  <c r="H56" i="9" s="1"/>
  <c r="G92" i="9"/>
  <c r="T23" i="9" a="1"/>
  <c r="T23" i="9"/>
  <c r="D99" i="9"/>
  <c r="Q20" i="9" a="1"/>
  <c r="Q20" i="9" s="1"/>
  <c r="J53" i="9"/>
  <c r="U23" i="9" a="1"/>
  <c r="U23" i="9" s="1"/>
  <c r="D91" i="9"/>
  <c r="Q12" i="9" a="1"/>
  <c r="Q12" i="9"/>
  <c r="Q21" i="9" a="1"/>
  <c r="Q21" i="9" s="1"/>
  <c r="G96" i="9"/>
  <c r="E85" i="9"/>
  <c r="R6" i="9" a="1"/>
  <c r="R6" i="9" s="1"/>
  <c r="P22" i="9" a="1"/>
  <c r="P22" i="9" s="1"/>
  <c r="D8" i="19" s="1" a="1"/>
  <c r="D8" i="19" s="1"/>
  <c r="H86" i="9"/>
  <c r="J91" i="9"/>
  <c r="W12" i="9"/>
  <c r="B9" i="20" s="1"/>
  <c r="H88" i="9"/>
  <c r="U9" i="9" a="1"/>
  <c r="U9" i="9"/>
  <c r="G52" i="9" a="1"/>
  <c r="G52" i="9" s="1"/>
  <c r="T21" i="9" a="1"/>
  <c r="T21" i="9" s="1"/>
  <c r="T22" i="9" a="1"/>
  <c r="T22" i="9" s="1"/>
  <c r="J51" i="9"/>
  <c r="G65" i="9" a="1"/>
  <c r="G65" i="9" s="1"/>
  <c r="G99" i="9"/>
  <c r="H65" i="9" a="1"/>
  <c r="H65" i="9" s="1"/>
  <c r="H57" i="9" a="1"/>
  <c r="H57" i="9" s="1"/>
  <c r="C91" i="9"/>
  <c r="P12" i="9" a="1"/>
  <c r="P12" i="9"/>
  <c r="T11" i="9" a="1"/>
  <c r="T11" i="9" s="1"/>
  <c r="F85" i="9"/>
  <c r="S6" i="9" a="1"/>
  <c r="S6" i="9" s="1"/>
  <c r="J59" i="9"/>
  <c r="G51" i="9" a="1"/>
  <c r="G51" i="9"/>
  <c r="B18" i="9"/>
  <c r="H91" i="9"/>
  <c r="U12" i="9" a="1"/>
  <c r="U12" i="9" s="1"/>
  <c r="B16" i="9"/>
  <c r="H93" i="9"/>
  <c r="U14" i="9" a="1"/>
  <c r="U14" i="9"/>
  <c r="G55" i="9" a="1"/>
  <c r="G55" i="9" s="1"/>
  <c r="Q22" i="9" a="1"/>
  <c r="Q22" i="9" s="1"/>
  <c r="C93" i="9"/>
  <c r="P14" i="9" a="1"/>
  <c r="P14" i="9"/>
  <c r="H95" i="9"/>
  <c r="U16" i="9" a="1"/>
  <c r="U16" i="9" s="1"/>
  <c r="J63" i="9"/>
  <c r="C94" i="9"/>
  <c r="P15" i="9" a="1"/>
  <c r="P15" i="9" s="1"/>
  <c r="J89" i="9"/>
  <c r="W10" i="9"/>
  <c r="B7" i="20" s="1"/>
  <c r="G56" i="9" a="1"/>
  <c r="G56" i="9" s="1"/>
  <c r="E95" i="9"/>
  <c r="R16" i="9" a="1"/>
  <c r="R16" i="9"/>
  <c r="F96" i="9"/>
  <c r="S17" i="9" a="1"/>
  <c r="S17" i="9" s="1"/>
  <c r="H50" i="9" a="1"/>
  <c r="H50" i="9"/>
  <c r="B15" i="9"/>
  <c r="E93" i="9"/>
  <c r="R14" i="9" a="1"/>
  <c r="R14" i="9"/>
  <c r="D95" i="9"/>
  <c r="Q16" i="9" a="1"/>
  <c r="Q16" i="9"/>
  <c r="J56" i="9"/>
  <c r="C86" i="9"/>
  <c r="P7" i="9" a="1"/>
  <c r="P7" i="9" s="1"/>
  <c r="G93" i="9"/>
  <c r="T14" i="9" a="1"/>
  <c r="T14" i="9" s="1"/>
  <c r="D94" i="9"/>
  <c r="D89" i="9"/>
  <c r="Q10" i="9" a="1"/>
  <c r="Q10" i="9" s="1"/>
  <c r="E87" i="9"/>
  <c r="R8" i="9" a="1"/>
  <c r="R8" i="9" s="1"/>
  <c r="E92" i="9"/>
  <c r="R13" i="9" a="1"/>
  <c r="R13" i="9"/>
  <c r="B5" i="9"/>
  <c r="C5" i="9"/>
  <c r="B17" i="9"/>
  <c r="R21" i="9" a="1"/>
  <c r="R21" i="9" s="1"/>
  <c r="G58" i="9" a="1"/>
  <c r="G58" i="9"/>
  <c r="P23" i="9" a="1"/>
  <c r="P23" i="9" s="1"/>
  <c r="D96" i="9"/>
  <c r="Q17" i="9" a="1"/>
  <c r="Q17" i="9"/>
  <c r="U21" i="9" a="1"/>
  <c r="U21" i="9" s="1"/>
  <c r="H60" i="9" a="1"/>
  <c r="H60" i="9" s="1"/>
  <c r="G88" i="9"/>
  <c r="F97" i="9"/>
  <c r="S18" i="9" a="1"/>
  <c r="S18" i="9" s="1"/>
  <c r="R22" i="9" a="1"/>
  <c r="R22" i="9" s="1"/>
  <c r="C97" i="9"/>
  <c r="P18" i="9" a="1"/>
  <c r="P18" i="9" s="1"/>
  <c r="D90" i="9"/>
  <c r="Q11" i="9" a="1"/>
  <c r="Q11" i="9" s="1"/>
  <c r="J57" i="9"/>
  <c r="J96" i="9"/>
  <c r="W17" i="9"/>
  <c r="B14" i="20" s="1"/>
  <c r="J66" i="9"/>
  <c r="D86" i="9"/>
  <c r="Q7" i="9" a="1"/>
  <c r="Q7" i="9" s="1"/>
  <c r="B14" i="9"/>
  <c r="C14" i="9"/>
  <c r="G89" i="9"/>
  <c r="I89" i="9"/>
  <c r="Q23" i="9" a="1"/>
  <c r="Q23" i="9" s="1"/>
  <c r="F95" i="9"/>
  <c r="S16" i="9" a="1"/>
  <c r="S16" i="9" s="1"/>
  <c r="S23" i="9" a="1"/>
  <c r="S23" i="9"/>
  <c r="A7" i="20"/>
  <c r="E96" i="9"/>
  <c r="R17" i="9" a="1"/>
  <c r="R17" i="9"/>
  <c r="G91" i="9"/>
  <c r="H90" i="9"/>
  <c r="U11" i="9" a="1"/>
  <c r="U11" i="9" s="1"/>
  <c r="C90" i="9"/>
  <c r="P11" i="9" a="1"/>
  <c r="P11" i="9" s="1"/>
  <c r="E97" i="9"/>
  <c r="R18" i="9" a="1"/>
  <c r="R18" i="9" s="1"/>
  <c r="B3" i="9"/>
  <c r="F93" i="9"/>
  <c r="S14" i="9" a="1"/>
  <c r="S14" i="9" s="1"/>
  <c r="Q15" i="9" a="1"/>
  <c r="Q15" i="9"/>
  <c r="E88" i="9"/>
  <c r="R9" i="9" a="1"/>
  <c r="R9" i="9" s="1"/>
  <c r="B4" i="9"/>
  <c r="J99" i="9"/>
  <c r="W20" i="9"/>
  <c r="B17" i="20" s="1"/>
  <c r="G62" i="9" a="1"/>
  <c r="G62" i="9" s="1"/>
  <c r="I62" i="9" s="1"/>
  <c r="H67" i="9" a="1"/>
  <c r="H67" i="9" s="1"/>
  <c r="U18" i="9" a="1"/>
  <c r="U18" i="9"/>
  <c r="C85" i="9"/>
  <c r="P6" i="9" a="1"/>
  <c r="P6" i="9" s="1"/>
  <c r="J67" i="9"/>
  <c r="G87" i="9"/>
  <c r="J58" i="9"/>
  <c r="S15" i="9" a="1"/>
  <c r="S15" i="9" s="1"/>
  <c r="G66" i="9" a="1"/>
  <c r="G66" i="9" s="1"/>
  <c r="U22" i="9" a="1"/>
  <c r="U22" i="9"/>
  <c r="H92" i="9"/>
  <c r="U13" i="9" a="1"/>
  <c r="U13" i="9" s="1"/>
  <c r="E49" i="9" a="1"/>
  <c r="E49" i="9" s="1"/>
  <c r="C49" i="9" a="1"/>
  <c r="C49" i="9" s="1"/>
  <c r="D49" i="9" a="1"/>
  <c r="D49" i="9" s="1"/>
  <c r="E84" i="9"/>
  <c r="R5" i="9" a="1"/>
  <c r="R5" i="9" s="1"/>
  <c r="D12" i="19" s="1" a="1"/>
  <c r="D12" i="19" s="1"/>
  <c r="D84" i="9"/>
  <c r="Q5" i="9" a="1"/>
  <c r="Q5" i="9" s="1"/>
  <c r="C84" i="9"/>
  <c r="P5" i="9" a="1"/>
  <c r="P5" i="9"/>
  <c r="H49" i="9" a="1"/>
  <c r="H49" i="9" s="1"/>
  <c r="D10" i="19" a="1"/>
  <c r="D10" i="19" s="1"/>
  <c r="A2" i="20"/>
  <c r="A2" i="21"/>
  <c r="B2" i="21"/>
  <c r="T12" i="9" a="1"/>
  <c r="T12" i="9" s="1"/>
  <c r="I98" i="9"/>
  <c r="K98" i="9"/>
  <c r="E13" i="9"/>
  <c r="F84" i="9"/>
  <c r="S5" i="9" a="1"/>
  <c r="S5" i="9" s="1"/>
  <c r="J84" i="9"/>
  <c r="W5" i="9"/>
  <c r="B2" i="20" s="1"/>
  <c r="B2" i="9"/>
  <c r="C12" i="19" a="1"/>
  <c r="C12" i="19" s="1"/>
  <c r="F49" i="9" a="1"/>
  <c r="F49" i="9" s="1"/>
  <c r="C8" i="9"/>
  <c r="E8" i="9"/>
  <c r="H84" i="9"/>
  <c r="U5" i="9" a="1"/>
  <c r="U5" i="9"/>
  <c r="J49" i="9"/>
  <c r="C9" i="9"/>
  <c r="C14" i="19" a="1"/>
  <c r="C14" i="19" s="1"/>
  <c r="C7" i="9"/>
  <c r="G49" i="9" a="1"/>
  <c r="G49" i="9" s="1"/>
  <c r="C6" i="9"/>
  <c r="I94" i="9"/>
  <c r="K94" i="9"/>
  <c r="I93" i="9"/>
  <c r="K93" i="9"/>
  <c r="I90" i="9"/>
  <c r="K90" i="9"/>
  <c r="K97" i="9"/>
  <c r="C12" i="9"/>
  <c r="E14" i="9"/>
  <c r="T10" i="9" a="1"/>
  <c r="T10" i="9"/>
  <c r="E5" i="9"/>
  <c r="C17" i="9"/>
  <c r="E17" i="9"/>
  <c r="C3" i="9"/>
  <c r="E3" i="9"/>
  <c r="K89" i="9"/>
  <c r="I88" i="9"/>
  <c r="K88" i="9"/>
  <c r="J6" i="1"/>
  <c r="T17" i="9" a="1"/>
  <c r="T17" i="9" s="1"/>
  <c r="V17" i="9" s="1"/>
  <c r="I96" i="9"/>
  <c r="K96" i="9"/>
  <c r="T6" i="9" a="1"/>
  <c r="T6" i="9" s="1"/>
  <c r="V6" i="9" s="1"/>
  <c r="I85" i="9"/>
  <c r="K85" i="9"/>
  <c r="E10" i="9"/>
  <c r="C10" i="9"/>
  <c r="E15" i="9"/>
  <c r="C15" i="9"/>
  <c r="T9" i="9" a="1"/>
  <c r="T9" i="9"/>
  <c r="V9" i="9" s="1"/>
  <c r="I92" i="9"/>
  <c r="K92" i="9"/>
  <c r="T13" i="9" a="1"/>
  <c r="T13" i="9" s="1"/>
  <c r="I87" i="9"/>
  <c r="K87" i="9"/>
  <c r="T8" i="9" a="1"/>
  <c r="T8" i="9"/>
  <c r="I91" i="9"/>
  <c r="K91" i="9"/>
  <c r="C18" i="9"/>
  <c r="E18" i="9"/>
  <c r="I99" i="9"/>
  <c r="K99" i="9"/>
  <c r="T20" i="9" a="1"/>
  <c r="T20" i="9"/>
  <c r="V20" i="9" s="1"/>
  <c r="E4" i="9"/>
  <c r="C4" i="9"/>
  <c r="U7" i="9" a="1"/>
  <c r="U7" i="9" s="1"/>
  <c r="I86" i="9"/>
  <c r="K86" i="9"/>
  <c r="I95" i="9"/>
  <c r="K95" i="9"/>
  <c r="C16" i="9"/>
  <c r="E16" i="9"/>
  <c r="E2" i="9"/>
  <c r="C2" i="9"/>
  <c r="I84" i="9"/>
  <c r="K84" i="9"/>
  <c r="C2" i="2"/>
  <c r="I69" i="9" l="1"/>
  <c r="V15" i="9"/>
  <c r="I67" i="9"/>
  <c r="G5" i="2"/>
  <c r="G11" i="2"/>
  <c r="H43" i="1" s="1"/>
  <c r="I56" i="9"/>
  <c r="G7" i="2"/>
  <c r="H38" i="1" s="1"/>
  <c r="G12" i="2"/>
  <c r="V35" i="9"/>
  <c r="V12" i="9"/>
  <c r="X12" i="9" s="1"/>
  <c r="C9" i="20" s="1"/>
  <c r="V11" i="9"/>
  <c r="X11" i="9" s="1"/>
  <c r="C8" i="20" s="1"/>
  <c r="I58" i="9"/>
  <c r="K58" i="9" s="1"/>
  <c r="G16" i="2"/>
  <c r="H50" i="1" s="1"/>
  <c r="V14" i="9"/>
  <c r="V23" i="9"/>
  <c r="I68" i="9"/>
  <c r="V10" i="9"/>
  <c r="G10" i="2"/>
  <c r="H42" i="1" s="1"/>
  <c r="G13" i="2"/>
  <c r="H47" i="1" s="1"/>
  <c r="I55" i="9"/>
  <c r="K55" i="9" s="1"/>
  <c r="H45" i="1"/>
  <c r="H46" i="1"/>
  <c r="I65" i="9"/>
  <c r="K65" i="9" s="1"/>
  <c r="H35" i="1"/>
  <c r="H34" i="1"/>
  <c r="H44" i="1"/>
  <c r="V21" i="9"/>
  <c r="X21" i="9" s="1"/>
  <c r="C18" i="20" s="1"/>
  <c r="V19" i="9"/>
  <c r="X19" i="9" s="1"/>
  <c r="C16" i="20" s="1"/>
  <c r="V25" i="9"/>
  <c r="X25" i="9" s="1"/>
  <c r="C22" i="20" s="1"/>
  <c r="H36" i="1"/>
  <c r="V33" i="9"/>
  <c r="X33" i="9" s="1"/>
  <c r="I54" i="9"/>
  <c r="G15" i="2"/>
  <c r="H49" i="1" s="1"/>
  <c r="V30" i="9"/>
  <c r="X30" i="9" s="1"/>
  <c r="C27" i="20" s="1"/>
  <c r="V28" i="9"/>
  <c r="V7" i="9"/>
  <c r="X7" i="9" s="1"/>
  <c r="C4" i="20" s="1"/>
  <c r="V8" i="9"/>
  <c r="X8" i="9" s="1"/>
  <c r="C5" i="20" s="1"/>
  <c r="V26" i="9"/>
  <c r="X26" i="9" s="1"/>
  <c r="C23" i="20" s="1"/>
  <c r="V5" i="9"/>
  <c r="I51" i="9"/>
  <c r="K51" i="9" s="1"/>
  <c r="I59" i="9"/>
  <c r="K59" i="9" s="1"/>
  <c r="I53" i="9"/>
  <c r="K53" i="9" s="1"/>
  <c r="I64" i="9"/>
  <c r="K64" i="9" s="1"/>
  <c r="V31" i="9"/>
  <c r="X31" i="9" s="1"/>
  <c r="C28" i="20" s="1"/>
  <c r="I52" i="9"/>
  <c r="K52" i="9" s="1"/>
  <c r="V29" i="9"/>
  <c r="X29" i="9" s="1"/>
  <c r="C26" i="20" s="1"/>
  <c r="V13" i="9"/>
  <c r="V22" i="9"/>
  <c r="I60" i="9"/>
  <c r="K60" i="9" s="1"/>
  <c r="G22" i="6"/>
  <c r="X10" i="9"/>
  <c r="C7" i="20" s="1"/>
  <c r="X15" i="9"/>
  <c r="C12" i="20" s="1"/>
  <c r="K68" i="9"/>
  <c r="X18" i="9"/>
  <c r="C15" i="20" s="1"/>
  <c r="N7" i="17"/>
  <c r="P7" i="17" s="1"/>
  <c r="K69" i="9"/>
  <c r="K63" i="9"/>
  <c r="K62" i="9"/>
  <c r="E18" i="19" a="1"/>
  <c r="E18" i="19" s="1"/>
  <c r="X5" i="9"/>
  <c r="C2" i="20" s="1"/>
  <c r="F100" i="17"/>
  <c r="X6" i="9"/>
  <c r="C3" i="20" s="1"/>
  <c r="X17" i="9"/>
  <c r="C14" i="20" s="1"/>
  <c r="X20" i="9"/>
  <c r="C17" i="20" s="1"/>
  <c r="X35" i="9"/>
  <c r="K50" i="9"/>
  <c r="I36" i="12"/>
  <c r="G10" i="15"/>
  <c r="H8" i="7"/>
  <c r="D35" i="18"/>
  <c r="E35" i="18"/>
  <c r="H22" i="6"/>
  <c r="C37" i="12"/>
  <c r="J35" i="14"/>
  <c r="C12" i="8" s="1"/>
  <c r="D35" i="14"/>
  <c r="C10" i="8" s="1"/>
  <c r="C11" i="8"/>
  <c r="I22" i="6"/>
  <c r="L42" i="6" s="1"/>
  <c r="K6" i="17"/>
  <c r="X13" i="9"/>
  <c r="C10" i="20" s="1"/>
  <c r="X9" i="9"/>
  <c r="C6" i="20" s="1"/>
  <c r="H8" i="15"/>
  <c r="H10" i="15" s="1"/>
  <c r="X14" i="9"/>
  <c r="C11" i="20" s="1"/>
  <c r="K67" i="9"/>
  <c r="X23" i="9"/>
  <c r="C20" i="20" s="1"/>
  <c r="K54" i="9"/>
  <c r="X16" i="9"/>
  <c r="C13" i="20" s="1"/>
  <c r="X27" i="9"/>
  <c r="C24" i="20" s="1"/>
  <c r="K56" i="9"/>
  <c r="X22" i="9"/>
  <c r="C19" i="20" s="1"/>
  <c r="X28" i="9"/>
  <c r="C25" i="20" s="1"/>
  <c r="V34" i="9"/>
  <c r="X34" i="9" s="1"/>
  <c r="I49" i="9"/>
  <c r="C21" i="9"/>
  <c r="J51" i="1" a="1"/>
  <c r="J51" i="1" s="1"/>
  <c r="I66" i="9"/>
  <c r="K66" i="9" s="1"/>
  <c r="V24" i="9"/>
  <c r="X24" i="9" s="1"/>
  <c r="C21" i="20" s="1"/>
  <c r="V32" i="9"/>
  <c r="X32" i="9" s="1"/>
  <c r="I57" i="9"/>
  <c r="K57" i="9" s="1"/>
  <c r="I61" i="9"/>
  <c r="K61" i="9" s="1"/>
  <c r="E20" i="19" a="1"/>
  <c r="E20" i="19" s="1"/>
  <c r="E14" i="19"/>
  <c r="E12" i="19"/>
  <c r="D2" i="2"/>
  <c r="C19" i="10" l="1"/>
  <c r="F35" i="18"/>
  <c r="C9" i="8"/>
  <c r="C14" i="8" s="1"/>
  <c r="C4" i="10" s="1"/>
  <c r="C15" i="10" s="1"/>
  <c r="C17" i="10" s="1"/>
  <c r="E16" i="19"/>
  <c r="C23" i="9"/>
  <c r="C3" i="10" s="1"/>
  <c r="K49" i="9"/>
  <c r="C5" i="10" l="1"/>
  <c r="F21" i="10" s="1"/>
  <c r="C11" i="10"/>
  <c r="C13" i="10" s="1"/>
  <c r="C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<sst xmlns="http://schemas.openxmlformats.org/spreadsheetml/2006/main" count="865" uniqueCount="267">
  <si>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</si>
  <si>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</si>
  <si>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</si>
  <si>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</si>
  <si>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</si>
  <si>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</si>
  <si>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</si>
  <si>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</si>
  <si>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</si>
  <si>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</si>
  <si>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</si>
  <si>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</si>
  <si>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</si>
  <si>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</si>
  <si>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</si>
  <si>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</si>
  <si>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</si>
  <si>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</si>
  <si>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</si>
  <si>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</si>
  <si>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</si>
  <si>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</si>
  <si>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</si>
  <si>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</si>
  <si>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</si>
  <si>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</si>
  <si>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</si>
  <si>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</si>
  <si>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</si>
  <si>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</si>
  <si>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</si>
  <si>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</si>
  <si>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</si>
  <si>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</si>
  <si>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</si>
  <si>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</si>
  <si>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</si>
  <si>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</si>
  <si>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</si>
  <si>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</si>
  <si>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</si>
  <si>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</si>
  <si>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</si>
  <si>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</si>
  <si>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</si>
  <si>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</si>
  <si>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</si>
  <si>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</si>
  <si>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</si>
  <si>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</si>
  <si>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</si>
  <si>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</si>
  <si>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</si>
  <si>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</si>
  <si>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</si>
  <si>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</si>
  <si>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</si>
  <si>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</si>
  <si>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</si>
  <si>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</si>
  <si>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</si>
  <si>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</si>
  <si>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</si>
  <si>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</si>
  <si>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</si>
  <si>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</si>
  <si>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</si>
  <si>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</si>
  <si>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</si>
  <si>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</si>
  <si>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</si>
  <si>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</si>
  <si>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</si>
  <si>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</si>
  <si>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</si>
  <si>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</si>
  <si>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</si>
  <si>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</si>
  <si>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</si>
  <si>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</si>
  <si>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</si>
  <si>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</si>
  <si>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</si>
  <si>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</si>
  <si>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</si>
  <si>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</si>
  <si>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</si>
  <si>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</si>
  <si>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</si>
  <si>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</si>
  <si>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</si>
  <si>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</si>
  <si>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</si>
  <si>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</si>
  <si>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</si>
  <si>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</si>
  <si>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</si>
  <si>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</si>
  <si>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</si>
  <si>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</si>
  <si>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</si>
  <si>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</si>
  <si>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</si>
  <si>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</si>
  <si>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</si>
  <si>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</si>
  <si>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</si>
  <si>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</si>
  <si>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</si>
  <si>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</si>
  <si>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</si>
  <si>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</si>
  <si>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</si>
  <si>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</si>
  <si>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</si>
  <si>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</si>
  <si>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Rashan</t>
  </si>
  <si>
    <t>H3R</t>
  </si>
  <si>
    <t>Unicolour</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</si>
  <si>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</si>
  <si>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</si>
  <si>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</si>
  <si>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</si>
  <si>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</si>
  <si>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</si>
  <si>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</si>
  <si>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</si>
  <si>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</si>
  <si>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</si>
  <si>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</si>
  <si>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</si>
  <si>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</si>
  <si>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</si>
  <si>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</si>
  <si>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</si>
  <si>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</si>
  <si>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</si>
  <si>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</si>
  <si>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</si>
  <si>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</si>
  <si>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</si>
  <si>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Advance</t>
  </si>
  <si>
    <t>Person</t>
  </si>
  <si>
    <t>Shipment number</t>
  </si>
  <si>
    <t>Max of Kora/metre</t>
  </si>
  <si>
    <t>cost</t>
  </si>
  <si>
    <t>Max of Kora/gaz</t>
  </si>
  <si>
    <t>Tiyar/metre</t>
  </si>
  <si>
    <t>Cost</t>
  </si>
  <si>
    <t>Yellow 4G</t>
  </si>
  <si>
    <t>Scarlet B</t>
  </si>
  <si>
    <t>Ashraf Zia</t>
  </si>
  <si>
    <t>Rafaqat</t>
  </si>
  <si>
    <t>gazana</t>
  </si>
  <si>
    <t>sum</t>
  </si>
  <si>
    <t>Azam</t>
  </si>
  <si>
    <t>Blue GSL</t>
  </si>
  <si>
    <t>Billing (Previous)</t>
  </si>
  <si>
    <t>Billing September</t>
  </si>
  <si>
    <t>boxes</t>
  </si>
  <si>
    <t>kgs</t>
  </si>
  <si>
    <t>total</t>
  </si>
  <si>
    <t>Black</t>
  </si>
  <si>
    <t>Red FB</t>
  </si>
  <si>
    <t>Yellow GG</t>
  </si>
  <si>
    <t>T blue</t>
  </si>
  <si>
    <t>LAST Month Stock</t>
  </si>
  <si>
    <t>BP26</t>
  </si>
  <si>
    <t>AS Traders</t>
  </si>
  <si>
    <t>PVA</t>
  </si>
  <si>
    <t>Badshah Fabrics</t>
  </si>
  <si>
    <t>Khalid Sahab</t>
  </si>
  <si>
    <t>Party Names</t>
  </si>
  <si>
    <t>Reject</t>
  </si>
  <si>
    <t>Kaleem ullah</t>
  </si>
  <si>
    <t>Qadeer Driver:</t>
  </si>
  <si>
    <t>21500 old advance</t>
  </si>
  <si>
    <t>20000 paid (Salary0</t>
  </si>
  <si>
    <t>21500-17000</t>
  </si>
  <si>
    <t>4500 advance left</t>
  </si>
  <si>
    <t>Amjad 7up</t>
  </si>
  <si>
    <t>Hazrat Khan</t>
  </si>
  <si>
    <t>Ishaq</t>
  </si>
  <si>
    <t>Haseeb Shamsi</t>
  </si>
  <si>
    <t>September Closing CF</t>
  </si>
  <si>
    <t>(Last month)</t>
  </si>
  <si>
    <t>oct-Nov</t>
  </si>
  <si>
    <t>Closing September CF</t>
  </si>
  <si>
    <t>September closing CF</t>
  </si>
  <si>
    <t>TKL 364</t>
  </si>
  <si>
    <t>TKQ 364</t>
  </si>
  <si>
    <t>advance salary</t>
  </si>
  <si>
    <t>khalid sahab</t>
  </si>
  <si>
    <t>LPG</t>
  </si>
  <si>
    <t>Omer</t>
  </si>
  <si>
    <t>3rd wood</t>
  </si>
  <si>
    <t>Saqlain</t>
  </si>
  <si>
    <t>unloading</t>
  </si>
  <si>
    <t>Faizan</t>
  </si>
  <si>
    <t>bill clear</t>
  </si>
  <si>
    <t>TID:601224</t>
  </si>
  <si>
    <t>Sajad khan</t>
  </si>
  <si>
    <t>looper</t>
  </si>
  <si>
    <t>boiler</t>
  </si>
  <si>
    <t>Boiler parts</t>
  </si>
  <si>
    <t>generator</t>
  </si>
  <si>
    <t>madina dyes</t>
  </si>
  <si>
    <t>Black,Violet 3R,Rubine B, yellow 4G</t>
  </si>
  <si>
    <t>LES 3747</t>
  </si>
  <si>
    <t>Temp</t>
  </si>
  <si>
    <t>unloading left</t>
  </si>
  <si>
    <t>Bricks//boiler</t>
  </si>
  <si>
    <t>Dasti</t>
  </si>
  <si>
    <t>bore pipes//loom</t>
  </si>
  <si>
    <t>copper</t>
  </si>
  <si>
    <t>copper sale</t>
  </si>
  <si>
    <t>copper purchase</t>
  </si>
  <si>
    <t>petrol//bike</t>
  </si>
  <si>
    <t>C 8901</t>
  </si>
  <si>
    <t>SGI 9875</t>
  </si>
  <si>
    <t>Mazdoor</t>
  </si>
  <si>
    <t>Ali raza</t>
  </si>
  <si>
    <t>sunsuper theka</t>
  </si>
  <si>
    <t>zulfiqar sahab advance</t>
  </si>
  <si>
    <t>boiler//oxy cylinder</t>
  </si>
  <si>
    <t>Sajid</t>
  </si>
  <si>
    <t>Kora karaya</t>
  </si>
  <si>
    <t>Shafique Ansari</t>
  </si>
  <si>
    <t>(317*775 + 100*650)</t>
  </si>
  <si>
    <t>16 small+45 bori starch. 2 bp26</t>
  </si>
  <si>
    <t>bank charges</t>
  </si>
  <si>
    <t>petrol</t>
  </si>
  <si>
    <t>clip repair</t>
  </si>
  <si>
    <t>belt</t>
  </si>
  <si>
    <t>motor wind</t>
  </si>
  <si>
    <t>stationary</t>
  </si>
  <si>
    <t>TID:670025</t>
  </si>
  <si>
    <t>Malik zaheer</t>
  </si>
  <si>
    <t>NP9</t>
  </si>
  <si>
    <t>Bill clear total</t>
  </si>
  <si>
    <t>mazdoor (5900+100advance)</t>
  </si>
  <si>
    <t>ghulam mustafa</t>
  </si>
  <si>
    <t>wheels</t>
  </si>
  <si>
    <t>TID:113078</t>
  </si>
  <si>
    <t>electric bill</t>
  </si>
  <si>
    <t>electric bill//last month</t>
  </si>
  <si>
    <t>jazz device</t>
  </si>
  <si>
    <t>food</t>
  </si>
  <si>
    <t>toll</t>
  </si>
  <si>
    <t>Amjad sohail</t>
  </si>
  <si>
    <t>BAHL</t>
  </si>
  <si>
    <t>kharcha arhsad</t>
  </si>
  <si>
    <t>Baans</t>
  </si>
  <si>
    <t>atiq ur rehman</t>
  </si>
  <si>
    <t>haseen khan</t>
  </si>
  <si>
    <t>package</t>
  </si>
  <si>
    <t>bolts</t>
  </si>
  <si>
    <t>oil</t>
  </si>
  <si>
    <t>LXT 8141</t>
  </si>
  <si>
    <t>BSC kaprra adjust</t>
  </si>
  <si>
    <t>afzaal hussein</t>
  </si>
  <si>
    <t>8 days</t>
  </si>
  <si>
    <t>bearings</t>
  </si>
  <si>
    <t>bulbs</t>
  </si>
  <si>
    <t>TID:525299</t>
  </si>
  <si>
    <t>mazdoor</t>
  </si>
  <si>
    <t>khalid sahab clinic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</si>
</sst>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3"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rgb="FF92D050"/>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s>
  <cellStyleXfs count="2">
    <xf numFmtId="0" fontId="0" fillId="0" borderId="0"/>
    <xf numFmtId="43" fontId="6" fillId="0" borderId="0" applyFont="0" applyFill="0" applyBorder="0" applyAlignment="0" applyProtection="0"/>
  </cellStyleXfs>
  <cellXfs count="126">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8"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9" fillId="0" borderId="0" xfId="0" applyFont="1"/>
    <xf numFmtId="165" fontId="0" fillId="0" borderId="1" xfId="1" applyNumberFormat="1" applyFont="1" applyBorder="1"/>
    <xf numFmtId="0" fontId="10" fillId="3" borderId="1" xfId="0" applyFont="1" applyFill="1" applyBorder="1"/>
    <xf numFmtId="0" fontId="11" fillId="0" borderId="0" xfId="0" applyFont="1"/>
    <xf numFmtId="165" fontId="8" fillId="0" borderId="0" xfId="1" applyNumberFormat="1" applyFont="1" applyBorder="1"/>
    <xf numFmtId="165" fontId="11" fillId="0" borderId="0" xfId="1" applyNumberFormat="1" applyFont="1" applyBorder="1"/>
    <xf numFmtId="164" fontId="8" fillId="0" borderId="0" xfId="1" applyNumberFormat="1" applyFont="1" applyBorder="1"/>
    <xf numFmtId="164" fontId="11"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2" fillId="0" borderId="19" xfId="0" applyFont="1" applyBorder="1"/>
    <xf numFmtId="43" fontId="12"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0" fontId="0" fillId="0" borderId="3" xfId="0" applyBorder="1"/>
    <xf numFmtId="0" fontId="0" fillId="0" borderId="24" xfId="0" applyBorder="1"/>
    <xf numFmtId="165" fontId="8" fillId="0" borderId="0" xfId="1" applyNumberFormat="1" applyFont="1"/>
    <xf numFmtId="165" fontId="8" fillId="0" borderId="23" xfId="1" applyNumberFormat="1" applyFont="1" applyBorder="1"/>
    <xf numFmtId="164" fontId="8" fillId="0" borderId="23" xfId="1" applyNumberFormat="1" applyFont="1" applyBorder="1"/>
    <xf numFmtId="164" fontId="8" fillId="7" borderId="23" xfId="1" applyNumberFormat="1" applyFont="1" applyFill="1" applyBorder="1"/>
    <xf numFmtId="165" fontId="0" fillId="7" borderId="0" xfId="1" applyNumberFormat="1" applyFont="1" applyFill="1"/>
    <xf numFmtId="164" fontId="8" fillId="7" borderId="0" xfId="0" applyNumberFormat="1" applyFont="1" applyFill="1"/>
    <xf numFmtId="164" fontId="8" fillId="8" borderId="0" xfId="0" applyNumberFormat="1" applyFont="1" applyFill="1"/>
    <xf numFmtId="165" fontId="0" fillId="8" borderId="0" xfId="0" applyNumberFormat="1" applyFill="1"/>
    <xf numFmtId="0" fontId="1" fillId="0" borderId="0" xfId="0" applyFont="1" applyAlignment="1">
      <alignment horizontal="center" vertical="center"/>
    </xf>
    <xf numFmtId="14" fontId="1" fillId="0" borderId="0" xfId="0" applyNumberFormat="1" applyFont="1"/>
    <xf numFmtId="0" fontId="1" fillId="0" borderId="26" xfId="0" applyFont="1" applyBorder="1"/>
    <xf numFmtId="14" fontId="0" fillId="0" borderId="24" xfId="1" applyNumberFormat="1" applyFont="1" applyBorder="1"/>
    <xf numFmtId="0" fontId="0" fillId="0" borderId="24" xfId="1" applyNumberFormat="1" applyFont="1" applyBorder="1"/>
    <xf numFmtId="164" fontId="0" fillId="0" borderId="24" xfId="1" applyNumberFormat="1" applyFont="1" applyBorder="1"/>
    <xf numFmtId="165" fontId="0" fillId="0" borderId="24" xfId="1" applyNumberFormat="1" applyFont="1" applyBorder="1"/>
    <xf numFmtId="14" fontId="0" fillId="0" borderId="25" xfId="1" applyNumberFormat="1" applyFont="1" applyBorder="1"/>
    <xf numFmtId="0" fontId="0" fillId="0" borderId="25" xfId="1" applyNumberFormat="1" applyFont="1" applyBorder="1"/>
    <xf numFmtId="164" fontId="0" fillId="0" borderId="25" xfId="1" applyNumberFormat="1" applyFont="1" applyBorder="1"/>
    <xf numFmtId="165" fontId="0" fillId="0" borderId="25" xfId="1" applyNumberFormat="1" applyFont="1" applyBorder="1"/>
    <xf numFmtId="14" fontId="0" fillId="0" borderId="7" xfId="0" applyNumberFormat="1" applyBorder="1"/>
    <xf numFmtId="0" fontId="0" fillId="0" borderId="0" xfId="0" applyAlignment="1">
      <alignment horizontal="center"/>
    </xf>
    <xf numFmtId="164" fontId="0" fillId="0" borderId="0" xfId="1" applyNumberFormat="1" applyFont="1" applyBorder="1"/>
    <xf numFmtId="0" fontId="1" fillId="0" borderId="0" xfId="0" applyFont="1" applyAlignment="1">
      <alignment horizontal="left" vertical="top"/>
    </xf>
    <xf numFmtId="14" fontId="0" fillId="0" borderId="0" xfId="1" applyNumberFormat="1" applyFont="1" applyBorder="1"/>
    <xf numFmtId="0" fontId="0" fillId="0" borderId="0" xfId="1" applyNumberFormat="1" applyFont="1" applyBorder="1"/>
    <xf numFmtId="165" fontId="0" fillId="0" borderId="0" xfId="1" applyNumberFormat="1" applyFont="1" applyBorder="1"/>
    <xf numFmtId="0" fontId="6" fillId="0" borderId="0" xfId="1" applyNumberFormat="1" applyFont="1" applyBorder="1"/>
    <xf numFmtId="0" fontId="1" fillId="0" borderId="1" xfId="0" applyFont="1" applyBorder="1" applyAlignment="1">
      <alignment horizontal="left"/>
    </xf>
    <xf numFmtId="164" fontId="1" fillId="0" borderId="1" xfId="0" applyNumberFormat="1" applyFont="1" applyBorder="1" applyAlignment="1">
      <alignment horizontal="left"/>
    </xf>
    <xf numFmtId="0" fontId="0" fillId="0" borderId="0" xfId="0" applyNumberFormat="1"/>
  </cellXfs>
  <cellStyles count="2">
    <cellStyle name="Comma" xfId="1" builtinId="3"/>
    <cellStyle name="Normal" xfId="0" builtinId="0"/>
  </cellStyles>
  <dxfs count="166">
    <dxf>
      <font>
        <b/>
      </font>
    </dxf>
    <dxf>
      <font>
        <sz val="14"/>
      </font>
    </dxf>
    <dxf>
      <font>
        <b/>
      </font>
    </dxf>
    <dxf>
      <font>
        <sz val="14"/>
      </font>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font>
        <b/>
      </font>
    </dxf>
    <dxf>
      <font>
        <sz val="14"/>
      </font>
    </dxf>
    <dxf>
      <numFmt numFmtId="164" formatCode="_-* #,##0_-;\-* #,##0_-;_-* &quot;-&quot;??_-;_-@_-"/>
    </dxf>
    <dxf>
      <numFmt numFmtId="164" formatCode="_-* #,##0_-;\-* #,##0_-;_-* &quot;-&quot;??_-;_-@_-"/>
    </dxf>
    <dxf>
      <numFmt numFmtId="1" formatCode="0"/>
    </dxf>
    <dxf>
      <numFmt numFmtId="2" formatCode="0.00"/>
    </dxf>
    <dxf>
      <numFmt numFmtId="164" formatCode="_-* #,##0_-;\-* #,##0_-;_-* &quot;-&quot;??_-;_-@_-"/>
    </dxf>
    <dxf>
      <numFmt numFmtId="164" formatCode="_-* #,##0_-;\-* #,##0_-;_-* &quot;-&quot;??_-;_-@_-"/>
    </dxf>
    <dxf>
      <numFmt numFmtId="164" formatCode="_-* #,##0_-;\-* #,##0_-;_-* &quot;-&quot;??_-;_-@_-"/>
    </dxf>
    <dxf>
      <numFmt numFmtId="164" formatCode="_-* #,##0_-;\-* #,##0_-;_-* &quot;-&quot;??_-;_-@_-"/>
    </dxf>
    <dxf>
      <numFmt numFmtId="1" formatCode="0"/>
    </dxf>
    <dxf>
      <numFmt numFmtId="2" formatCode="0.00"/>
    </dxf>
    <dxf>
      <font>
        <b/>
      </font>
    </dxf>
    <dxf>
      <font>
        <sz val="14"/>
      </font>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numFmt numFmtId="164" formatCode="_-* #,##0_-;\-* #,##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4" formatCode="_-* #,##0_-;\-* #,##0_-;_-* &quot;-&quot;??_-;_-@_-"/>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0" formatCode="Genera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microsoft.com/office/2017/10/relationships/person" Target="persons/perso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s>
</file>

<file path=xl/drawings/drawing1.xml><?xml version="1.0" encoding="utf-8"?>
<xdr:wsDr xmlns:xdr="http://schemas.openxmlformats.org/drawingml/2006/spreadsheetDrawing" xmlns:a="http://schemas.openxmlformats.org/drawingml/2006/main">
  <xdr:twoCellAnchor editAs="absolute">
    <xdr:from>
      <xdr:col>11</xdr:col>
      <xdr:colOff>254644</xdr:colOff>
      <xdr:row>110</xdr:row>
      <xdr:rowOff>2672</xdr:rowOff>
    </xdr:from>
    <xdr:to>
      <xdr:col>15</xdr:col>
      <xdr:colOff>447002</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670701</xdr:colOff>
      <xdr:row>169</xdr:row>
      <xdr:rowOff>13217</xdr:rowOff>
    </xdr:from>
    <xdr:to>
      <xdr:col>2</xdr:col>
      <xdr:colOff>305918</xdr:colOff>
      <xdr:row>177</xdr:row>
      <xdr:rowOff>71617</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70701" y="30674646"/>
              <a:ext cx="1878884" cy="15098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9</xdr:col>
      <xdr:colOff>254411</xdr:colOff>
      <xdr:row>27</xdr:row>
      <xdr:rowOff>94595</xdr:rowOff>
    </xdr:from>
    <xdr:to>
      <xdr:col>10</xdr:col>
      <xdr:colOff>1236689</xdr:colOff>
      <xdr:row>40</xdr:row>
      <xdr:rowOff>131164</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9523329" y="5010120"/>
              <a:ext cx="1869196" cy="2391274"/>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423058</xdr:colOff>
      <xdr:row>7</xdr:row>
      <xdr:rowOff>43181</xdr:rowOff>
    </xdr:from>
    <xdr:to>
      <xdr:col>13</xdr:col>
      <xdr:colOff>292657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121347</xdr:colOff>
      <xdr:row>12</xdr:row>
      <xdr:rowOff>138748</xdr:rowOff>
    </xdr:from>
    <xdr:to>
      <xdr:col>14</xdr:col>
      <xdr:colOff>428400</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438574</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September.xlsx" TargetMode="External"/><Relationship Id="rId1" Type="http://schemas.openxmlformats.org/officeDocument/2006/relationships/externalLinkPath" Target="Factory_Khata_Septemb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P5">
            <v>1665929</v>
          </cell>
          <cell r="Q5">
            <v>1523344.0014630579</v>
          </cell>
          <cell r="R5">
            <v>1493155.6327724946</v>
          </cell>
          <cell r="S5">
            <v>30188.368690563279</v>
          </cell>
          <cell r="T5">
            <v>14931556.327724949</v>
          </cell>
          <cell r="U5">
            <v>362260.42428675934</v>
          </cell>
          <cell r="W5">
            <v>12854653</v>
          </cell>
        </row>
        <row r="6">
          <cell r="O6" t="str">
            <v>Ejaz Sahab</v>
          </cell>
          <cell r="P6">
            <v>159072</v>
          </cell>
          <cell r="Q6">
            <v>145457.20555961962</v>
          </cell>
          <cell r="R6">
            <v>130559.6196049744</v>
          </cell>
          <cell r="S6">
            <v>14897.58595464521</v>
          </cell>
          <cell r="T6">
            <v>1305596.196049744</v>
          </cell>
          <cell r="U6">
            <v>178771.03145574252</v>
          </cell>
          <cell r="W6">
            <v>859904</v>
          </cell>
        </row>
        <row r="7">
          <cell r="O7" t="str">
            <v>Arshad</v>
          </cell>
          <cell r="P7">
            <v>259748</v>
          </cell>
          <cell r="Q7">
            <v>237516.45940014633</v>
          </cell>
          <cell r="R7">
            <v>222722.20190197515</v>
          </cell>
          <cell r="S7">
            <v>14794.257498171179</v>
          </cell>
          <cell r="T7">
            <v>2227222.0190197513</v>
          </cell>
          <cell r="U7">
            <v>177531.08997805414</v>
          </cell>
          <cell r="W7">
            <v>2306701</v>
          </cell>
        </row>
        <row r="8">
          <cell r="O8" t="str">
            <v>Shehzad Kamoki</v>
          </cell>
          <cell r="P8">
            <v>134607</v>
          </cell>
          <cell r="Q8">
            <v>123086.13752743235</v>
          </cell>
          <cell r="R8">
            <v>123086.13752743235</v>
          </cell>
          <cell r="S8">
            <v>0</v>
          </cell>
          <cell r="T8">
            <v>1269270.3440380397</v>
          </cell>
          <cell r="U8">
            <v>0</v>
          </cell>
          <cell r="W8">
            <v>1268740</v>
          </cell>
        </row>
        <row r="9">
          <cell r="O9" t="str">
            <v>Sufi Nawaz Sahab</v>
          </cell>
          <cell r="P9">
            <v>1186725</v>
          </cell>
          <cell r="Q9">
            <v>1085154.5354791514</v>
          </cell>
          <cell r="R9">
            <v>599330.65106071695</v>
          </cell>
          <cell r="S9">
            <v>485823.88441843458</v>
          </cell>
          <cell r="T9">
            <v>5393975.8595464528</v>
          </cell>
          <cell r="U9">
            <v>5829886.6130212145</v>
          </cell>
          <cell r="W9">
            <v>8629100</v>
          </cell>
        </row>
        <row r="10">
          <cell r="O10" t="str">
            <v>Sajad Khan</v>
          </cell>
          <cell r="P10">
            <v>481660</v>
          </cell>
          <cell r="Q10">
            <v>440435.25969275786</v>
          </cell>
          <cell r="R10">
            <v>440435.25969275786</v>
          </cell>
          <cell r="S10">
            <v>0</v>
          </cell>
          <cell r="T10">
            <v>4404352.5969275786</v>
          </cell>
          <cell r="U10">
            <v>0</v>
          </cell>
          <cell r="W10">
            <v>3751266</v>
          </cell>
        </row>
        <row r="11">
          <cell r="O11" t="str">
            <v>Raaz Fabrics</v>
          </cell>
          <cell r="P11">
            <v>75559</v>
          </cell>
          <cell r="Q11">
            <v>69091.989758595475</v>
          </cell>
          <cell r="R11">
            <v>69091.989758595475</v>
          </cell>
          <cell r="S11">
            <v>0</v>
          </cell>
          <cell r="T11">
            <v>690919.89758595475</v>
          </cell>
          <cell r="U11">
            <v>0</v>
          </cell>
          <cell r="W11">
            <v>600000</v>
          </cell>
        </row>
        <row r="12">
          <cell r="O12" t="str">
            <v>Azam</v>
          </cell>
          <cell r="P12">
            <v>176954</v>
          </cell>
          <cell r="Q12">
            <v>161808.70519385519</v>
          </cell>
          <cell r="R12">
            <v>161808.70519385519</v>
          </cell>
          <cell r="S12">
            <v>0</v>
          </cell>
          <cell r="T12">
            <v>1618087.0519385519</v>
          </cell>
          <cell r="U12">
            <v>0</v>
          </cell>
          <cell r="W12">
            <v>1617620</v>
          </cell>
        </row>
        <row r="13">
          <cell r="O13" t="str">
            <v>Ubaidullah</v>
          </cell>
          <cell r="P13">
            <v>65752</v>
          </cell>
          <cell r="Q13">
            <v>60124.35991221654</v>
          </cell>
          <cell r="R13">
            <v>45128.931967812736</v>
          </cell>
          <cell r="S13">
            <v>14995.427944403806</v>
          </cell>
          <cell r="T13">
            <v>451289.31967812736</v>
          </cell>
          <cell r="U13">
            <v>179945.13533284568</v>
          </cell>
          <cell r="W13">
            <v>451150</v>
          </cell>
        </row>
        <row r="14">
          <cell r="O14" t="str">
            <v>Ashraf Zia</v>
          </cell>
          <cell r="P14">
            <v>23305</v>
          </cell>
          <cell r="Q14">
            <v>21310.35113386979</v>
          </cell>
          <cell r="R14">
            <v>21310.35113386979</v>
          </cell>
          <cell r="S14">
            <v>0</v>
          </cell>
          <cell r="T14">
            <v>255724.21360643749</v>
          </cell>
          <cell r="U14">
            <v>0</v>
          </cell>
          <cell r="W14">
            <v>0</v>
          </cell>
        </row>
        <row r="15">
          <cell r="O15" t="str">
            <v>Hafiz Qureshi</v>
          </cell>
          <cell r="P15">
            <v>48871</v>
          </cell>
          <cell r="Q15">
            <v>44688.185808339433</v>
          </cell>
          <cell r="R15">
            <v>44688.185808339433</v>
          </cell>
          <cell r="S15">
            <v>0</v>
          </cell>
          <cell r="T15">
            <v>446881.85808339436</v>
          </cell>
          <cell r="U15">
            <v>0</v>
          </cell>
          <cell r="W15">
            <v>400000</v>
          </cell>
        </row>
        <row r="16">
          <cell r="O16" t="str">
            <v>Badshah Fabrics</v>
          </cell>
          <cell r="P16">
            <v>276597</v>
          </cell>
          <cell r="Q16">
            <v>252923.37234820778</v>
          </cell>
          <cell r="R16">
            <v>189768.65398683251</v>
          </cell>
          <cell r="S16">
            <v>63154.718361375279</v>
          </cell>
          <cell r="T16">
            <v>1897686.539868325</v>
          </cell>
          <cell r="U16">
            <v>757856.62033650337</v>
          </cell>
          <cell r="W16">
            <v>1370000</v>
          </cell>
        </row>
        <row r="17">
          <cell r="O17" t="str">
            <v>Reject</v>
          </cell>
          <cell r="P17">
            <v>0</v>
          </cell>
          <cell r="Q17">
            <v>0</v>
          </cell>
          <cell r="R17">
            <v>0</v>
          </cell>
          <cell r="S17">
            <v>0</v>
          </cell>
          <cell r="T17">
            <v>0</v>
          </cell>
          <cell r="U17">
            <v>0</v>
          </cell>
          <cell r="W17">
            <v>0</v>
          </cell>
        </row>
        <row r="18">
          <cell r="O18" t="str">
            <v>Amjad 7up</v>
          </cell>
          <cell r="P18">
            <v>52914</v>
          </cell>
          <cell r="Q18">
            <v>48385.149963423559</v>
          </cell>
          <cell r="R18">
            <v>48385.149963423559</v>
          </cell>
          <cell r="S18">
            <v>0</v>
          </cell>
          <cell r="T18">
            <v>483851.49963423557</v>
          </cell>
          <cell r="U18">
            <v>0</v>
          </cell>
          <cell r="W18">
            <v>0</v>
          </cell>
        </row>
        <row r="19">
          <cell r="O19" t="str">
            <v>Hazrat Khan</v>
          </cell>
          <cell r="P19">
            <v>9750</v>
          </cell>
          <cell r="Q19">
            <v>8915.5084125822978</v>
          </cell>
          <cell r="R19">
            <v>8915.5084125822978</v>
          </cell>
          <cell r="S19">
            <v>0</v>
          </cell>
          <cell r="T19">
            <v>89155.084125822978</v>
          </cell>
          <cell r="U19">
            <v>0</v>
          </cell>
          <cell r="W19">
            <v>0</v>
          </cell>
        </row>
        <row r="20">
          <cell r="O20" t="str">
            <v>Haseeb Shamsi</v>
          </cell>
          <cell r="P20">
            <v>28026</v>
          </cell>
          <cell r="Q20">
            <v>25627.286027798102</v>
          </cell>
          <cell r="R20">
            <v>25627.286027798102</v>
          </cell>
          <cell r="S20">
            <v>0</v>
          </cell>
          <cell r="T20">
            <v>256272.86027798103</v>
          </cell>
          <cell r="U20">
            <v>0</v>
          </cell>
          <cell r="W20">
            <v>0</v>
          </cell>
        </row>
        <row r="21">
          <cell r="P21">
            <v>0</v>
          </cell>
          <cell r="Q21">
            <v>0</v>
          </cell>
          <cell r="R21">
            <v>0</v>
          </cell>
          <cell r="S21">
            <v>0</v>
          </cell>
          <cell r="T21">
            <v>0</v>
          </cell>
          <cell r="U21">
            <v>0</v>
          </cell>
          <cell r="W21">
            <v>0</v>
          </cell>
        </row>
        <row r="22">
          <cell r="P22">
            <v>0</v>
          </cell>
          <cell r="Q22">
            <v>0</v>
          </cell>
          <cell r="R22">
            <v>0</v>
          </cell>
          <cell r="S22">
            <v>0</v>
          </cell>
          <cell r="T22">
            <v>0</v>
          </cell>
          <cell r="U22">
            <v>0</v>
          </cell>
          <cell r="W22">
            <v>0</v>
          </cell>
        </row>
        <row r="23">
          <cell r="P23">
            <v>0</v>
          </cell>
          <cell r="Q23">
            <v>0</v>
          </cell>
          <cell r="R23">
            <v>0</v>
          </cell>
          <cell r="S23">
            <v>0</v>
          </cell>
          <cell r="T23">
            <v>0</v>
          </cell>
          <cell r="U23">
            <v>0</v>
          </cell>
          <cell r="W23">
            <v>0</v>
          </cell>
        </row>
      </sheetData>
      <sheetData sheetId="1"/>
      <sheetData sheetId="2"/>
      <sheetData sheetId="3"/>
      <sheetData sheetId="4"/>
      <sheetData sheetId="5"/>
      <sheetData sheetId="6"/>
      <sheetData sheetId="7">
        <row r="5">
          <cell r="N5">
            <v>1008</v>
          </cell>
        </row>
        <row r="6">
          <cell r="N6">
            <v>770</v>
          </cell>
        </row>
      </sheetData>
      <sheetData sheetId="8"/>
      <sheetData sheetId="9"/>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3.882909490741" createdVersion="8" refreshedVersion="8" minRefreshableVersion="3" recordCount="98" xr:uid="{B5BDFB73-D93A-4A7A-8149-666BC190B09B}">
  <cacheSource type="worksheet">
    <worksheetSource name="Table14"/>
  </cacheSource>
  <cacheFields count="7">
    <cacheField name="Date" numFmtId="14">
      <sharedItems containsSemiMixedTypes="0" containsNonDate="0" containsDate="1" containsString="0" minDate="2025-10-17T00:00:00" maxDate="2025-10-24T00:00:00"/>
    </cacheField>
    <cacheField name="Party" numFmtId="0">
      <sharedItems containsBlank="1" count="52">
        <s v="Closing September CF"/>
        <s v="BSC"/>
        <s v="Malik Zaheer"/>
        <s v="advance salary"/>
        <s v="Transport"/>
        <s v="Omer"/>
        <s v="Kaleem ullah"/>
        <s v="Misc"/>
        <s v="Salary"/>
        <s v="Ishaq"/>
        <s v="Temp"/>
        <s v="Faizan"/>
        <s v="Sajad khan"/>
        <s v="Unicolour"/>
        <s v="Parts"/>
        <s v="madina dyes"/>
        <s v="Dasti"/>
        <s v="copper"/>
        <s v="sunsuper theka"/>
        <s v="Dyes"/>
        <s v="electric bill"/>
        <s v="Arshad"/>
        <s v="Rashan"/>
        <m/>
        <s v="Closing August CF" u="1"/>
        <s v="Ejaz Sahab" u="1"/>
        <s v="Hafiz Qureshi" u="1"/>
        <s v="Rafaqat" u="1"/>
        <s v="Azam" u="1"/>
        <s v="Sufi Nawaz Sahab" u="1"/>
        <s v="Finish" u="1"/>
        <s v="Chain Acc" u="1"/>
        <s v="Badshah Fabrics" u="1"/>
        <s v="Ubaidullah" u="1"/>
        <s v="Shehzad Kamoki" u="1"/>
        <s v="Cash" u="1"/>
        <s v="Raaz Fabrics" u="1"/>
        <s v="Shamil" u="1"/>
        <s v="ARB dasti" u="1"/>
        <s v="AS traders" u="1"/>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420" maxValue="2503038"/>
    </cacheField>
    <cacheField name="Credit" numFmtId="164">
      <sharedItems containsString="0" containsBlank="1" containsNumber="1" containsInteger="1" minValue="770" maxValue="2503038"/>
    </cacheField>
    <cacheField name="Description" numFmtId="0">
      <sharedItems containsBlank="1"/>
    </cacheField>
    <cacheField name="Mode" numFmtId="0">
      <sharedItems containsBlank="1"/>
    </cacheField>
    <cacheField name="Withdrawal"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3.882909953703" createdVersion="8" refreshedVersion="8" minRefreshableVersion="3" recordCount="17" xr:uid="{C9337D87-FB7F-43A5-B835-F515E859066B}">
  <cacheSource type="worksheet">
    <worksheetSource name="Table4"/>
  </cacheSource>
  <cacheFields count="4">
    <cacheField name="Party Name" numFmtId="0">
      <sharedItems containsMixedTypes="1" containsNumber="1" containsInteger="1" minValue="0" maxValue="0" count="18">
        <s v="BSC"/>
        <s v="Ejaz Sahab"/>
        <s v="Arshad"/>
        <s v="Shehzad Kamoki"/>
        <s v="Sufi Nawaz Sahab"/>
        <s v="Sajad Khan"/>
        <s v="Raaz Fabrics"/>
        <s v="Azam"/>
        <s v="Ubaidullah"/>
        <s v="Ashraf Zia"/>
        <s v="Hafiz Qureshi"/>
        <s v="Badshah Fabrics"/>
        <s v="Reject"/>
        <s v="Amjad 7up"/>
        <s v="Hazrat Khan"/>
        <s v="Haseeb Shamsi"/>
        <s v="Faizan"/>
        <n v="0" u="1"/>
      </sharedItems>
    </cacheField>
    <cacheField name="Tiyaar" numFmtId="1">
      <sharedItems containsSemiMixedTypes="0" containsString="0" containsNumber="1" minValue="0" maxValue="68918.251645940021"/>
    </cacheField>
    <cacheField name="Rate" numFmtId="0">
      <sharedItems containsString="0" containsBlank="1" containsNumber="1" minValue="10" maxValue="12"/>
    </cacheField>
    <cacheField name="Total" numFmtId="164">
      <sharedItems containsSemiMixedTypes="0" containsString="0" containsNumber="1" minValue="0" maxValue="698010.2414045356"/>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3.882910185188" createdVersion="8" refreshedVersion="8" minRefreshableVersion="3" recordCount="6" xr:uid="{AC867DCC-CE64-4D1A-827D-F1F3EE10EE4E}">
  <cacheSource type="worksheet">
    <worksheetSource name="Table8"/>
  </cacheSource>
  <cacheFields count="9">
    <cacheField name="Date" numFmtId="0">
      <sharedItems containsNonDate="0" containsDate="1" containsString="0" containsBlank="1" minDate="2025-05-16T00:00:00" maxDate="2025-10-19T00:00:00" count="29">
        <d v="2025-10-17T00:00:00"/>
        <d v="2025-10-18T00:00:00"/>
        <m/>
        <d v="2025-09-16T00:00:00" u="1"/>
        <d v="2025-09-19T00:00:00" u="1"/>
        <d v="2025-09-22T00:00:00" u="1"/>
        <d v="2025-09-26T00:00:00" u="1"/>
        <d v="2025-09-27T00:00:00" u="1"/>
        <d v="2025-10-09T00:00:00" u="1"/>
        <d v="2025-10-14T00:00:00" u="1"/>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ontainsBlank="1"/>
    </cacheField>
    <cacheField name="Boxes" numFmtId="0">
      <sharedItems containsNonDate="0" containsString="0" containsBlank="1"/>
    </cacheField>
    <cacheField name="Rate" numFmtId="0">
      <sharedItems containsNonDate="0" containsString="0" containsBlank="1"/>
    </cacheField>
    <cacheField name="Price" numFmtId="0">
      <sharedItems containsNonDate="0" containsString="0" containsBlank="1"/>
    </cacheField>
    <cacheField name="Party" numFmtId="0">
      <sharedItems containsBlank="1" count="5">
        <s v="Unicolour"/>
        <s v="madina dyes"/>
        <m/>
        <s v="Al madina" u="1"/>
        <s v="-" u="1"/>
      </sharedItems>
    </cacheField>
    <cacheField name="Paid" numFmtId="0">
      <sharedItems containsSemiMixedTypes="0" containsString="0" containsNumber="1" containsInteger="1" minValue="0" maxValue="300000"/>
    </cacheField>
    <cacheField name="Balance" numFmtId="0">
      <sharedItems containsSemiMixedTypes="0" containsString="0" containsNumber="1" containsInteger="1" minValue="-300000" maxValue="640125"/>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3.882910300927" createdVersion="8" refreshedVersion="8" minRefreshableVersion="3" recordCount="20" xr:uid="{3E5C2981-ACF5-44A9-8567-B1D65DB3A8D2}">
  <cacheSource type="worksheet">
    <worksheetSource name="Table3"/>
  </cacheSource>
  <cacheFields count="9">
    <cacheField name="Date" numFmtId="14">
      <sharedItems containsNonDate="0" containsDate="1" containsString="0" containsBlank="1" minDate="2025-05-02T00:00:00" maxDate="2025-10-24T00:00:00" count="87">
        <d v="2025-10-17T00:00:00"/>
        <d v="2025-10-18T00:00:00"/>
        <d v="2025-10-20T00:00:00"/>
        <d v="2025-10-21T00:00:00"/>
        <d v="2025-10-22T00:00:00"/>
        <d v="2025-10-23T00:00:00"/>
        <m/>
        <d v="2025-09-16T00:00:00" u="1"/>
        <d v="2025-09-17T00:00:00" u="1"/>
        <d v="2025-09-18T00:00:00" u="1"/>
        <d v="2025-09-19T00:00:00" u="1"/>
        <d v="2025-09-20T00:00:00" u="1"/>
        <d v="2025-09-21T00:00:00" u="1"/>
        <d v="2025-09-22T00:00:00" u="1"/>
        <d v="2025-09-23T00:00:00" u="1"/>
        <d v="2025-09-24T00:00:00" u="1"/>
        <d v="2025-09-25T00:00:00" u="1"/>
        <d v="2025-09-26T00:00:00" u="1"/>
        <d v="2025-09-27T00:00:00" u="1"/>
        <d v="2025-09-28T00:00:00" u="1"/>
        <d v="2025-09-29T00:00:00" u="1"/>
        <d v="2025-09-30T00:00:00" u="1"/>
        <d v="2025-10-01T00:00:00" u="1"/>
        <d v="2025-10-02T00:00:00" u="1"/>
        <d v="2025-10-03T00:00:00" u="1"/>
        <d v="2025-10-04T00:00:00" u="1"/>
        <d v="2025-10-05T00:00:00" u="1"/>
        <d v="2025-10-06T00:00:00" u="1"/>
        <d v="2025-10-07T00:00:00" u="1"/>
        <d v="2025-10-08T00:00:00" u="1"/>
        <d v="2025-10-10T00:00:00" u="1"/>
        <d v="2025-10-12T00:00:00" u="1"/>
        <d v="2025-10-13T00:00:00" u="1"/>
        <d v="2025-10-14T00:00:00" u="1"/>
        <d v="2025-10-15T00:00:00" u="1"/>
        <d v="2025-10-16T00:00:00" u="1"/>
        <d v="2025-09-01T00:00:00" u="1"/>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8">
        <s v="Malik Zaheer"/>
        <s v="Aqib"/>
        <s v="Rafaqat"/>
        <s v="Kaleem ullah"/>
        <s v="Ishaq"/>
        <m/>
        <s v="Shamil" u="1"/>
        <s v="Aqib Freight" u="1"/>
      </sharedItems>
    </cacheField>
    <cacheField name="Vehicle Number" numFmtId="0">
      <sharedItems containsBlank="1" containsMixedTypes="1" containsNumber="1" containsInteger="1" minValue="31" maxValue="9940" count="59">
        <s v="Closing Balance CF"/>
        <m/>
        <s v="LES 3747"/>
        <s v="TKL 364"/>
        <s v="TKQ 364"/>
        <s v="LXT 8141"/>
        <n v="3414" u="1"/>
        <n v="112" u="1"/>
        <n v="1435" u="1"/>
        <n v="4646" u="1"/>
        <n v="1196" u="1"/>
        <n v="4366" u="1"/>
        <n v="442" u="1"/>
        <n v="6613" u="1"/>
        <n v="4095" u="1"/>
        <n v="3229" u="1"/>
        <n v="162" u="1"/>
        <n v="8141" u="1"/>
        <n v="5560" u="1"/>
        <n v="685" u="1"/>
        <n v="571" u="1"/>
        <n v="160" u="1"/>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157" maxValue="445"/>
    </cacheField>
    <cacheField name="Rate" numFmtId="164">
      <sharedItems containsString="0" containsBlank="1" containsNumber="1" containsInteger="1" minValue="580" maxValue="810"/>
    </cacheField>
    <cacheField name="Rent" numFmtId="164">
      <sharedItems containsString="0" containsBlank="1" containsNumber="1" containsInteger="1" minValue="44000" maxValue="76105"/>
    </cacheField>
    <cacheField name="Total" numFmtId="164">
      <sharedItems containsSemiMixedTypes="0" containsString="0" containsNumber="1" containsInteger="1" minValue="0" maxValue="360450"/>
    </cacheField>
    <cacheField name="Paid" numFmtId="164">
      <sharedItems containsString="0" containsBlank="1" containsNumber="1" containsInteger="1" minValue="0" maxValue="437100"/>
    </cacheField>
    <cacheField name="balance" numFmtId="164">
      <sharedItems containsSemiMixedTypes="0" containsString="0" containsNumber="1" containsInteger="1" minValue="-244675" maxValue="197228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3.88291064815" createdVersion="8" refreshedVersion="8" minRefreshableVersion="3" recordCount="5" xr:uid="{376A650C-1F79-4049-BC45-E34989F046B2}">
  <cacheSource type="worksheet">
    <worksheetSource name="Table2"/>
  </cacheSource>
  <cacheFields count="8">
    <cacheField name="Date" numFmtId="14">
      <sharedItems containsNonDate="0" containsDate="1" containsString="0" containsBlank="1" minDate="2025-10-15T00:00:00" maxDate="2025-10-18T00:00:00"/>
    </cacheField>
    <cacheField name="Party Name" numFmtId="14">
      <sharedItems containsBlank="1" count="6">
        <s v="Finish"/>
        <s v="Faysal Akraam"/>
        <s v="AS Traders"/>
        <m/>
        <s v="-" u="1"/>
        <s v="Faysal" u="1"/>
      </sharedItems>
    </cacheField>
    <cacheField name="Item" numFmtId="0">
      <sharedItems containsBlank="1"/>
    </cacheField>
    <cacheField name="Boxes" numFmtId="0">
      <sharedItems containsString="0" containsBlank="1" containsNumber="1" containsInteger="1" minValue="4" maxValue="4"/>
    </cacheField>
    <cacheField name="Quantity" numFmtId="0">
      <sharedItems containsString="0" containsBlank="1" containsNumber="1" containsInteger="1" minValue="160" maxValue="160"/>
    </cacheField>
    <cacheField name="Price" numFmtId="0">
      <sharedItems containsSemiMixedTypes="0" containsString="0" containsNumber="1" containsInteger="1" minValue="0" maxValue="128000"/>
    </cacheField>
    <cacheField name="Paid" numFmtId="0">
      <sharedItems containsSemiMixedTypes="0" containsString="0" containsNumber="1" containsInteger="1" minValue="0" maxValue="0"/>
    </cacheField>
    <cacheField name="Balance" numFmtId="0">
      <sharedItems containsSemiMixedTypes="0" containsString="0" containsNumber="1" containsInteger="1" minValue="-5000" maxValue="353250"/>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3.882910763889" createdVersion="8" refreshedVersion="8" minRefreshableVersion="3" recordCount="49" xr:uid="{46CBB50D-3613-4E5B-8212-DD0313DCD05A}">
  <cacheSource type="worksheet">
    <worksheetSource name="Table1"/>
  </cacheSource>
  <cacheFields count="14">
    <cacheField name="Date" numFmtId="14">
      <sharedItems containsSemiMixedTypes="0" containsNonDate="0" containsDate="1" containsString="0" minDate="2025-07-25T00:00:00" maxDate="2025-10-23T00:00:00" count="72">
        <d v="2025-10-17T00:00:00"/>
        <d v="2025-10-18T00:00:00"/>
        <d v="2025-10-20T00:00:00"/>
        <d v="2025-10-21T00:00:00"/>
        <d v="2025-10-22T00:00:00"/>
        <d v="2025-09-16T00:00:00" u="1"/>
        <d v="2025-09-17T00:00:00" u="1"/>
        <d v="2025-09-18T00:00:00" u="1"/>
        <d v="2025-09-19T00:00:00" u="1"/>
        <d v="2025-09-20T00:00:00" u="1"/>
        <d v="2025-09-22T00:00:00" u="1"/>
        <d v="2025-09-23T00:00:00" u="1"/>
        <d v="2025-09-24T00:00:00" u="1"/>
        <d v="2025-09-25T00:00:00" u="1"/>
        <d v="2025-09-26T00:00:00" u="1"/>
        <d v="2025-09-27T00:00:00" u="1"/>
        <d v="2025-09-29T00:00:00" u="1"/>
        <d v="2025-09-30T00:00:00" u="1"/>
        <d v="2025-10-01T00:00:00" u="1"/>
        <d v="2025-10-03T00:00:00" u="1"/>
        <d v="2025-10-04T00:00:00" u="1"/>
        <d v="2025-10-06T00:00:00" u="1"/>
        <d v="2025-10-07T00:00:00" u="1"/>
        <d v="2025-10-08T00:00:00" u="1"/>
        <d v="2025-10-14T00:00:00" u="1"/>
        <d v="2025-10-15T00:00:00" u="1"/>
        <d v="2025-10-16T00:00:00" u="1"/>
        <d v="2025-08-19T00:00:00" u="1"/>
        <d v="2025-10-02T00:00:00" u="1"/>
        <d v="2025-10-05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26">
        <s v="BSC"/>
        <s v="Ejaz Sahab"/>
        <s v="Arshad"/>
        <s v="Shehzad Kamoki"/>
        <s v="Sufi Nawaz Sahab"/>
        <s v="Sajad Khan"/>
        <s v="Raaz Fabrics"/>
        <s v="Azam"/>
        <s v="Ubaidullah"/>
        <s v="Ashraf Zia"/>
        <s v="Hafiz Qureshi"/>
        <s v="Badshah Fabrics"/>
        <s v="Reject"/>
        <s v="Amjad 7up"/>
        <s v="Hazrat Khan"/>
        <s v="Haseeb Shamsi"/>
        <s v="Faizan"/>
        <s v="Shafique Ansari"/>
        <s v="Amjad sohail"/>
        <m u="1"/>
        <s v="YING" u="1"/>
        <s v="Meow" u="1"/>
        <s v="Umer Sb" u="1"/>
        <s v="-" u="1"/>
        <s v="Sajjad" u="1"/>
        <s v="Haji Ejaz" u="1"/>
      </sharedItems>
    </cacheField>
    <cacheField name="Bill Number" numFmtId="0">
      <sharedItems containsMixedTypes="1" containsNumber="1" containsInteger="1" minValue="604" maxValue="1001" count="384">
        <s v="September Closing CF"/>
        <n v="985"/>
        <n v="986"/>
        <n v="987"/>
        <n v="988"/>
        <n v="989"/>
        <n v="990"/>
        <n v="991"/>
        <n v="992"/>
        <n v="993"/>
        <n v="994"/>
        <n v="995"/>
        <n v="996"/>
        <n v="997"/>
        <n v="998"/>
        <n v="999"/>
        <n v="1000"/>
        <n v="1001"/>
        <n v="835" u="1"/>
        <n v="836" u="1"/>
        <n v="837" u="1"/>
        <n v="838" u="1"/>
        <n v="839" u="1"/>
        <n v="840" u="1"/>
        <n v="841" u="1"/>
        <n v="842" u="1"/>
        <n v="843" u="1"/>
        <n v="844" u="1"/>
        <n v="845" u="1"/>
        <n v="846" u="1"/>
        <n v="847" u="1"/>
        <n v="848" u="1"/>
        <n v="849" u="1"/>
        <n v="850" u="1"/>
        <n v="851" u="1"/>
        <n v="852" u="1"/>
        <n v="853" u="1"/>
        <n v="854" u="1"/>
        <n v="855" u="1"/>
        <n v="856" u="1"/>
        <n v="857" u="1"/>
        <n v="858" u="1"/>
        <n v="859" u="1"/>
        <n v="860" u="1"/>
        <n v="861" u="1"/>
        <n v="862" u="1"/>
        <n v="863" u="1"/>
        <n v="864" u="1"/>
        <n v="865" u="1"/>
        <n v="866" u="1"/>
        <n v="867" u="1"/>
        <n v="868" u="1"/>
        <n v="869" u="1"/>
        <n v="870" u="1"/>
        <n v="871" u="1"/>
        <n v="872" u="1"/>
        <n v="873" u="1"/>
        <n v="874" u="1"/>
        <n v="875" u="1"/>
        <n v="876" u="1"/>
        <n v="877" u="1"/>
        <n v="878" u="1"/>
        <n v="879" u="1"/>
        <n v="880" u="1"/>
        <n v="881" u="1"/>
        <n v="882" u="1"/>
        <n v="883" u="1"/>
        <n v="884" u="1"/>
        <n v="885" u="1"/>
        <n v="886" u="1"/>
        <n v="887" u="1"/>
        <n v="888" u="1"/>
        <n v="889" u="1"/>
        <n v="890" u="1"/>
        <n v="891" u="1"/>
        <n v="892" u="1"/>
        <n v="893" u="1"/>
        <n v="894" u="1"/>
        <n v="895" u="1"/>
        <n v="896" u="1"/>
        <n v="897" u="1"/>
        <n v="898" u="1"/>
        <n v="901" u="1"/>
        <n v="902" u="1"/>
        <n v="903" u="1"/>
        <n v="904" u="1"/>
        <n v="905" u="1"/>
        <n v="906" u="1"/>
        <n v="907" u="1"/>
        <n v="908" u="1"/>
        <n v="909" u="1"/>
        <n v="910" u="1"/>
        <n v="911" u="1"/>
        <n v="912" u="1"/>
        <n v="913" u="1"/>
        <n v="914" u="1"/>
        <n v="915" u="1"/>
        <n v="916" u="1"/>
        <n v="917" u="1"/>
        <n v="918" u="1"/>
        <n v="919" u="1"/>
        <n v="920" u="1"/>
        <n v="921" u="1"/>
        <n v="922" u="1"/>
        <n v="923" u="1"/>
        <n v="924" u="1"/>
        <n v="925" u="1"/>
        <n v="926" u="1"/>
        <n v="927" u="1"/>
        <n v="928" u="1"/>
        <n v="929" u="1"/>
        <n v="930" u="1"/>
        <n v="931" u="1"/>
        <n v="932" u="1"/>
        <n v="933" u="1"/>
        <n v="934" u="1"/>
        <n v="935" u="1"/>
        <n v="936" u="1"/>
        <n v="937" u="1"/>
        <n v="938" u="1"/>
        <n v="939" u="1"/>
        <n v="940" u="1"/>
        <n v="941" u="1"/>
        <n v="942" u="1"/>
        <n v="943" u="1"/>
        <n v="944" u="1"/>
        <n v="945" u="1"/>
        <n v="946" u="1"/>
        <n v="947" u="1"/>
        <n v="948" u="1"/>
        <n v="949" u="1"/>
        <n v="950" u="1"/>
        <n v="951" u="1"/>
        <n v="952" u="1"/>
        <n v="953" u="1"/>
        <n v="954" u="1"/>
        <n v="955" u="1"/>
        <n v="956" u="1"/>
        <n v="957" u="1"/>
        <n v="958" u="1"/>
        <n v="959" u="1"/>
        <n v="960" u="1"/>
        <n v="961" u="1"/>
        <n v="962" u="1"/>
        <n v="963" u="1"/>
        <n v="964" u="1"/>
        <n v="965" u="1"/>
        <n v="966" u="1"/>
        <n v="967" u="1"/>
        <n v="968" u="1"/>
        <n v="969" u="1"/>
        <n v="970" u="1"/>
        <n v="971" u="1"/>
        <n v="972" u="1"/>
        <n v="973" u="1"/>
        <n v="974" u="1"/>
        <n v="975" u="1"/>
        <n v="976" u="1"/>
        <n v="977" u="1"/>
        <n v="978" u="1"/>
        <n v="979" u="1"/>
        <n v="980" u="1"/>
        <n v="981" u="1"/>
        <n v="982" u="1"/>
        <n v="983" u="1"/>
        <n v="984" u="1"/>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String="0" containsBlank="1" containsNumber="1" containsInteger="1" minValue="1558" maxValue="17000" count="201">
        <m/>
        <n v="1818"/>
        <n v="1780"/>
        <n v="1800"/>
        <n v="1826"/>
        <n v="1803"/>
        <n v="1829"/>
        <n v="1813"/>
        <n v="1827"/>
        <n v="1761"/>
        <n v="1786"/>
        <n v="1834"/>
        <n v="1796"/>
        <n v="1708" u="1"/>
        <n v="1720" u="1"/>
        <n v="1723" u="1"/>
        <n v="1724" u="1"/>
        <n v="1714" u="1"/>
        <n v="1690" u="1"/>
        <n v="1716" u="1"/>
        <n v="1696" u="1"/>
        <n v="1694" u="1"/>
        <n v="1687" u="1"/>
        <n v="1719" u="1"/>
        <n v="1688" u="1"/>
        <n v="1710" u="1"/>
        <n v="1725" u="1"/>
        <n v="1736" u="1"/>
        <n v="1728" u="1"/>
        <n v="1726" u="1"/>
        <n v="1730" u="1"/>
        <n v="1729" u="1"/>
        <n v="1748" u="1"/>
        <n v="1756" u="1"/>
        <n v="1757" u="1"/>
        <n v="1697" u="1"/>
        <n v="1727" u="1"/>
        <n v="1755" u="1"/>
        <n v="1763" u="1"/>
        <n v="1701" u="1"/>
        <n v="1753" u="1"/>
        <n v="1751" u="1"/>
        <n v="1760" u="1"/>
        <n v="1762" u="1"/>
        <n v="1767" u="1"/>
        <n v="1764" u="1"/>
        <n v="1765" u="1"/>
        <n v="1770" u="1"/>
        <n v="1772" u="1"/>
        <n v="1721" u="1"/>
        <n v="1769" u="1"/>
        <n v="1771" u="1"/>
        <n v="1746" u="1"/>
        <n v="1759" u="1"/>
        <n v="1722" u="1"/>
        <n v="1773" u="1"/>
        <n v="1779" u="1"/>
        <n v="1749" u="1"/>
        <n v="1782" u="1"/>
        <n v="1713" u="1"/>
        <n v="1706" u="1"/>
        <n v="1711" u="1"/>
        <n v="1768" u="1"/>
        <n v="2000" u="1"/>
        <n v="1684" u="1"/>
        <n v="1691" u="1"/>
        <n v="1784" u="1"/>
        <n v="1781" u="1"/>
        <n v="1747" u="1"/>
        <n v="1777" u="1"/>
        <n v="1750" u="1"/>
        <n v="1788" u="1"/>
        <n v="1787" u="1"/>
        <n v="1734" u="1"/>
        <n v="1776" u="1"/>
        <n v="1766" u="1"/>
        <n v="1793" u="1"/>
        <n v="1804" u="1"/>
        <n v="1811" u="1"/>
        <n v="1812" u="1"/>
        <n v="1806" u="1"/>
        <n v="1785" u="1"/>
        <n v="1752" u="1"/>
        <n v="1783" u="1"/>
        <n v="1790" u="1"/>
        <n v="1794" u="1"/>
        <n v="1802" u="1"/>
        <n v="1789" u="1"/>
        <n v="1778" u="1"/>
        <n v="1808" u="1"/>
        <n v="1795" u="1"/>
        <n v="1799" u="1"/>
        <n v="1792" u="1"/>
        <n v="1817" u="1"/>
        <n v="1798" u="1"/>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7734" maxValue="42632"/>
    </cacheField>
    <cacheField name="Tiyaar/gaz" numFmtId="164">
      <sharedItems containsString="0" containsBlank="1" containsNumber="1" containsInteger="1" minValue="1563" maxValue="45331"/>
    </cacheField>
    <cacheField name="shortage %" numFmtId="165">
      <sharedItems containsMixedTypes="1" containsNumber="1" minValue="0.46282294143081515" maxValue="91.584987374443145"/>
    </cacheField>
    <cacheField name="tiyar/meters" numFmtId="165">
      <sharedItems containsSemiMixedTypes="0" containsString="0" containsNumber="1" minValue="0" maxValue="1493155.6327724946"/>
    </cacheField>
    <cacheField name="billing" numFmtId="165">
      <sharedItems containsSemiMixedTypes="0" containsString="0" containsNumber="1" minValue="0" maxValue="14931556.327724945"/>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8">
  <r>
    <d v="2025-10-17T00:00:00"/>
    <x v="0"/>
    <m/>
    <n v="1008"/>
    <m/>
    <s v="Bank"/>
    <m/>
  </r>
  <r>
    <d v="2025-10-17T00:00:00"/>
    <x v="0"/>
    <m/>
    <n v="770"/>
    <m/>
    <s v="Cash"/>
    <m/>
  </r>
  <r>
    <d v="2025-10-18T00:00:00"/>
    <x v="1"/>
    <m/>
    <n v="150000"/>
    <m/>
    <s v="Bank"/>
    <m/>
  </r>
  <r>
    <d v="2025-10-18T00:00:00"/>
    <x v="2"/>
    <n v="76100"/>
    <m/>
    <s v="TKL 364"/>
    <s v="Bank"/>
    <m/>
  </r>
  <r>
    <d v="2025-10-18T00:00:00"/>
    <x v="2"/>
    <n v="44000"/>
    <m/>
    <s v="TKQ 364"/>
    <s v="Bank"/>
    <m/>
  </r>
  <r>
    <d v="2025-10-18T00:00:00"/>
    <x v="3"/>
    <n v="10000"/>
    <m/>
    <s v="khalid sahab"/>
    <s v="Bank"/>
    <m/>
  </r>
  <r>
    <d v="2025-10-18T00:00:00"/>
    <x v="4"/>
    <n v="5330"/>
    <m/>
    <s v="LPG"/>
    <s v="Bank"/>
    <m/>
  </r>
  <r>
    <d v="2025-10-18T00:00:00"/>
    <x v="1"/>
    <m/>
    <n v="5330"/>
    <s v="LPG"/>
    <s v="Bank"/>
    <m/>
  </r>
  <r>
    <d v="2025-10-18T00:00:00"/>
    <x v="5"/>
    <m/>
    <n v="4000"/>
    <m/>
    <s v="Bank"/>
    <m/>
  </r>
  <r>
    <d v="2025-10-18T00:00:00"/>
    <x v="6"/>
    <n v="207475"/>
    <m/>
    <s v="3rd wood"/>
    <s v="Bank"/>
    <m/>
  </r>
  <r>
    <d v="2025-10-18T00:00:00"/>
    <x v="7"/>
    <n v="420"/>
    <m/>
    <m/>
    <s v="Cash"/>
    <m/>
  </r>
  <r>
    <d v="2025-10-18T00:00:00"/>
    <x v="1"/>
    <m/>
    <n v="200000"/>
    <m/>
    <s v="Bank"/>
    <m/>
  </r>
  <r>
    <d v="2025-10-18T00:00:00"/>
    <x v="8"/>
    <n v="3750"/>
    <m/>
    <s v="Saqlain"/>
    <s v="Cash"/>
    <m/>
  </r>
  <r>
    <d v="2025-10-18T00:00:00"/>
    <x v="2"/>
    <n v="17000"/>
    <m/>
    <s v="unloading"/>
    <s v="Cash"/>
    <m/>
  </r>
  <r>
    <d v="2025-10-18T00:00:00"/>
    <x v="6"/>
    <n v="5000"/>
    <m/>
    <s v="unloading"/>
    <s v="Cash"/>
    <m/>
  </r>
  <r>
    <d v="2025-10-18T00:00:00"/>
    <x v="9"/>
    <n v="1000"/>
    <m/>
    <s v="unloading"/>
    <s v="Cash"/>
    <m/>
  </r>
  <r>
    <d v="2025-10-18T00:00:00"/>
    <x v="7"/>
    <n v="1000"/>
    <m/>
    <s v="unloading"/>
    <s v="Cash"/>
    <m/>
  </r>
  <r>
    <d v="2025-10-18T00:00:00"/>
    <x v="10"/>
    <m/>
    <n v="3000"/>
    <s v="unloading left"/>
    <s v="Cash"/>
    <m/>
  </r>
  <r>
    <d v="2025-10-18T00:00:00"/>
    <x v="11"/>
    <m/>
    <n v="415571"/>
    <s v="bill clear"/>
    <s v="Bank"/>
    <m/>
  </r>
  <r>
    <d v="2025-10-18T00:00:00"/>
    <x v="2"/>
    <n v="300000"/>
    <m/>
    <s v="TID:601224"/>
    <s v="Bank"/>
    <m/>
  </r>
  <r>
    <d v="2025-10-18T00:00:00"/>
    <x v="12"/>
    <m/>
    <n v="590170"/>
    <m/>
    <s v="Bank"/>
    <m/>
  </r>
  <r>
    <d v="2025-10-18T00:00:00"/>
    <x v="13"/>
    <n v="300000"/>
    <m/>
    <s v="BSC"/>
    <s v="Bank"/>
    <m/>
  </r>
  <r>
    <d v="2025-10-18T00:00:00"/>
    <x v="1"/>
    <m/>
    <n v="1370"/>
    <s v="looper"/>
    <s v="Bank"/>
    <m/>
  </r>
  <r>
    <d v="2025-10-18T00:00:00"/>
    <x v="14"/>
    <n v="1370"/>
    <m/>
    <s v="looper"/>
    <s v="Bank"/>
    <m/>
  </r>
  <r>
    <d v="2025-10-18T00:00:00"/>
    <x v="1"/>
    <m/>
    <n v="15000"/>
    <s v="boiler"/>
    <s v="Bank"/>
    <m/>
  </r>
  <r>
    <d v="2025-10-18T00:00:00"/>
    <x v="14"/>
    <n v="10000"/>
    <m/>
    <s v="Boiler parts"/>
    <s v="Bank"/>
    <m/>
  </r>
  <r>
    <d v="2025-10-18T00:00:00"/>
    <x v="1"/>
    <m/>
    <n v="10000"/>
    <s v="generator"/>
    <s v="Bank"/>
    <m/>
  </r>
  <r>
    <d v="2025-10-18T00:00:00"/>
    <x v="14"/>
    <n v="10000"/>
    <m/>
    <s v="generator"/>
    <s v="Bank"/>
    <m/>
  </r>
  <r>
    <d v="2025-10-18T00:00:00"/>
    <x v="15"/>
    <n v="162250"/>
    <m/>
    <m/>
    <s v="Bank"/>
    <m/>
  </r>
  <r>
    <d v="2025-10-18T00:00:00"/>
    <x v="1"/>
    <m/>
    <n v="162250"/>
    <s v="Dyes"/>
    <s v="Bank"/>
    <m/>
  </r>
  <r>
    <d v="2025-10-18T00:00:00"/>
    <x v="1"/>
    <m/>
    <n v="23500"/>
    <s v="Bricks//boiler"/>
    <s v="Bank"/>
    <m/>
  </r>
  <r>
    <d v="2025-10-18T00:00:00"/>
    <x v="14"/>
    <n v="23500"/>
    <m/>
    <m/>
    <s v="Bank"/>
    <m/>
  </r>
  <r>
    <d v="2025-10-18T00:00:00"/>
    <x v="5"/>
    <n v="1600"/>
    <m/>
    <m/>
    <s v="Cash"/>
    <m/>
  </r>
  <r>
    <d v="2025-10-18T00:00:00"/>
    <x v="16"/>
    <n v="100000"/>
    <m/>
    <s v="bore pipes//loom"/>
    <s v="Bank"/>
    <m/>
  </r>
  <r>
    <d v="2025-10-20T00:00:00"/>
    <x v="17"/>
    <m/>
    <n v="54825"/>
    <s v="copper sale"/>
    <s v="Cash"/>
    <m/>
  </r>
  <r>
    <d v="2025-10-20T00:00:00"/>
    <x v="17"/>
    <n v="35195"/>
    <m/>
    <s v="copper purchase"/>
    <s v="Cash"/>
    <m/>
  </r>
  <r>
    <d v="2025-10-20T00:00:00"/>
    <x v="4"/>
    <n v="1000"/>
    <m/>
    <s v="petrol//bike"/>
    <s v="Bank"/>
    <m/>
  </r>
  <r>
    <d v="2025-10-20T00:00:00"/>
    <x v="2"/>
    <n v="48800"/>
    <m/>
    <s v="C 8901"/>
    <s v="Bank"/>
    <m/>
  </r>
  <r>
    <d v="2025-10-20T00:00:00"/>
    <x v="2"/>
    <n v="51500"/>
    <m/>
    <s v="SGI 9875"/>
    <s v="Bank"/>
    <m/>
  </r>
  <r>
    <d v="2025-10-20T00:00:00"/>
    <x v="16"/>
    <n v="2600"/>
    <m/>
    <s v="Mazdoor"/>
    <s v="Bank"/>
    <m/>
  </r>
  <r>
    <d v="2025-10-20T00:00:00"/>
    <x v="16"/>
    <n v="6600"/>
    <m/>
    <s v="Mazdoor"/>
    <s v="Bank"/>
    <m/>
  </r>
  <r>
    <d v="2025-10-20T00:00:00"/>
    <x v="8"/>
    <n v="3500"/>
    <m/>
    <s v="Ali raza"/>
    <s v="Cash"/>
    <m/>
  </r>
  <r>
    <d v="2025-10-20T00:00:00"/>
    <x v="18"/>
    <n v="2000"/>
    <m/>
    <s v="zulfiqar sahab advance"/>
    <s v="Cash"/>
    <m/>
  </r>
  <r>
    <d v="2025-10-20T00:00:00"/>
    <x v="16"/>
    <n v="2700"/>
    <m/>
    <s v="boiler//oxy cylinder"/>
    <s v="Cash"/>
    <m/>
  </r>
  <r>
    <d v="2025-10-20T00:00:00"/>
    <x v="8"/>
    <n v="6600"/>
    <m/>
    <s v="Sajid"/>
    <s v="Bank"/>
    <m/>
  </r>
  <r>
    <d v="2025-10-20T00:00:00"/>
    <x v="16"/>
    <n v="13500"/>
    <m/>
    <s v="Kora karaya"/>
    <s v="Bank"/>
    <m/>
  </r>
  <r>
    <d v="2025-10-20T00:00:00"/>
    <x v="7"/>
    <n v="5220"/>
    <m/>
    <s v="bank charges"/>
    <s v="Bank"/>
    <m/>
  </r>
  <r>
    <d v="2025-10-21T00:00:00"/>
    <x v="4"/>
    <n v="5311"/>
    <m/>
    <s v="petrol"/>
    <s v="Bank"/>
    <m/>
  </r>
  <r>
    <d v="2025-10-21T00:00:00"/>
    <x v="14"/>
    <n v="10000"/>
    <m/>
    <s v="clip repair"/>
    <s v="Bank"/>
    <m/>
  </r>
  <r>
    <d v="2025-10-21T00:00:00"/>
    <x v="14"/>
    <n v="700"/>
    <m/>
    <s v="belt"/>
    <s v="Bank"/>
    <m/>
  </r>
  <r>
    <d v="2025-10-21T00:00:00"/>
    <x v="14"/>
    <n v="4100"/>
    <m/>
    <s v="motor wind"/>
    <s v="Bank"/>
    <m/>
  </r>
  <r>
    <d v="2025-10-21T00:00:00"/>
    <x v="7"/>
    <n v="450"/>
    <m/>
    <s v="stationary"/>
    <s v="Bank"/>
    <m/>
  </r>
  <r>
    <d v="2025-10-21T00:00:00"/>
    <x v="2"/>
    <n v="303200"/>
    <m/>
    <s v="TID:670025"/>
    <s v="Bank"/>
    <m/>
  </r>
  <r>
    <d v="2025-10-21T00:00:00"/>
    <x v="1"/>
    <m/>
    <n v="180000"/>
    <s v="Malik zaheer"/>
    <s v="Bank"/>
    <m/>
  </r>
  <r>
    <d v="2025-10-21T00:00:00"/>
    <x v="1"/>
    <m/>
    <n v="12000"/>
    <s v="NP9"/>
    <s v="Bank"/>
    <m/>
  </r>
  <r>
    <d v="2025-10-21T00:00:00"/>
    <x v="19"/>
    <n v="12000"/>
    <m/>
    <s v="NP9"/>
    <s v="Bank"/>
    <m/>
  </r>
  <r>
    <d v="2025-10-21T00:00:00"/>
    <x v="2"/>
    <n v="100000"/>
    <m/>
    <s v="TID:113078"/>
    <s v="Bank"/>
    <m/>
  </r>
  <r>
    <d v="2025-10-21T00:00:00"/>
    <x v="1"/>
    <m/>
    <n v="100000"/>
    <m/>
    <s v="Bank"/>
    <m/>
  </r>
  <r>
    <d v="2025-10-21T00:00:00"/>
    <x v="12"/>
    <m/>
    <n v="62000"/>
    <s v="Bill clear total"/>
    <s v="Cash"/>
    <m/>
  </r>
  <r>
    <d v="2025-10-21T00:00:00"/>
    <x v="16"/>
    <n v="6000"/>
    <m/>
    <s v="mazdoor (5900+100advance)"/>
    <s v="Cash"/>
    <m/>
  </r>
  <r>
    <d v="2025-10-21T00:00:00"/>
    <x v="8"/>
    <n v="13900"/>
    <m/>
    <s v="ghulam mustafa"/>
    <s v="Bank"/>
    <m/>
  </r>
  <r>
    <d v="2025-10-21T00:00:00"/>
    <x v="14"/>
    <n v="6000"/>
    <m/>
    <s v="wheels"/>
    <s v="Bank"/>
    <m/>
  </r>
  <r>
    <d v="2025-10-21T00:00:00"/>
    <x v="1"/>
    <m/>
    <n v="6000"/>
    <s v="wheels"/>
    <s v="Bank"/>
    <m/>
  </r>
  <r>
    <d v="2025-10-21T00:00:00"/>
    <x v="20"/>
    <n v="2503038"/>
    <m/>
    <s v="electric bill//last month"/>
    <s v="Bank"/>
    <m/>
  </r>
  <r>
    <d v="2025-10-21T00:00:00"/>
    <x v="1"/>
    <m/>
    <n v="2503038"/>
    <s v="electric bill//last month"/>
    <s v="Bank"/>
    <m/>
  </r>
  <r>
    <d v="2025-10-21T00:00:00"/>
    <x v="16"/>
    <n v="1500"/>
    <m/>
    <s v="jazz device"/>
    <s v="Bank"/>
    <m/>
  </r>
  <r>
    <d v="2025-10-20T00:00:00"/>
    <x v="5"/>
    <n v="1100"/>
    <m/>
    <s v="food"/>
    <s v="Bank"/>
    <m/>
  </r>
  <r>
    <d v="2025-10-21T00:00:00"/>
    <x v="4"/>
    <n v="1000"/>
    <m/>
    <s v="toll"/>
    <s v="Bank"/>
    <m/>
  </r>
  <r>
    <d v="2025-10-22T00:00:00"/>
    <x v="21"/>
    <m/>
    <n v="200000"/>
    <s v="BAHL"/>
    <s v="Bank"/>
    <m/>
  </r>
  <r>
    <d v="2025-10-22T00:00:00"/>
    <x v="7"/>
    <n v="1000"/>
    <m/>
    <s v="kharcha arhsad"/>
    <s v="Bank"/>
    <m/>
  </r>
  <r>
    <d v="2025-10-22T00:00:00"/>
    <x v="16"/>
    <n v="5900"/>
    <m/>
    <s v="Baans"/>
    <s v="Bank"/>
    <m/>
  </r>
  <r>
    <d v="2025-10-22T00:00:00"/>
    <x v="3"/>
    <n v="1000"/>
    <m/>
    <s v="atiq ur rehman"/>
    <s v="Bank"/>
    <m/>
  </r>
  <r>
    <d v="2025-10-22T00:00:00"/>
    <x v="14"/>
    <n v="25000"/>
    <m/>
    <s v="clip repair"/>
    <s v="Bank"/>
    <m/>
  </r>
  <r>
    <d v="2025-10-22T00:00:00"/>
    <x v="8"/>
    <n v="3000"/>
    <m/>
    <s v="haseen khan"/>
    <s v="Cash"/>
    <m/>
  </r>
  <r>
    <d v="2025-10-22T00:00:00"/>
    <x v="7"/>
    <n v="800"/>
    <m/>
    <s v="package"/>
    <s v="Bank"/>
    <m/>
  </r>
  <r>
    <d v="2025-10-22T00:00:00"/>
    <x v="21"/>
    <m/>
    <n v="100000"/>
    <s v="BAHL"/>
    <s v="Bank"/>
    <m/>
  </r>
  <r>
    <d v="2025-10-22T00:00:00"/>
    <x v="21"/>
    <m/>
    <n v="150000"/>
    <s v="BAHL"/>
    <s v="Bank"/>
    <m/>
  </r>
  <r>
    <d v="2025-10-22T00:00:00"/>
    <x v="2"/>
    <n v="150000"/>
    <m/>
    <s v="BAHL"/>
    <s v="Bank"/>
    <m/>
  </r>
  <r>
    <d v="2025-10-22T00:00:00"/>
    <x v="6"/>
    <n v="244675"/>
    <m/>
    <s v="BAHL"/>
    <s v="Bank"/>
    <m/>
  </r>
  <r>
    <d v="2025-10-22T00:00:00"/>
    <x v="14"/>
    <n v="3310"/>
    <m/>
    <s v="bolts"/>
    <s v="Bank"/>
    <m/>
  </r>
  <r>
    <d v="2025-10-22T00:00:00"/>
    <x v="1"/>
    <m/>
    <n v="1600"/>
    <s v="oil"/>
    <s v="Bank"/>
    <m/>
  </r>
  <r>
    <d v="2025-10-22T00:00:00"/>
    <x v="4"/>
    <n v="1600"/>
    <m/>
    <s v="oil"/>
    <s v="Bank"/>
    <m/>
  </r>
  <r>
    <d v="2025-10-23T00:00:00"/>
    <x v="2"/>
    <n v="45250"/>
    <m/>
    <s v="LXT 8141"/>
    <s v="Bank"/>
    <m/>
  </r>
  <r>
    <d v="2025-10-23T00:00:00"/>
    <x v="4"/>
    <n v="1000"/>
    <m/>
    <s v="toll"/>
    <s v="Cash"/>
    <m/>
  </r>
  <r>
    <d v="2025-10-23T00:00:00"/>
    <x v="21"/>
    <m/>
    <n v="160934"/>
    <s v="BAHL"/>
    <s v="Bank"/>
    <m/>
  </r>
  <r>
    <d v="2025-10-23T00:00:00"/>
    <x v="21"/>
    <m/>
    <n v="176300"/>
    <s v="BSC kaprra adjust"/>
    <s v="Bank"/>
    <m/>
  </r>
  <r>
    <d v="2025-10-23T00:00:00"/>
    <x v="18"/>
    <n v="25000"/>
    <m/>
    <s v="zulfiqar sahab advance"/>
    <s v="Cash"/>
    <m/>
  </r>
  <r>
    <d v="2025-10-23T00:00:00"/>
    <x v="3"/>
    <n v="5000"/>
    <m/>
    <s v="afzaal hussein"/>
    <s v="Cash"/>
    <m/>
  </r>
  <r>
    <d v="2025-10-23T00:00:00"/>
    <x v="22"/>
    <n v="18245"/>
    <m/>
    <s v="8 days"/>
    <s v="Bank"/>
    <m/>
  </r>
  <r>
    <d v="2025-10-23T00:00:00"/>
    <x v="14"/>
    <n v="7450"/>
    <m/>
    <s v="bearings"/>
    <s v="Bank"/>
    <m/>
  </r>
  <r>
    <d v="2025-10-23T00:00:00"/>
    <x v="14"/>
    <n v="2100"/>
    <m/>
    <s v="bulbs"/>
    <s v="Bank"/>
    <m/>
  </r>
  <r>
    <d v="2025-10-23T00:00:00"/>
    <x v="2"/>
    <n v="250000"/>
    <m/>
    <s v="TID:525299"/>
    <s v="Bank"/>
    <m/>
  </r>
  <r>
    <d v="2025-10-23T00:00:00"/>
    <x v="16"/>
    <n v="3500"/>
    <m/>
    <s v="mazdoor"/>
    <s v="Cash"/>
    <m/>
  </r>
  <r>
    <d v="2025-10-23T00:00:00"/>
    <x v="10"/>
    <n v="5000"/>
    <m/>
    <s v="khalid sahab clinic"/>
    <s v="Cash"/>
    <m/>
  </r>
  <r>
    <d v="2025-10-23T00:00:00"/>
    <x v="23"/>
    <m/>
    <m/>
    <m/>
    <m/>
    <m/>
  </r>
  <r>
    <d v="2025-10-23T00:00:00"/>
    <x v="23"/>
    <m/>
    <m/>
    <m/>
    <m/>
    <m/>
  </r>
  <r>
    <d v="2025-10-23T00:00:00"/>
    <x v="23"/>
    <m/>
    <m/>
    <m/>
    <m/>
    <m/>
  </r>
  <r>
    <d v="2025-10-23T00:00:00"/>
    <x v="23"/>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n v="58167.520117044631"/>
    <n v="10"/>
    <n v="698010.2414045356"/>
  </r>
  <r>
    <x v="1"/>
    <n v="44246.525237746893"/>
    <n v="10"/>
    <n v="530958.30285296275"/>
  </r>
  <r>
    <x v="2"/>
    <n v="68918.251645940021"/>
    <n v="10"/>
    <n v="689182.51645940018"/>
  </r>
  <r>
    <x v="3"/>
    <n v="0"/>
    <n v="10.5"/>
    <n v="0"/>
  </r>
  <r>
    <x v="4"/>
    <n v="0"/>
    <n v="10"/>
    <n v="0"/>
  </r>
  <r>
    <x v="5"/>
    <n v="41451.170446232631"/>
    <n v="10"/>
    <n v="414511.70446232631"/>
  </r>
  <r>
    <x v="6"/>
    <n v="0"/>
    <n v="10"/>
    <n v="0"/>
  </r>
  <r>
    <x v="7"/>
    <n v="0"/>
    <n v="10"/>
    <n v="0"/>
  </r>
  <r>
    <x v="8"/>
    <n v="0"/>
    <n v="10"/>
    <n v="0"/>
  </r>
  <r>
    <x v="9"/>
    <n v="0"/>
    <n v="12"/>
    <n v="0"/>
  </r>
  <r>
    <x v="10"/>
    <n v="0"/>
    <m/>
    <n v="0"/>
  </r>
  <r>
    <x v="11"/>
    <n v="0"/>
    <m/>
    <n v="0"/>
  </r>
  <r>
    <x v="12"/>
    <n v="0"/>
    <m/>
    <n v="0"/>
  </r>
  <r>
    <x v="13"/>
    <n v="0"/>
    <m/>
    <n v="0"/>
  </r>
  <r>
    <x v="14"/>
    <n v="0"/>
    <m/>
    <n v="0"/>
  </r>
  <r>
    <x v="15"/>
    <n v="0"/>
    <m/>
    <n v="0"/>
  </r>
  <r>
    <x v="16"/>
    <n v="31967.812728602781"/>
    <m/>
    <n v="383613.7527432333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s v="Dyes"/>
    <m/>
    <m/>
    <m/>
    <x v="0"/>
    <n v="0"/>
    <n v="640125"/>
    <s v="September closing CF"/>
  </r>
  <r>
    <x v="0"/>
    <s v="Dyes"/>
    <m/>
    <m/>
    <m/>
    <x v="1"/>
    <n v="0"/>
    <n v="0"/>
    <m/>
  </r>
  <r>
    <x v="1"/>
    <s v="Dyes"/>
    <m/>
    <m/>
    <m/>
    <x v="0"/>
    <n v="300000"/>
    <n v="-300000"/>
    <m/>
  </r>
  <r>
    <x v="1"/>
    <s v="Black,Violet 3R,Rubine B, yellow 4G"/>
    <m/>
    <m/>
    <m/>
    <x v="1"/>
    <n v="162250"/>
    <n v="-162250"/>
    <m/>
  </r>
  <r>
    <x v="2"/>
    <m/>
    <m/>
    <m/>
    <m/>
    <x v="2"/>
    <n v="0"/>
    <n v="0"/>
    <m/>
  </r>
  <r>
    <x v="2"/>
    <m/>
    <m/>
    <m/>
    <m/>
    <x v="2"/>
    <n v="0"/>
    <n v="0"/>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x v="0"/>
    <x v="0"/>
    <m/>
    <m/>
    <m/>
    <n v="0"/>
    <m/>
    <n v="1972281"/>
  </r>
  <r>
    <x v="0"/>
    <x v="1"/>
    <x v="0"/>
    <m/>
    <m/>
    <m/>
    <n v="0"/>
    <n v="0"/>
    <n v="0"/>
  </r>
  <r>
    <x v="0"/>
    <x v="2"/>
    <x v="0"/>
    <m/>
    <m/>
    <m/>
    <n v="0"/>
    <n v="0"/>
    <n v="87620"/>
  </r>
  <r>
    <x v="0"/>
    <x v="3"/>
    <x v="0"/>
    <m/>
    <m/>
    <m/>
    <n v="0"/>
    <m/>
    <n v="456400"/>
  </r>
  <r>
    <x v="0"/>
    <x v="4"/>
    <x v="0"/>
    <m/>
    <m/>
    <m/>
    <n v="0"/>
    <m/>
    <n v="0"/>
  </r>
  <r>
    <x v="0"/>
    <x v="2"/>
    <x v="1"/>
    <n v="203"/>
    <n v="580"/>
    <m/>
    <n v="117740"/>
    <n v="0"/>
    <n v="117740"/>
  </r>
  <r>
    <x v="0"/>
    <x v="3"/>
    <x v="2"/>
    <n v="225"/>
    <n v="775"/>
    <m/>
    <n v="174375"/>
    <m/>
    <n v="174375"/>
  </r>
  <r>
    <x v="1"/>
    <x v="0"/>
    <x v="3"/>
    <n v="445"/>
    <n v="810"/>
    <n v="76105"/>
    <n v="360450"/>
    <m/>
    <n v="360450"/>
  </r>
  <r>
    <x v="1"/>
    <x v="0"/>
    <x v="4"/>
    <n v="243"/>
    <n v="810"/>
    <n v="44000"/>
    <n v="196830"/>
    <n v="437100"/>
    <n v="-240270"/>
  </r>
  <r>
    <x v="1"/>
    <x v="3"/>
    <x v="1"/>
    <m/>
    <m/>
    <m/>
    <n v="0"/>
    <n v="212475"/>
    <n v="-212475"/>
  </r>
  <r>
    <x v="1"/>
    <x v="4"/>
    <x v="1"/>
    <m/>
    <m/>
    <m/>
    <n v="0"/>
    <n v="1000"/>
    <n v="-1000"/>
  </r>
  <r>
    <x v="1"/>
    <x v="2"/>
    <x v="1"/>
    <n v="157"/>
    <n v="580"/>
    <m/>
    <n v="91060"/>
    <m/>
    <n v="91060"/>
  </r>
  <r>
    <x v="2"/>
    <x v="0"/>
    <x v="1"/>
    <n v="302"/>
    <n v="810"/>
    <n v="48800"/>
    <n v="244620"/>
    <m/>
    <n v="244620"/>
  </r>
  <r>
    <x v="2"/>
    <x v="0"/>
    <x v="1"/>
    <n v="309"/>
    <n v="810"/>
    <n v="51500"/>
    <n v="250290"/>
    <n v="100300"/>
    <n v="149990"/>
  </r>
  <r>
    <x v="2"/>
    <x v="3"/>
    <x v="1"/>
    <n v="248"/>
    <n v="775"/>
    <m/>
    <n v="192200"/>
    <n v="0"/>
    <n v="192200"/>
  </r>
  <r>
    <x v="3"/>
    <x v="3"/>
    <x v="1"/>
    <n v="243"/>
    <n v="775"/>
    <m/>
    <n v="188325"/>
    <n v="0"/>
    <n v="188325"/>
  </r>
  <r>
    <x v="4"/>
    <x v="0"/>
    <x v="1"/>
    <m/>
    <m/>
    <m/>
    <n v="0"/>
    <n v="150000"/>
    <n v="-150000"/>
  </r>
  <r>
    <x v="4"/>
    <x v="3"/>
    <x v="1"/>
    <m/>
    <m/>
    <m/>
    <n v="0"/>
    <n v="244675"/>
    <n v="-244675"/>
  </r>
  <r>
    <x v="5"/>
    <x v="0"/>
    <x v="5"/>
    <n v="262"/>
    <n v="810"/>
    <n v="45250"/>
    <n v="212220"/>
    <n v="295250"/>
    <n v="-83030"/>
  </r>
  <r>
    <x v="6"/>
    <x v="5"/>
    <x v="1"/>
    <m/>
    <m/>
    <m/>
    <n v="0"/>
    <m/>
    <n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d v="2025-10-17T00:00:00"/>
    <x v="0"/>
    <s v="September Closing CF"/>
    <m/>
    <m/>
    <n v="0"/>
    <n v="0"/>
    <n v="353250"/>
  </r>
  <r>
    <d v="2025-10-17T00:00:00"/>
    <x v="1"/>
    <s v="September Closing CF"/>
    <m/>
    <m/>
    <n v="0"/>
    <n v="0"/>
    <n v="-5000"/>
  </r>
  <r>
    <d v="2025-10-17T00:00:00"/>
    <x v="2"/>
    <s v="September Closing CF"/>
    <m/>
    <m/>
    <n v="0"/>
    <n v="0"/>
    <n v="0"/>
  </r>
  <r>
    <d v="2025-10-15T00:00:00"/>
    <x v="1"/>
    <s v="PVA"/>
    <n v="4"/>
    <n v="160"/>
    <n v="128000"/>
    <n v="0"/>
    <n v="128000"/>
  </r>
  <r>
    <m/>
    <x v="3"/>
    <m/>
    <m/>
    <m/>
    <n v="0"/>
    <n v="0"/>
    <n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
  <r>
    <x v="0"/>
    <x v="0"/>
    <x v="0"/>
    <s v="Chamki"/>
    <x v="0"/>
    <m/>
    <m/>
    <e v="#DIV/0!"/>
    <n v="1493155.6327724946"/>
    <n v="14931556.327724945"/>
    <m/>
  </r>
  <r>
    <x v="0"/>
    <x v="1"/>
    <x v="0"/>
    <s v="Chamki"/>
    <x v="0"/>
    <m/>
    <m/>
    <e v="#DIV/0!"/>
    <n v="130559.6196049744"/>
    <n v="1305596.196049744"/>
    <m/>
  </r>
  <r>
    <x v="0"/>
    <x v="2"/>
    <x v="0"/>
    <s v="Chamki"/>
    <x v="0"/>
    <m/>
    <m/>
    <e v="#DIV/0!"/>
    <n v="222722.20190197515"/>
    <n v="2227222.0190197513"/>
    <m/>
  </r>
  <r>
    <x v="0"/>
    <x v="3"/>
    <x v="0"/>
    <s v="Chamki"/>
    <x v="0"/>
    <m/>
    <m/>
    <e v="#DIV/0!"/>
    <n v="123086.13752743235"/>
    <n v="1269270.3440380397"/>
    <m/>
  </r>
  <r>
    <x v="0"/>
    <x v="4"/>
    <x v="0"/>
    <s v="Chamki"/>
    <x v="0"/>
    <m/>
    <m/>
    <e v="#DIV/0!"/>
    <n v="599330.65106071695"/>
    <n v="5393975.8595464528"/>
    <m/>
  </r>
  <r>
    <x v="0"/>
    <x v="5"/>
    <x v="0"/>
    <s v="Chamki"/>
    <x v="0"/>
    <m/>
    <m/>
    <e v="#DIV/0!"/>
    <n v="440435.25969275786"/>
    <n v="4404352.5969275786"/>
    <m/>
  </r>
  <r>
    <x v="0"/>
    <x v="6"/>
    <x v="0"/>
    <s v="Chamki"/>
    <x v="0"/>
    <m/>
    <m/>
    <e v="#DIV/0!"/>
    <n v="69091.989758595475"/>
    <n v="690919.89758595475"/>
    <m/>
  </r>
  <r>
    <x v="0"/>
    <x v="7"/>
    <x v="0"/>
    <s v="Chamki"/>
    <x v="0"/>
    <m/>
    <m/>
    <e v="#DIV/0!"/>
    <n v="161808.70519385519"/>
    <n v="1618087.0519385519"/>
    <m/>
  </r>
  <r>
    <x v="0"/>
    <x v="8"/>
    <x v="0"/>
    <s v="Chamki"/>
    <x v="0"/>
    <m/>
    <m/>
    <e v="#DIV/0!"/>
    <n v="45128.931967812736"/>
    <n v="451289.31967812736"/>
    <m/>
  </r>
  <r>
    <x v="0"/>
    <x v="9"/>
    <x v="0"/>
    <s v="Crinkle"/>
    <x v="0"/>
    <m/>
    <m/>
    <e v="#DIV/0!"/>
    <n v="21310.35113386979"/>
    <n v="255724.21360643749"/>
    <m/>
  </r>
  <r>
    <x v="0"/>
    <x v="10"/>
    <x v="0"/>
    <s v="Chamki"/>
    <x v="0"/>
    <m/>
    <m/>
    <e v="#DIV/0!"/>
    <n v="44688.185808339433"/>
    <n v="446881.85808339436"/>
    <m/>
  </r>
  <r>
    <x v="0"/>
    <x v="11"/>
    <x v="0"/>
    <s v="Chamki"/>
    <x v="0"/>
    <m/>
    <m/>
    <e v="#DIV/0!"/>
    <n v="189768.65398683251"/>
    <n v="1897686.539868325"/>
    <m/>
  </r>
  <r>
    <x v="0"/>
    <x v="12"/>
    <x v="0"/>
    <s v="Chamki"/>
    <x v="0"/>
    <m/>
    <m/>
    <e v="#DIV/0!"/>
    <n v="0"/>
    <n v="0"/>
    <m/>
  </r>
  <r>
    <x v="0"/>
    <x v="13"/>
    <x v="0"/>
    <s v="Chamki"/>
    <x v="0"/>
    <m/>
    <m/>
    <e v="#DIV/0!"/>
    <n v="48385.149963423559"/>
    <n v="483851.49963423557"/>
    <m/>
  </r>
  <r>
    <x v="0"/>
    <x v="14"/>
    <x v="0"/>
    <s v="Chamki"/>
    <x v="0"/>
    <m/>
    <m/>
    <e v="#DIV/0!"/>
    <n v="8915.5084125822978"/>
    <n v="89155.084125822978"/>
    <m/>
  </r>
  <r>
    <x v="0"/>
    <x v="15"/>
    <x v="0"/>
    <s v="Chamki"/>
    <x v="0"/>
    <m/>
    <m/>
    <e v="#DIV/0!"/>
    <n v="25627.286027798102"/>
    <n v="256272.86027798103"/>
    <m/>
  </r>
  <r>
    <x v="0"/>
    <x v="0"/>
    <x v="0"/>
    <s v="Silky"/>
    <x v="0"/>
    <m/>
    <m/>
    <e v="#DIV/0!"/>
    <n v="30188.368690563279"/>
    <n v="362260.42428675934"/>
    <m/>
  </r>
  <r>
    <x v="0"/>
    <x v="1"/>
    <x v="0"/>
    <s v="Silky"/>
    <x v="0"/>
    <m/>
    <m/>
    <e v="#DIV/0!"/>
    <n v="14897.58595464521"/>
    <n v="178771.03145574252"/>
    <m/>
  </r>
  <r>
    <x v="0"/>
    <x v="2"/>
    <x v="0"/>
    <s v="Silky"/>
    <x v="0"/>
    <m/>
    <m/>
    <e v="#DIV/0!"/>
    <n v="14794.257498171179"/>
    <n v="177531.08997805414"/>
    <m/>
  </r>
  <r>
    <x v="0"/>
    <x v="3"/>
    <x v="0"/>
    <s v="Silky"/>
    <x v="0"/>
    <m/>
    <m/>
    <e v="#DIV/0!"/>
    <n v="0"/>
    <n v="0"/>
    <m/>
  </r>
  <r>
    <x v="0"/>
    <x v="4"/>
    <x v="0"/>
    <s v="Silky"/>
    <x v="0"/>
    <m/>
    <m/>
    <e v="#DIV/0!"/>
    <n v="485823.88441843458"/>
    <n v="5829886.6130212154"/>
    <m/>
  </r>
  <r>
    <x v="0"/>
    <x v="5"/>
    <x v="0"/>
    <s v="Silky"/>
    <x v="0"/>
    <m/>
    <m/>
    <e v="#DIV/0!"/>
    <n v="0"/>
    <n v="0"/>
    <m/>
  </r>
  <r>
    <x v="0"/>
    <x v="6"/>
    <x v="0"/>
    <s v="Silky"/>
    <x v="0"/>
    <m/>
    <m/>
    <e v="#DIV/0!"/>
    <n v="0"/>
    <n v="0"/>
    <m/>
  </r>
  <r>
    <x v="0"/>
    <x v="7"/>
    <x v="0"/>
    <s v="Silky"/>
    <x v="0"/>
    <m/>
    <m/>
    <e v="#DIV/0!"/>
    <n v="0"/>
    <n v="0"/>
    <m/>
  </r>
  <r>
    <x v="0"/>
    <x v="8"/>
    <x v="0"/>
    <s v="Silky"/>
    <x v="0"/>
    <m/>
    <m/>
    <e v="#DIV/0!"/>
    <n v="14995.427944403806"/>
    <n v="179945.13533284568"/>
    <m/>
  </r>
  <r>
    <x v="0"/>
    <x v="9"/>
    <x v="0"/>
    <s v="Silky"/>
    <x v="0"/>
    <m/>
    <m/>
    <e v="#DIV/0!"/>
    <n v="0"/>
    <n v="0"/>
    <m/>
  </r>
  <r>
    <x v="0"/>
    <x v="10"/>
    <x v="0"/>
    <s v="Silky"/>
    <x v="0"/>
    <m/>
    <m/>
    <e v="#DIV/0!"/>
    <n v="0"/>
    <n v="0"/>
    <m/>
  </r>
  <r>
    <x v="0"/>
    <x v="11"/>
    <x v="0"/>
    <s v="Silky"/>
    <x v="0"/>
    <m/>
    <m/>
    <e v="#DIV/0!"/>
    <n v="63154.718361375279"/>
    <n v="757856.62033650337"/>
    <m/>
  </r>
  <r>
    <x v="0"/>
    <x v="12"/>
    <x v="0"/>
    <s v="Silky"/>
    <x v="0"/>
    <m/>
    <m/>
    <e v="#DIV/0!"/>
    <n v="0"/>
    <n v="0"/>
    <m/>
  </r>
  <r>
    <x v="0"/>
    <x v="13"/>
    <x v="0"/>
    <s v="Silky"/>
    <x v="0"/>
    <m/>
    <m/>
    <e v="#DIV/0!"/>
    <n v="0"/>
    <n v="0"/>
    <m/>
  </r>
  <r>
    <x v="0"/>
    <x v="14"/>
    <x v="0"/>
    <s v="Silky"/>
    <x v="0"/>
    <m/>
    <m/>
    <e v="#DIV/0!"/>
    <n v="0"/>
    <n v="0"/>
    <m/>
  </r>
  <r>
    <x v="0"/>
    <x v="15"/>
    <x v="0"/>
    <s v="Silky"/>
    <x v="0"/>
    <m/>
    <m/>
    <e v="#DIV/0!"/>
    <n v="0"/>
    <n v="0"/>
    <m/>
  </r>
  <r>
    <x v="1"/>
    <x v="0"/>
    <x v="1"/>
    <s v="Silky"/>
    <x v="1"/>
    <n v="15182"/>
    <n v="3532"/>
    <n v="52.490614487163164"/>
    <n v="3229.7000731528897"/>
    <n v="38756.400877834676"/>
    <m/>
  </r>
  <r>
    <x v="1"/>
    <x v="0"/>
    <x v="2"/>
    <s v="Silky"/>
    <x v="1"/>
    <n v="15182"/>
    <n v="4356"/>
    <n v="52.490614487163164"/>
    <n v="3983.1748354059987"/>
    <n v="47798.098024871986"/>
    <m/>
  </r>
  <r>
    <x v="1"/>
    <x v="0"/>
    <x v="3"/>
    <s v="Silky"/>
    <x v="2"/>
    <n v="10086"/>
    <n v="7867"/>
    <n v="0.46282294143081515"/>
    <n v="7193.6722750548652"/>
    <n v="86324.067300658382"/>
    <m/>
  </r>
  <r>
    <x v="1"/>
    <x v="0"/>
    <x v="4"/>
    <s v="Silky"/>
    <x v="2"/>
    <n v="10086"/>
    <n v="3112"/>
    <n v="0.46282294143081515"/>
    <n v="2845.6474030724216"/>
    <n v="34147.768836869058"/>
    <m/>
  </r>
  <r>
    <x v="1"/>
    <x v="16"/>
    <x v="5"/>
    <s v="Silky"/>
    <x v="3"/>
    <n v="32917"/>
    <n v="34960"/>
    <n v="2.8835776996604068"/>
    <n v="31967.812728602781"/>
    <n v="415581.56547183613"/>
    <m/>
  </r>
  <r>
    <x v="1"/>
    <x v="0"/>
    <x v="6"/>
    <s v="Silky"/>
    <x v="4"/>
    <n v="22518"/>
    <n v="3397"/>
    <n v="4.5102697001952947"/>
    <n v="3106.2545720555963"/>
    <n v="37275.054864667152"/>
    <m/>
  </r>
  <r>
    <x v="2"/>
    <x v="0"/>
    <x v="7"/>
    <s v="Silky"/>
    <x v="4"/>
    <n v="22518"/>
    <n v="20118"/>
    <n v="4.5102697001952947"/>
    <n v="18396.122896854427"/>
    <n v="220753.47476225311"/>
    <m/>
  </r>
  <r>
    <x v="2"/>
    <x v="1"/>
    <x v="8"/>
    <s v="Silky"/>
    <x v="5"/>
    <n v="20021"/>
    <n v="21555"/>
    <n v="1.5527112771531364"/>
    <n v="19710.131675201173"/>
    <n v="236521.58010241407"/>
    <m/>
  </r>
  <r>
    <x v="2"/>
    <x v="0"/>
    <x v="9"/>
    <s v="Silky"/>
    <x v="6"/>
    <n v="20054"/>
    <n v="1563"/>
    <n v="3.1966287950113212"/>
    <n v="1429.2245793708853"/>
    <n v="17150.694952450624"/>
    <m/>
  </r>
  <r>
    <x v="2"/>
    <x v="17"/>
    <x v="10"/>
    <s v="Silky"/>
    <x v="7"/>
    <n v="7734"/>
    <n v="8274"/>
    <n v="2.1743263436097209"/>
    <n v="7565.8376005852242"/>
    <n v="90790.051207022683"/>
    <m/>
  </r>
  <r>
    <x v="3"/>
    <x v="0"/>
    <x v="11"/>
    <s v="Silky"/>
    <x v="6"/>
    <n v="20054"/>
    <n v="19667"/>
    <n v="3.1966287950113212"/>
    <n v="17983.723482077545"/>
    <n v="215804.68178493052"/>
    <m/>
  </r>
  <r>
    <x v="3"/>
    <x v="1"/>
    <x v="12"/>
    <s v="Silky"/>
    <x v="8"/>
    <n v="25039"/>
    <n v="17569"/>
    <n v="2.0072943705989843"/>
    <n v="16065.288953913681"/>
    <n v="192783.46744696418"/>
    <m/>
  </r>
  <r>
    <x v="3"/>
    <x v="1"/>
    <x v="13"/>
    <s v="Silky"/>
    <x v="8"/>
    <n v="25039"/>
    <n v="9264"/>
    <n v="2.0072943705989843"/>
    <n v="8471.1046086320421"/>
    <n v="101653.2553035845"/>
    <m/>
  </r>
  <r>
    <x v="3"/>
    <x v="2"/>
    <x v="14"/>
    <s v="Chamki"/>
    <x v="9"/>
    <n v="35598"/>
    <n v="38020"/>
    <n v="2.3374606621867287"/>
    <n v="34765.910753474767"/>
    <n v="347659.10753474769"/>
    <m/>
  </r>
  <r>
    <x v="4"/>
    <x v="2"/>
    <x v="15"/>
    <s v="Chamki"/>
    <x v="10"/>
    <n v="34719"/>
    <n v="37349"/>
    <n v="1.6321296913354217"/>
    <n v="34152.340892465254"/>
    <n v="341523.40892465255"/>
    <m/>
  </r>
  <r>
    <x v="4"/>
    <x v="18"/>
    <x v="16"/>
    <s v="Silky"/>
    <x v="11"/>
    <n v="18060"/>
    <n v="1662"/>
    <n v="91.584987374443145"/>
    <n v="1519.751280175567"/>
    <n v="19756.766642282371"/>
    <m/>
  </r>
  <r>
    <x v="4"/>
    <x v="5"/>
    <x v="17"/>
    <s v="Chamki"/>
    <x v="12"/>
    <n v="42632"/>
    <n v="45331"/>
    <n v="2.7698197451852451"/>
    <n v="41451.170446232631"/>
    <n v="414511.7044623263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21" firstHeaderRow="0" firstDataRow="1" firstDataCol="1"/>
  <pivotFields count="4">
    <pivotField axis="axisRow" showAll="0" includeNewItemsInFilter="1">
      <items count="19">
        <item x="0"/>
        <item x="1"/>
        <item x="2"/>
        <item x="3"/>
        <item x="4"/>
        <item x="5"/>
        <item x="6"/>
        <item x="7"/>
        <item x="8"/>
        <item x="9"/>
        <item x="10"/>
        <item x="11"/>
        <item x="12"/>
        <item x="13"/>
        <item x="14"/>
        <item x="15"/>
        <item m="1" x="17"/>
        <item x="16"/>
        <item t="default"/>
      </items>
    </pivotField>
    <pivotField dataField="1" showAll="0"/>
    <pivotField showAll="0"/>
    <pivotField dataField="1" showAll="0"/>
  </pivotFields>
  <rowFields count="1">
    <field x="0"/>
  </rowFields>
  <rowItems count="18">
    <i>
      <x/>
    </i>
    <i>
      <x v="1"/>
    </i>
    <i>
      <x v="2"/>
    </i>
    <i>
      <x v="3"/>
    </i>
    <i>
      <x v="4"/>
    </i>
    <i>
      <x v="5"/>
    </i>
    <i>
      <x v="6"/>
    </i>
    <i>
      <x v="7"/>
    </i>
    <i>
      <x v="8"/>
    </i>
    <i>
      <x v="9"/>
    </i>
    <i>
      <x v="10"/>
    </i>
    <i>
      <x v="11"/>
    </i>
    <i>
      <x v="12"/>
    </i>
    <i>
      <x v="13"/>
    </i>
    <i>
      <x v="14"/>
    </i>
    <i>
      <x v="15"/>
    </i>
    <i>
      <x v="17"/>
    </i>
    <i t="grand">
      <x/>
    </i>
  </rowItems>
  <colFields count="1">
    <field x="-2"/>
  </colFields>
  <colItems count="2">
    <i>
      <x/>
    </i>
    <i i="1">
      <x v="1"/>
    </i>
  </colItems>
  <dataFields count="2">
    <dataField name="Sum of Tiyaar" fld="1" baseField="0" baseItem="0"/>
    <dataField name="Sum of Total" fld="3" baseField="0" baseItem="0"/>
  </dataFields>
  <formats count="4">
    <format dxfId="165">
      <pivotArea field="0" grandRow="1" outline="0" collapsedLevelsAreSubtotals="1" axis="axisRow" fieldPosition="0">
        <references count="1">
          <reference field="4294967294" count="1" selected="0">
            <x v="1"/>
          </reference>
        </references>
      </pivotArea>
    </format>
    <format dxfId="164">
      <pivotArea field="0" grandRow="1" outline="0" collapsedLevelsAreSubtotals="1" axis="axisRow" fieldPosition="0">
        <references count="1">
          <reference field="4294967294" count="1" selected="0">
            <x v="0"/>
          </reference>
        </references>
      </pivotArea>
    </format>
    <format dxfId="163">
      <pivotArea collapsedLevelsAreSubtotals="1" fieldPosition="0">
        <references count="2">
          <reference field="4294967294" count="1" selected="0">
            <x v="1"/>
          </reference>
          <reference field="0" count="0"/>
        </references>
      </pivotArea>
    </format>
    <format dxfId="162">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60:G79" firstHeaderRow="0" firstDataRow="1" firstDataCol="1" rowPageCount="3" colPageCount="1"/>
  <pivotFields count="14">
    <pivotField axis="axisPage" showAll="0">
      <items count="73">
        <item m="1" x="56"/>
        <item m="1" x="57"/>
        <item m="1" x="58"/>
        <item m="1" x="59"/>
        <item m="1" x="60"/>
        <item m="1" x="61"/>
        <item m="1" x="71"/>
        <item m="1" x="62"/>
        <item m="1" x="63"/>
        <item m="1" x="64"/>
        <item m="1" x="65"/>
        <item m="1" x="66"/>
        <item m="1" x="67"/>
        <item m="1" x="68"/>
        <item m="1" x="69"/>
        <item m="1" x="70"/>
        <item m="1" x="33"/>
        <item m="1" x="32"/>
        <item m="1" x="27"/>
        <item m="1" x="34"/>
        <item m="1" x="35"/>
        <item m="1" x="36"/>
        <item m="1" x="37"/>
        <item m="1" x="38"/>
        <item m="1" x="39"/>
        <item m="1" x="40"/>
        <item m="1" x="41"/>
        <item m="1" x="42"/>
        <item m="1" x="43"/>
        <item m="1" x="44"/>
        <item m="1" x="45"/>
        <item m="1" x="46"/>
        <item m="1" x="47"/>
        <item m="1" x="48"/>
        <item m="1" x="49"/>
        <item m="1" x="50"/>
        <item m="1" x="51"/>
        <item m="1" x="52"/>
        <item m="1" x="53"/>
        <item m="1" x="54"/>
        <item m="1" x="55"/>
        <item m="1" x="5"/>
        <item m="1" x="6"/>
        <item m="1" x="7"/>
        <item m="1" x="8"/>
        <item m="1" x="9"/>
        <item m="1" x="10"/>
        <item m="1" x="11"/>
        <item m="1" x="12"/>
        <item m="1" x="13"/>
        <item m="1" x="14"/>
        <item m="1" x="15"/>
        <item m="1" x="16"/>
        <item m="1" x="17"/>
        <item m="1" x="18"/>
        <item m="1" x="28"/>
        <item m="1" x="19"/>
        <item m="1" x="20"/>
        <item m="1" x="29"/>
        <item m="1" x="21"/>
        <item m="1" x="22"/>
        <item m="1" x="23"/>
        <item m="1" x="30"/>
        <item m="1" x="31"/>
        <item m="1" x="24"/>
        <item m="1" x="25"/>
        <item m="1" x="26"/>
        <item x="0"/>
        <item x="1"/>
        <item x="2"/>
        <item x="3"/>
        <item x="4"/>
        <item t="default"/>
      </items>
    </pivotField>
    <pivotField axis="axisPage" multipleItemSelectionAllowed="1" showAll="0">
      <items count="27">
        <item x="2"/>
        <item x="0"/>
        <item m="1" x="25"/>
        <item x="6"/>
        <item m="1" x="24"/>
        <item m="1" x="23"/>
        <item m="1" x="22"/>
        <item x="1"/>
        <item x="3"/>
        <item m="1" x="21"/>
        <item x="4"/>
        <item m="1" x="20"/>
        <item m="1" x="19"/>
        <item x="5"/>
        <item x="10"/>
        <item x="8"/>
        <item x="9"/>
        <item x="7"/>
        <item x="11"/>
        <item x="12"/>
        <item x="13"/>
        <item x="14"/>
        <item x="15"/>
        <item x="16"/>
        <item x="17"/>
        <item x="18"/>
        <item t="default"/>
      </items>
    </pivotField>
    <pivotField axis="axisRow" numFmtId="164" showAll="0">
      <items count="385">
        <item m="1" x="336"/>
        <item m="1" x="337"/>
        <item m="1" x="338"/>
        <item m="1" x="339"/>
        <item m="1" x="340"/>
        <item m="1" x="341"/>
        <item m="1" x="342"/>
        <item m="1" x="343"/>
        <item m="1" x="344"/>
        <item m="1" x="345"/>
        <item m="1" x="346"/>
        <item m="1" x="347"/>
        <item m="1" x="348"/>
        <item m="1" x="349"/>
        <item m="1" x="350"/>
        <item m="1" x="351"/>
        <item m="1" x="352"/>
        <item m="1" x="353"/>
        <item m="1" x="354"/>
        <item m="1" x="355"/>
        <item m="1" x="356"/>
        <item m="1" x="357"/>
        <item m="1" x="358"/>
        <item m="1" x="359"/>
        <item m="1" x="360"/>
        <item m="1" x="361"/>
        <item m="1" x="362"/>
        <item m="1" x="363"/>
        <item m="1" x="364"/>
        <item m="1" x="365"/>
        <item m="1" x="366"/>
        <item m="1" x="367"/>
        <item m="1" x="368"/>
        <item m="1" x="369"/>
        <item m="1" x="370"/>
        <item m="1" x="371"/>
        <item m="1" x="372"/>
        <item m="1" x="373"/>
        <item m="1" x="374"/>
        <item m="1" x="375"/>
        <item m="1" x="376"/>
        <item m="1" x="377"/>
        <item m="1" x="378"/>
        <item m="1" x="379"/>
        <item m="1" x="380"/>
        <item m="1" x="381"/>
        <item m="1" x="382"/>
        <item m="1" x="383"/>
        <item m="1" x="274"/>
        <item m="1" x="275"/>
        <item m="1" x="276"/>
        <item m="1" x="277"/>
        <item m="1" x="278"/>
        <item m="1" x="279"/>
        <item m="1" x="280"/>
        <item m="1" x="281"/>
        <item m="1" x="282"/>
        <item m="1" x="283"/>
        <item m="1" x="284"/>
        <item m="1" x="285"/>
        <item m="1" x="286"/>
        <item m="1" x="287"/>
        <item m="1" x="288"/>
        <item m="1" x="289"/>
        <item m="1" x="290"/>
        <item m="1" x="291"/>
        <item m="1" x="320"/>
        <item m="1" x="292"/>
        <item m="1" x="293"/>
        <item m="1" x="294"/>
        <item m="1" x="295"/>
        <item m="1" x="296"/>
        <item m="1" x="297"/>
        <item m="1" x="309"/>
        <item m="1" x="298"/>
        <item m="1" x="299"/>
        <item m="1" x="300"/>
        <item m="1" x="301"/>
        <item m="1" x="302"/>
        <item m="1" x="303"/>
        <item m="1" x="304"/>
        <item m="1" x="305"/>
        <item m="1" x="306"/>
        <item m="1" x="307"/>
        <item m="1" x="308"/>
        <item m="1" x="310"/>
        <item m="1" x="311"/>
        <item m="1" x="312"/>
        <item m="1" x="313"/>
        <item m="1" x="314"/>
        <item m="1" x="315"/>
        <item m="1" x="316"/>
        <item m="1" x="317"/>
        <item m="1" x="318"/>
        <item m="1" x="319"/>
        <item m="1" x="321"/>
        <item m="1" x="322"/>
        <item m="1" x="323"/>
        <item m="1" x="324"/>
        <item m="1" x="325"/>
        <item m="1" x="326"/>
        <item m="1" x="327"/>
        <item m="1" x="328"/>
        <item m="1" x="329"/>
        <item m="1" x="330"/>
        <item m="1" x="331"/>
        <item m="1" x="332"/>
        <item m="1" x="333"/>
        <item m="1" x="334"/>
        <item m="1" x="335"/>
        <item m="1" x="166"/>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67"/>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4"/>
        <item m="1" x="265"/>
        <item m="1" x="266"/>
        <item m="1" x="263"/>
        <item m="1" x="267"/>
        <item m="1" x="268"/>
        <item m="1" x="269"/>
        <item m="1" x="270"/>
        <item m="1" x="271"/>
        <item m="1" x="272"/>
        <item m="1" x="273"/>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x="0"/>
        <item x="1"/>
        <item x="2"/>
        <item x="3"/>
        <item x="4"/>
        <item x="5"/>
        <item x="6"/>
        <item x="7"/>
        <item x="8"/>
        <item x="9"/>
        <item x="10"/>
        <item x="11"/>
        <item x="12"/>
        <item x="13"/>
        <item x="14"/>
        <item x="15"/>
        <item x="16"/>
        <item x="17"/>
        <item t="default"/>
      </items>
    </pivotField>
    <pivotField showAll="0"/>
    <pivotField axis="axisPage" multipleItemSelectionAllowed="1" showAll="0">
      <items count="202">
        <item m="1" x="155"/>
        <item m="1" x="184"/>
        <item m="1" x="185"/>
        <item m="1" x="193"/>
        <item m="1" x="183"/>
        <item m="1" x="182"/>
        <item m="1" x="186"/>
        <item m="1" x="197"/>
        <item m="1" x="189"/>
        <item m="1" x="190"/>
        <item m="1" x="187"/>
        <item m="1" x="188"/>
        <item m="1" x="198"/>
        <item m="1" x="191"/>
        <item m="1" x="192"/>
        <item m="1" x="195"/>
        <item m="1" x="196"/>
        <item m="1" x="194"/>
        <item m="1" x="150"/>
        <item m="1" x="200"/>
        <item m="1" x="149"/>
        <item m="1" x="199"/>
        <item m="1" x="152"/>
        <item m="1" x="151"/>
        <item m="1" x="153"/>
        <item m="1" x="159"/>
        <item m="1" x="154"/>
        <item m="1" x="156"/>
        <item m="1" x="160"/>
        <item m="1" x="161"/>
        <item m="1" x="180"/>
        <item m="1" x="157"/>
        <item m="1" x="158"/>
        <item m="1" x="120"/>
        <item m="1" x="142"/>
        <item m="1" x="181"/>
        <item m="1" x="162"/>
        <item m="1" x="163"/>
        <item m="1" x="164"/>
        <item m="1" x="165"/>
        <item m="1" x="166"/>
        <item m="1" x="96"/>
        <item m="1" x="167"/>
        <item m="1" x="168"/>
        <item m="1" x="169"/>
        <item m="1" x="170"/>
        <item m="1" x="171"/>
        <item m="1" x="172"/>
        <item m="1" x="173"/>
        <item m="1" x="174"/>
        <item m="1" x="175"/>
        <item m="1" x="176"/>
        <item m="1" x="177"/>
        <item m="1" x="178"/>
        <item m="1" x="179"/>
        <item x="0"/>
        <item m="1" x="95"/>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3"/>
        <item m="1" x="144"/>
        <item m="1" x="145"/>
        <item m="1" x="146"/>
        <item m="1" x="147"/>
        <item m="1" x="148"/>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94"/>
        <item m="1" x="75"/>
        <item m="1" x="76"/>
        <item m="1" x="77"/>
        <item m="1" x="78"/>
        <item m="1" x="79"/>
        <item m="1" x="80"/>
        <item m="1" x="81"/>
        <item m="1" x="82"/>
        <item m="1" x="83"/>
        <item m="1" x="84"/>
        <item m="1" x="85"/>
        <item m="1" x="86"/>
        <item m="1" x="87"/>
        <item m="1" x="88"/>
        <item m="1" x="89"/>
        <item m="1" x="90"/>
        <item m="1" x="91"/>
        <item m="1" x="92"/>
        <item m="1" x="93"/>
        <item x="1"/>
        <item x="2"/>
        <item x="3"/>
        <item x="4"/>
        <item x="5"/>
        <item x="6"/>
        <item x="7"/>
        <item x="8"/>
        <item x="9"/>
        <item x="10"/>
        <item x="11"/>
        <item x="12"/>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19">
    <i>
      <x v="366"/>
    </i>
    <i>
      <x v="367"/>
    </i>
    <i>
      <x v="368"/>
    </i>
    <i>
      <x v="369"/>
    </i>
    <i>
      <x v="370"/>
    </i>
    <i>
      <x v="371"/>
    </i>
    <i>
      <x v="372"/>
    </i>
    <i>
      <x v="373"/>
    </i>
    <i>
      <x v="374"/>
    </i>
    <i>
      <x v="375"/>
    </i>
    <i>
      <x v="376"/>
    </i>
    <i>
      <x v="377"/>
    </i>
    <i>
      <x v="378"/>
    </i>
    <i>
      <x v="379"/>
    </i>
    <i>
      <x v="380"/>
    </i>
    <i>
      <x v="381"/>
    </i>
    <i>
      <x v="382"/>
    </i>
    <i>
      <x v="383"/>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60:K66" firstHeaderRow="0" firstDataRow="1" firstDataCol="1"/>
  <pivotFields count="14">
    <pivotField axis="axisRow" numFmtId="14" showAll="0">
      <items count="73">
        <item m="1" x="56"/>
        <item m="1" x="57"/>
        <item m="1" x="58"/>
        <item m="1" x="59"/>
        <item m="1" x="60"/>
        <item m="1" x="61"/>
        <item m="1" x="71"/>
        <item m="1" x="62"/>
        <item m="1" x="63"/>
        <item m="1" x="64"/>
        <item m="1" x="65"/>
        <item m="1" x="66"/>
        <item m="1" x="67"/>
        <item m="1" x="68"/>
        <item m="1" x="69"/>
        <item m="1" x="70"/>
        <item m="1" x="33"/>
        <item m="1" x="32"/>
        <item m="1" x="27"/>
        <item m="1" x="34"/>
        <item m="1" x="35"/>
        <item m="1" x="36"/>
        <item m="1" x="37"/>
        <item m="1" x="38"/>
        <item m="1" x="39"/>
        <item m="1" x="40"/>
        <item m="1" x="41"/>
        <item m="1" x="42"/>
        <item m="1" x="43"/>
        <item m="1" x="44"/>
        <item m="1" x="45"/>
        <item m="1" x="46"/>
        <item m="1" x="47"/>
        <item m="1" x="48"/>
        <item m="1" x="49"/>
        <item m="1" x="50"/>
        <item m="1" x="51"/>
        <item m="1" x="52"/>
        <item m="1" x="53"/>
        <item m="1" x="54"/>
        <item m="1" x="55"/>
        <item m="1" x="5"/>
        <item m="1" x="6"/>
        <item m="1" x="7"/>
        <item m="1" x="8"/>
        <item m="1" x="9"/>
        <item m="1" x="10"/>
        <item m="1" x="11"/>
        <item m="1" x="12"/>
        <item m="1" x="13"/>
        <item m="1" x="14"/>
        <item m="1" x="15"/>
        <item m="1" x="16"/>
        <item m="1" x="17"/>
        <item m="1" x="18"/>
        <item m="1" x="28"/>
        <item m="1" x="19"/>
        <item m="1" x="20"/>
        <item m="1" x="29"/>
        <item m="1" x="21"/>
        <item m="1" x="22"/>
        <item m="1" x="23"/>
        <item m="1" x="30"/>
        <item m="1" x="31"/>
        <item m="1" x="24"/>
        <item m="1" x="25"/>
        <item m="1" x="26"/>
        <item x="0"/>
        <item x="1"/>
        <item x="2"/>
        <item x="3"/>
        <item x="4"/>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6">
    <i>
      <x v="67"/>
    </i>
    <i>
      <x v="68"/>
    </i>
    <i>
      <x v="69"/>
    </i>
    <i>
      <x v="70"/>
    </i>
    <i>
      <x v="71"/>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41">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5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L8:P27" firstHeaderRow="0" firstDataRow="1" firstDataCol="1" rowPageCount="1" colPageCount="1"/>
  <pivotFields count="9">
    <pivotField axis="axisRow" numFmtId="14" showAll="0">
      <items count="88">
        <item m="1" x="71"/>
        <item m="1" x="72"/>
        <item m="1" x="73"/>
        <item m="1" x="74"/>
        <item m="1" x="75"/>
        <item m="1" x="76"/>
        <item m="1" x="77"/>
        <item m="1" x="86"/>
        <item m="1" x="67"/>
        <item m="1" x="78"/>
        <item m="1" x="79"/>
        <item m="1" x="80"/>
        <item m="1" x="81"/>
        <item m="1" x="82"/>
        <item m="1" x="83"/>
        <item m="1" x="84"/>
        <item m="1" x="38"/>
        <item m="1" x="39"/>
        <item m="1" x="85"/>
        <item m="1" x="40"/>
        <item m="1" x="37"/>
        <item m="1" x="41"/>
        <item m="1" x="43"/>
        <item m="1" x="44"/>
        <item m="1" x="45"/>
        <item m="1" x="47"/>
        <item m="1" x="48"/>
        <item m="1" x="49"/>
        <item m="1" x="42"/>
        <item m="1" x="46"/>
        <item m="1" x="50"/>
        <item m="1" x="51"/>
        <item m="1" x="52"/>
        <item m="1" x="53"/>
        <item m="1" x="36"/>
        <item m="1" x="54"/>
        <item m="1" x="68"/>
        <item m="1" x="69"/>
        <item m="1" x="70"/>
        <item m="1" x="55"/>
        <item m="1" x="56"/>
        <item m="1" x="57"/>
        <item m="1" x="58"/>
        <item m="1" x="59"/>
        <item m="1" x="60"/>
        <item m="1" x="61"/>
        <item m="1" x="62"/>
        <item m="1" x="63"/>
        <item m="1" x="64"/>
        <item m="1" x="65"/>
        <item m="1" x="66"/>
        <item m="1" x="7"/>
        <item m="1" x="8"/>
        <item m="1" x="9"/>
        <item m="1" x="10"/>
        <item m="1" x="11"/>
        <item m="1" x="12"/>
        <item m="1" x="13"/>
        <item m="1" x="14"/>
        <item m="1" x="16"/>
        <item m="1" x="17"/>
        <item m="1" x="18"/>
        <item m="1" x="15"/>
        <item m="1" x="19"/>
        <item m="1" x="20"/>
        <item m="1" x="21"/>
        <item m="1" x="22"/>
        <item m="1" x="23"/>
        <item m="1" x="24"/>
        <item m="1" x="25"/>
        <item m="1" x="26"/>
        <item m="1" x="27"/>
        <item m="1" x="28"/>
        <item m="1" x="29"/>
        <item m="1" x="30"/>
        <item m="1" x="31"/>
        <item m="1" x="32"/>
        <item m="1" x="33"/>
        <item m="1" x="34"/>
        <item m="1" x="35"/>
        <item x="0"/>
        <item x="1"/>
        <item x="2"/>
        <item x="3"/>
        <item x="4"/>
        <item x="5"/>
        <item x="6"/>
        <item t="default"/>
      </items>
    </pivotField>
    <pivotField axis="axisPage" showAll="0">
      <items count="9">
        <item x="1"/>
        <item x="0"/>
        <item x="5"/>
        <item m="1" x="7"/>
        <item x="2"/>
        <item x="3"/>
        <item x="4"/>
        <item m="1" x="6"/>
        <item t="default"/>
      </items>
    </pivotField>
    <pivotField axis="axisRow" showAll="0">
      <items count="60">
        <item m="1" x="49"/>
        <item m="1" x="33"/>
        <item m="1" x="45"/>
        <item m="1" x="15"/>
        <item m="1" x="50"/>
        <item m="1" x="51"/>
        <item m="1" x="46"/>
        <item m="1" x="47"/>
        <item m="1" x="48"/>
        <item x="1"/>
        <item m="1" x="26"/>
        <item m="1" x="52"/>
        <item m="1" x="53"/>
        <item m="1" x="54"/>
        <item m="1" x="55"/>
        <item m="1" x="56"/>
        <item m="1" x="57"/>
        <item m="1" x="22"/>
        <item m="1" x="23"/>
        <item m="1" x="58"/>
        <item m="1" x="24"/>
        <item x="0"/>
        <item m="1" x="25"/>
        <item m="1" x="27"/>
        <item m="1" x="28"/>
        <item m="1" x="29"/>
        <item m="1" x="30"/>
        <item m="1" x="31"/>
        <item m="1" x="32"/>
        <item m="1" x="34"/>
        <item m="1" x="35"/>
        <item m="1" x="17"/>
        <item m="1" x="36"/>
        <item m="1" x="37"/>
        <item m="1" x="38"/>
        <item m="1" x="21"/>
        <item m="1" x="39"/>
        <item m="1" x="40"/>
        <item m="1" x="19"/>
        <item m="1" x="41"/>
        <item m="1" x="42"/>
        <item m="1" x="43"/>
        <item m="1" x="44"/>
        <item m="1" x="7"/>
        <item m="1" x="8"/>
        <item m="1" x="9"/>
        <item m="1" x="10"/>
        <item m="1" x="11"/>
        <item m="1" x="12"/>
        <item m="1" x="13"/>
        <item m="1" x="14"/>
        <item m="1" x="16"/>
        <item m="1" x="18"/>
        <item m="1" x="20"/>
        <item m="1" x="6"/>
        <item x="2"/>
        <item x="3"/>
        <item x="4"/>
        <item x="5"/>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19">
    <i>
      <x v="80"/>
    </i>
    <i r="1">
      <x v="9"/>
    </i>
    <i r="1">
      <x v="21"/>
    </i>
    <i r="1">
      <x v="55"/>
    </i>
    <i>
      <x v="81"/>
    </i>
    <i r="1">
      <x v="9"/>
    </i>
    <i r="1">
      <x v="56"/>
    </i>
    <i r="1">
      <x v="57"/>
    </i>
    <i>
      <x v="82"/>
    </i>
    <i r="1">
      <x v="9"/>
    </i>
    <i>
      <x v="83"/>
    </i>
    <i r="1">
      <x v="9"/>
    </i>
    <i>
      <x v="84"/>
    </i>
    <i r="1">
      <x v="9"/>
    </i>
    <i>
      <x v="85"/>
    </i>
    <i r="1">
      <x v="58"/>
    </i>
    <i>
      <x v="86"/>
    </i>
    <i r="1">
      <x v="9"/>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127">
      <pivotArea dataOnly="0" labelOnly="1" outline="0" fieldPosition="0">
        <references count="1">
          <reference field="1" count="1">
            <x v="1"/>
          </reference>
        </references>
      </pivotArea>
    </format>
    <format dxfId="126">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88" firstHeaderRow="0" firstDataRow="1" firstDataCol="1"/>
  <pivotFields count="7">
    <pivotField numFmtId="14" showAll="0"/>
    <pivotField axis="axisRow" showAll="0">
      <items count="53">
        <item x="3"/>
        <item x="21"/>
        <item x="1"/>
        <item m="1" x="35"/>
        <item m="1" x="41"/>
        <item m="1" x="30"/>
        <item x="2"/>
        <item x="7"/>
        <item x="14"/>
        <item x="22"/>
        <item x="8"/>
        <item m="1" x="50"/>
        <item m="1" x="34"/>
        <item x="4"/>
        <item m="1" x="43"/>
        <item m="1" x="48"/>
        <item x="16"/>
        <item x="10"/>
        <item x="5"/>
        <item m="1" x="25"/>
        <item x="23"/>
        <item x="12"/>
        <item m="1" x="51"/>
        <item m="1" x="29"/>
        <item m="1" x="26"/>
        <item m="1" x="49"/>
        <item m="1" x="40"/>
        <item x="13"/>
        <item m="1" x="42"/>
        <item m="1" x="44"/>
        <item m="1" x="45"/>
        <item m="1" x="46"/>
        <item m="1" x="33"/>
        <item m="1" x="47"/>
        <item m="1" x="36"/>
        <item m="1" x="27"/>
        <item x="19"/>
        <item m="1" x="28"/>
        <item m="1" x="24"/>
        <item m="1" x="31"/>
        <item m="1" x="32"/>
        <item x="6"/>
        <item x="9"/>
        <item m="1" x="37"/>
        <item m="1" x="38"/>
        <item m="1" x="39"/>
        <item x="0"/>
        <item x="11"/>
        <item x="15"/>
        <item x="17"/>
        <item x="18"/>
        <item x="20"/>
        <item t="default"/>
      </items>
    </pivotField>
    <pivotField dataField="1" showAll="0"/>
    <pivotField dataField="1" showAll="0"/>
    <pivotField showAll="0"/>
    <pivotField showAll="0"/>
    <pivotField showAll="0"/>
  </pivotFields>
  <rowFields count="1">
    <field x="1"/>
  </rowFields>
  <rowItems count="25">
    <i>
      <x/>
    </i>
    <i>
      <x v="1"/>
    </i>
    <i>
      <x v="2"/>
    </i>
    <i>
      <x v="6"/>
    </i>
    <i>
      <x v="7"/>
    </i>
    <i>
      <x v="8"/>
    </i>
    <i>
      <x v="9"/>
    </i>
    <i>
      <x v="10"/>
    </i>
    <i>
      <x v="13"/>
    </i>
    <i>
      <x v="16"/>
    </i>
    <i>
      <x v="17"/>
    </i>
    <i>
      <x v="18"/>
    </i>
    <i>
      <x v="20"/>
    </i>
    <i>
      <x v="21"/>
    </i>
    <i>
      <x v="27"/>
    </i>
    <i>
      <x v="36"/>
    </i>
    <i>
      <x v="41"/>
    </i>
    <i>
      <x v="42"/>
    </i>
    <i>
      <x v="46"/>
    </i>
    <i>
      <x v="47"/>
    </i>
    <i>
      <x v="48"/>
    </i>
    <i>
      <x v="49"/>
    </i>
    <i>
      <x v="50"/>
    </i>
    <i>
      <x v="51"/>
    </i>
    <i t="grand">
      <x/>
    </i>
  </rowItems>
  <colFields count="1">
    <field x="-2"/>
  </colFields>
  <colItems count="2">
    <i>
      <x/>
    </i>
    <i i="1">
      <x v="1"/>
    </i>
  </colItems>
  <dataFields count="2">
    <dataField name="Sum of Credit" fld="3" baseField="0" baseItem="0"/>
    <dataField name="Sum of Debit" fld="2" baseField="0" baseItem="0"/>
  </dataFields>
  <formats count="1">
    <format dxfId="11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3" firstHeaderRow="0" firstDataRow="1" firstDataCol="1" rowPageCount="1" colPageCount="1"/>
  <pivotFields count="9">
    <pivotField axis="axisRow" showAll="0">
      <items count="30">
        <item m="1" x="24"/>
        <item m="1" x="25"/>
        <item m="1" x="26"/>
        <item m="1" x="27"/>
        <item m="1" x="28"/>
        <item m="1" x="23"/>
        <item m="1" x="11"/>
        <item m="1" x="12"/>
        <item m="1" x="16"/>
        <item m="1" x="17"/>
        <item m="1" x="13"/>
        <item m="1" x="18"/>
        <item m="1" x="19"/>
        <item m="1" x="20"/>
        <item m="1" x="21"/>
        <item m="1" x="22"/>
        <item m="1" x="10"/>
        <item m="1" x="14"/>
        <item m="1" x="15"/>
        <item m="1" x="3"/>
        <item m="1" x="4"/>
        <item m="1" x="5"/>
        <item m="1" x="6"/>
        <item m="1" x="7"/>
        <item m="1" x="8"/>
        <item m="1" x="9"/>
        <item x="0"/>
        <item x="1"/>
        <item x="2"/>
        <item t="default"/>
      </items>
    </pivotField>
    <pivotField showAll="0"/>
    <pivotField showAll="0"/>
    <pivotField showAll="0"/>
    <pivotField dataField="1" showAll="0"/>
    <pivotField axis="axisPage" showAll="0">
      <items count="6">
        <item x="0"/>
        <item x="2"/>
        <item m="1" x="4"/>
        <item m="1" x="3"/>
        <item x="1"/>
        <item t="default"/>
      </items>
    </pivotField>
    <pivotField showAll="0"/>
    <pivotField dataField="1" showAll="0"/>
    <pivotField showAll="0"/>
  </pivotFields>
  <rowFields count="1">
    <field x="0"/>
  </rowFields>
  <rowItems count="4">
    <i>
      <x v="26"/>
    </i>
    <i>
      <x v="27"/>
    </i>
    <i>
      <x v="28"/>
    </i>
    <i t="grand">
      <x/>
    </i>
  </rowItems>
  <colFields count="1">
    <field x="-2"/>
  </colFields>
  <colItems count="2">
    <i>
      <x/>
    </i>
    <i i="1">
      <x v="1"/>
    </i>
  </colItems>
  <pageFields count="1">
    <pageField fld="5"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5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7">
        <item m="1" x="5"/>
        <item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17" firstHeaderRow="0" firstDataRow="1" firstDataCol="1" rowPageCount="1" colPageCount="1"/>
  <pivotFields count="14">
    <pivotField showAll="0"/>
    <pivotField axis="axisPage" showAll="0">
      <items count="27">
        <item m="1" x="23"/>
        <item x="2"/>
        <item x="0"/>
        <item x="1"/>
        <item m="1" x="25"/>
        <item m="1" x="21"/>
        <item x="6"/>
        <item m="1" x="24"/>
        <item x="3"/>
        <item x="4"/>
        <item m="1" x="22"/>
        <item m="1" x="20"/>
        <item m="1" x="19"/>
        <item x="5"/>
        <item x="10"/>
        <item x="8"/>
        <item x="9"/>
        <item x="7"/>
        <item x="11"/>
        <item x="12"/>
        <item x="13"/>
        <item x="14"/>
        <item x="15"/>
        <item x="16"/>
        <item x="17"/>
        <item x="18"/>
        <item t="default"/>
      </items>
    </pivotField>
    <pivotField showAll="0"/>
    <pivotField showAll="0"/>
    <pivotField axis="axisRow" showAll="0">
      <items count="202">
        <item m="1" x="184"/>
        <item m="1" x="185"/>
        <item m="1" x="183"/>
        <item m="1" x="182"/>
        <item m="1" x="186"/>
        <item m="1" x="188"/>
        <item m="1" x="187"/>
        <item m="1" x="189"/>
        <item m="1" x="190"/>
        <item m="1" x="191"/>
        <item m="1" x="192"/>
        <item m="1" x="193"/>
        <item m="1" x="194"/>
        <item m="1" x="195"/>
        <item m="1" x="120"/>
        <item m="1" x="142"/>
        <item m="1" x="196"/>
        <item m="1" x="197"/>
        <item m="1" x="198"/>
        <item m="1" x="150"/>
        <item m="1" x="149"/>
        <item m="1" x="199"/>
        <item m="1" x="200"/>
        <item m="1" x="159"/>
        <item m="1" x="151"/>
        <item m="1" x="152"/>
        <item m="1" x="153"/>
        <item m="1" x="154"/>
        <item m="1" x="155"/>
        <item m="1" x="156"/>
        <item m="1" x="157"/>
        <item m="1" x="158"/>
        <item m="1" x="160"/>
        <item m="1" x="180"/>
        <item m="1" x="161"/>
        <item m="1" x="181"/>
        <item m="1" x="162"/>
        <item m="1" x="163"/>
        <item m="1" x="164"/>
        <item m="1" x="165"/>
        <item m="1" x="166"/>
        <item m="1" x="96"/>
        <item m="1" x="167"/>
        <item m="1" x="168"/>
        <item m="1" x="169"/>
        <item m="1" x="170"/>
        <item m="1" x="171"/>
        <item m="1" x="172"/>
        <item m="1" x="173"/>
        <item m="1" x="174"/>
        <item m="1" x="175"/>
        <item m="1" x="176"/>
        <item m="1" x="177"/>
        <item m="1" x="178"/>
        <item m="1" x="179"/>
        <item x="0"/>
        <item m="1" x="95"/>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3"/>
        <item m="1" x="144"/>
        <item m="1" x="145"/>
        <item m="1" x="146"/>
        <item m="1" x="147"/>
        <item m="1" x="148"/>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94"/>
        <item m="1" x="75"/>
        <item m="1" x="76"/>
        <item m="1" x="77"/>
        <item m="1" x="78"/>
        <item m="1" x="79"/>
        <item m="1" x="80"/>
        <item m="1" x="81"/>
        <item m="1" x="82"/>
        <item m="1" x="83"/>
        <item m="1" x="84"/>
        <item m="1" x="85"/>
        <item m="1" x="86"/>
        <item m="1" x="87"/>
        <item m="1" x="88"/>
        <item m="1" x="89"/>
        <item m="1" x="90"/>
        <item m="1" x="91"/>
        <item m="1" x="92"/>
        <item m="1" x="93"/>
        <item x="1"/>
        <item x="2"/>
        <item x="3"/>
        <item x="4"/>
        <item x="5"/>
        <item x="6"/>
        <item x="7"/>
        <item x="8"/>
        <item x="9"/>
        <item x="10"/>
        <item x="11"/>
        <item x="12"/>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14">
    <i>
      <x v="55"/>
    </i>
    <i>
      <x v="189"/>
    </i>
    <i>
      <x v="190"/>
    </i>
    <i>
      <x v="191"/>
    </i>
    <i>
      <x v="192"/>
    </i>
    <i>
      <x v="193"/>
    </i>
    <i>
      <x v="194"/>
    </i>
    <i>
      <x v="195"/>
    </i>
    <i>
      <x v="196"/>
    </i>
    <i>
      <x v="197"/>
    </i>
    <i>
      <x v="198"/>
    </i>
    <i>
      <x v="199"/>
    </i>
    <i>
      <x v="200"/>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71">
      <pivotArea type="all" dataOnly="0" outline="0" fieldPosition="0"/>
    </format>
    <format dxfId="70">
      <pivotArea outline="0" collapsedLevelsAreSubtotals="1" fieldPosition="0"/>
    </format>
    <format dxfId="69">
      <pivotArea field="4" type="button" dataOnly="0" labelOnly="1" outline="0" axis="axisRow" fieldPosition="0"/>
    </format>
    <format dxfId="68">
      <pivotArea dataOnly="0" labelOnly="1" fieldPosition="0">
        <references count="1">
          <reference field="4" count="0"/>
        </references>
      </pivotArea>
    </format>
    <format dxfId="67">
      <pivotArea dataOnly="0" labelOnly="1" grandRow="1" outline="0" fieldPosition="0"/>
    </format>
    <format dxfId="66">
      <pivotArea dataOnly="0" labelOnly="1" outline="0" fieldPosition="0">
        <references count="1">
          <reference field="4294967294" count="2">
            <x v="0"/>
            <x v="1"/>
          </reference>
        </references>
      </pivotArea>
    </format>
    <format dxfId="65">
      <pivotArea grandRow="1" outline="0" collapsedLevelsAreSubtotals="1" fieldPosition="0"/>
    </format>
    <format dxfId="64">
      <pivotArea field="4" type="button" dataOnly="0" labelOnly="1" outline="0" axis="axisRow" fieldPosition="0"/>
    </format>
    <format dxfId="63">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201">
        <i x="9" s="1"/>
        <i x="2" s="1"/>
        <i x="10" s="1"/>
        <i x="12" s="1"/>
        <i x="3" s="1"/>
        <i x="5" s="1"/>
        <i x="7" s="1"/>
        <i x="1" s="1"/>
        <i x="4" s="1"/>
        <i x="8" s="1"/>
        <i x="6" s="1"/>
        <i x="11" s="1"/>
        <i x="155" s="1" nd="1"/>
        <i x="184" s="1" nd="1"/>
        <i x="185" s="1" nd="1"/>
        <i x="193" s="1" nd="1"/>
        <i x="183" s="1" nd="1"/>
        <i x="182" s="1" nd="1"/>
        <i x="186" s="1" nd="1"/>
        <i x="197" s="1" nd="1"/>
        <i x="189" s="1" nd="1"/>
        <i x="190" s="1" nd="1"/>
        <i x="187" s="1" nd="1"/>
        <i x="188" s="1" nd="1"/>
        <i x="198" s="1" nd="1"/>
        <i x="191" s="1" nd="1"/>
        <i x="192" s="1" nd="1"/>
        <i x="195" s="1" nd="1"/>
        <i x="196" s="1" nd="1"/>
        <i x="194" s="1" nd="1"/>
        <i x="150" s="1" nd="1"/>
        <i x="200" s="1" nd="1"/>
        <i x="149" s="1" nd="1"/>
        <i x="199" s="1" nd="1"/>
        <i x="152" s="1" nd="1"/>
        <i x="113" s="1" nd="1"/>
        <i x="151" s="1" nd="1"/>
        <i x="153" s="1" nd="1"/>
        <i x="159" s="1" nd="1"/>
        <i x="154" s="1" nd="1"/>
        <i x="156" s="1" nd="1"/>
        <i x="172" s="1" nd="1"/>
        <i x="95" s="1" nd="1"/>
        <i x="160" s="1" nd="1"/>
        <i x="100" s="1" nd="1"/>
        <i x="166" s="1" nd="1"/>
        <i x="161" s="1" nd="1"/>
        <i x="164" s="1" nd="1"/>
        <i x="169" s="1" nd="1"/>
        <i x="180" s="1" nd="1"/>
        <i x="162" s="1" nd="1"/>
        <i x="174" s="1" nd="1"/>
        <i x="177" s="1" nd="1"/>
        <i x="168" s="1" nd="1"/>
        <i x="157" s="1" nd="1"/>
        <i x="165" s="1" nd="1"/>
        <i x="158" s="1" nd="1"/>
        <i x="163" s="1" nd="1"/>
        <i x="96" s="1" nd="1"/>
        <i x="167" s="1" nd="1"/>
        <i x="173" s="1" nd="1"/>
        <i x="110" s="1" nd="1"/>
        <i x="170" s="1" nd="1"/>
        <i x="175" s="1" nd="1"/>
        <i x="171" s="1" nd="1"/>
        <i x="137" s="1" nd="1"/>
        <i x="176" s="1" nd="1"/>
        <i x="178" s="1" nd="1"/>
        <i x="98" s="1" nd="1"/>
        <i x="105" s="1" nd="1"/>
        <i x="179" s="1" nd="1"/>
        <i x="102" s="1" nd="1"/>
        <i x="103" s="1" nd="1"/>
        <i x="97" s="1" nd="1"/>
        <i x="101" s="1" nd="1"/>
        <i x="99" s="1" nd="1"/>
        <i x="108" s="1" nd="1"/>
        <i x="104" s="1" nd="1"/>
        <i x="106" s="1" nd="1"/>
        <i x="109" s="1" nd="1"/>
        <i x="117" s="1" nd="1"/>
        <i x="107" s="1" nd="1"/>
        <i x="116" s="1" nd="1"/>
        <i x="121" s="1" nd="1"/>
        <i x="115" s="1" nd="1"/>
        <i x="118" s="1" nd="1"/>
        <i x="128" s="1" nd="1"/>
        <i x="114" s="1" nd="1"/>
        <i x="111" s="1" nd="1"/>
        <i x="112" s="1" nd="1"/>
        <i x="127" s="1" nd="1"/>
        <i x="120" s="1" nd="1"/>
        <i x="131" s="1" nd="1"/>
        <i x="126" s="1" nd="1"/>
        <i x="119" s="1" nd="1"/>
        <i x="143" s="1" nd="1"/>
        <i x="124" s="1" nd="1"/>
        <i x="134" s="1" nd="1"/>
        <i x="132" s="1" nd="1"/>
        <i x="122" s="1" nd="1"/>
        <i x="130" s="1" nd="1"/>
        <i x="129" s="1" nd="1"/>
        <i x="125" s="1" nd="1"/>
        <i x="135" s="1" nd="1"/>
        <i x="133" s="1" nd="1"/>
        <i x="136" s="1" nd="1"/>
        <i x="123" s="1" nd="1"/>
        <i x="64" s="1" nd="1"/>
        <i x="138" s="1" nd="1"/>
        <i x="139" s="1" nd="1"/>
        <i x="22" s="1" nd="1"/>
        <i x="24" s="1" nd="1"/>
        <i x="146" s="1" nd="1"/>
        <i x="18" s="1" nd="1"/>
        <i x="65" s="1" nd="1"/>
        <i x="140" s="1" nd="1"/>
        <i x="141" s="1" nd="1"/>
        <i x="21" s="1" nd="1"/>
        <i x="148" s="1" nd="1"/>
        <i x="20" s="1" nd="1"/>
        <i x="35" s="1" nd="1"/>
        <i x="147" s="1" nd="1"/>
        <i x="142" s="1" nd="1"/>
        <i x="39" s="1" nd="1"/>
        <i x="145" s="1" nd="1"/>
        <i x="144" s="1" nd="1"/>
        <i x="60" s="1" nd="1"/>
        <i x="13" s="1" nd="1"/>
        <i x="25" s="1" nd="1"/>
        <i x="61" s="1" nd="1"/>
        <i x="59" s="1" nd="1"/>
        <i x="17" s="1" nd="1"/>
        <i x="19" s="1" nd="1"/>
        <i x="23" s="1" nd="1"/>
        <i x="14" s="1" nd="1"/>
        <i x="49" s="1" nd="1"/>
        <i x="54" s="1" nd="1"/>
        <i x="15" s="1" nd="1"/>
        <i x="16" s="1" nd="1"/>
        <i x="26" s="1" nd="1"/>
        <i x="29" s="1" nd="1"/>
        <i x="36" s="1" nd="1"/>
        <i x="28" s="1" nd="1"/>
        <i x="31" s="1" nd="1"/>
        <i x="30" s="1" nd="1"/>
        <i x="73" s="1" nd="1"/>
        <i x="27" s="1" nd="1"/>
        <i x="52" s="1" nd="1"/>
        <i x="68" s="1" nd="1"/>
        <i x="32" s="1" nd="1"/>
        <i x="57" s="1" nd="1"/>
        <i x="70" s="1" nd="1"/>
        <i x="41" s="1" nd="1"/>
        <i x="82" s="1" nd="1"/>
        <i x="40" s="1" nd="1"/>
        <i x="37" s="1" nd="1"/>
        <i x="33" s="1" nd="1"/>
        <i x="34" s="1" nd="1"/>
        <i x="53" s="1" nd="1"/>
        <i x="42" s="1" nd="1"/>
        <i x="43" s="1" nd="1"/>
        <i x="38" s="1" nd="1"/>
        <i x="45" s="1" nd="1"/>
        <i x="46" s="1" nd="1"/>
        <i x="75" s="1" nd="1"/>
        <i x="44" s="1" nd="1"/>
        <i x="62" s="1" nd="1"/>
        <i x="50" s="1" nd="1"/>
        <i x="47" s="1" nd="1"/>
        <i x="51" s="1" nd="1"/>
        <i x="48" s="1" nd="1"/>
        <i x="55" s="1" nd="1"/>
        <i x="74" s="1" nd="1"/>
        <i x="69" s="1" nd="1"/>
        <i x="88" s="1" nd="1"/>
        <i x="56" s="1" nd="1"/>
        <i x="67" s="1" nd="1"/>
        <i x="58" s="1" nd="1"/>
        <i x="83" s="1" nd="1"/>
        <i x="66" s="1" nd="1"/>
        <i x="81" s="1" nd="1"/>
        <i x="72" s="1" nd="1"/>
        <i x="71" s="1" nd="1"/>
        <i x="87" s="1" nd="1"/>
        <i x="84" s="1" nd="1"/>
        <i x="92" s="1" nd="1"/>
        <i x="76" s="1" nd="1"/>
        <i x="85" s="1" nd="1"/>
        <i x="90" s="1" nd="1"/>
        <i x="94" s="1" nd="1"/>
        <i x="91" s="1" nd="1"/>
        <i x="86" s="1" nd="1"/>
        <i x="77" s="1" nd="1"/>
        <i x="80" s="1" nd="1"/>
        <i x="89" s="1" nd="1"/>
        <i x="78" s="1" nd="1"/>
        <i x="79" s="1" nd="1"/>
        <i x="93" s="1" nd="1"/>
        <i x="63" s="1" nd="1"/>
        <i x="181"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1:E18" totalsRowShown="0">
  <autoFilter ref="B1:E18" xr:uid="{726F66F6-6434-425A-A910-C3CBF3339B20}"/>
  <tableColumns count="4">
    <tableColumn id="1" xr3:uid="{7A2445A9-BF1B-49FB-84BB-52F6CB270F38}" name="Party Name" dataDxfId="161">
      <calculatedColumnFormula>B49</calculatedColumnFormula>
    </tableColumn>
    <tableColumn id="2" xr3:uid="{7EDCC2ED-0339-42B3-9633-FFEA7A3DD9F3}" name="Tiyaar" dataDxfId="160">
      <calculatedColumnFormula>SUMIFS(ledger!G:G, ledger!B:B, B2, ledger!E:E, "&lt;&gt;*RD*") / 1.0936</calculatedColumnFormula>
    </tableColumn>
    <tableColumn id="3" xr3:uid="{CC1535DD-3FE7-4F55-8040-E7643388A78E}" name="Rate"/>
    <tableColumn id="4" xr3:uid="{059CB70B-ADAD-4985-84AA-0D530BAC5567}" name="Total" dataDxfId="159">
      <calculatedColumnFormula>(SUMIFS(ledger!G:G, ledger!B:B, B2, ledger!E:E, "&lt;&gt;*RD*",ledger!D:D, "Silky") / 1.0936)*12 + (SUMIFS(ledger!G:G, ledger!B:B, B2,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58" dataDxfId="157">
  <autoFilter ref="B7:E20" xr:uid="{449E5D32-DF9C-4018-96AB-CA98E118D910}"/>
  <tableColumns count="4">
    <tableColumn id="1" xr3:uid="{F663704C-91DD-4BB9-B7EB-EEB0C5EDED6C}" name="Description" dataDxfId="156"/>
    <tableColumn id="2" xr3:uid="{6D94D495-CD0B-4FD3-9771-81D731982A97}" name="Rate" dataDxfId="155" dataCellStyle="Comma"/>
    <tableColumn id="3" xr3:uid="{2D14CEAD-3602-40E7-A488-3584EBC9141E}" name="gazana" dataDxfId="154" dataCellStyle="Comma"/>
    <tableColumn id="4" xr3:uid="{06FEE63C-6480-4079-8426-51BC26B38B34}" name="sum" dataDxfId="153"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52" totalsRowDxfId="151"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50" dataDxfId="149" headerRowCellStyle="Comma" dataCellStyle="Comma">
  <autoFilter ref="B2:C5" xr:uid="{136E8F7F-D03F-4198-8335-91A003EA9E45}"/>
  <tableColumns count="2">
    <tableColumn id="1" xr3:uid="{279FA697-9952-479A-AC05-0D4992B41374}" name="Column1" dataDxfId="148" dataCellStyle="Comma"/>
    <tableColumn id="2" xr3:uid="{8A64998B-65EF-41CD-BCB0-3DDB7B359C54}" name="Column2" dataDxfId="147"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46"/>
    <tableColumn id="2" xr3:uid="{51D27FA2-8DDF-4369-BAF7-7D1FE90E16A0}" name="Column2" dataDxfId="145"/>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44" totalsRowDxfId="143"/>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42">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51" totalsRowCount="1" headerRowDxfId="140" dataDxfId="139" headerRowCellStyle="Comma" dataCellStyle="Comma">
  <autoFilter ref="A1:K50" xr:uid="{11DACEC6-751B-4B1D-817F-5C5BCD38EF6D}"/>
  <tableColumns count="11">
    <tableColumn id="1" xr3:uid="{2FCE3FA8-A48C-4685-8919-AE44C6C71FD9}" name="Date" dataDxfId="138" dataCellStyle="Comma"/>
    <tableColumn id="2" xr3:uid="{5780FD5F-0890-44E6-B59C-8E37A559FE36}" name="Party Name" dataDxfId="137" dataCellStyle="Comma"/>
    <tableColumn id="3" xr3:uid="{5B3ECD85-9174-40AC-BFBD-49CAC97A83D3}" name="Bill Number" dataDxfId="136" dataCellStyle="Comma"/>
    <tableColumn id="4" xr3:uid="{11B50761-04B6-4262-AD4D-7182450037D1}" name="Quality" dataDxfId="135" dataCellStyle="Comma"/>
    <tableColumn id="5" xr3:uid="{2C556969-B713-4967-BD24-466AACCBE5F5}" name="Shipment Number" dataDxfId="134" totalsRowDxfId="55" dataCellStyle="Comma"/>
    <tableColumn id="6" xr3:uid="{F4E1FD2B-9017-4DEB-B772-BF447ECE56F7}" name="Kora/metre" dataDxfId="133" totalsRowDxfId="54" dataCellStyle="Comma"/>
    <tableColumn id="7" xr3:uid="{52ACC1DA-7A76-4A90-B809-3A1AE728E7EA}" name="Tiyaar/gaz" dataDxfId="132" totalsRowDxfId="53" dataCellStyle="Comma"/>
    <tableColumn id="8" xr3:uid="{31A0FF5E-56F0-44D1-9865-73256B964660}" name="shortage %" dataDxfId="131" totalsRowDxfId="52" dataCellStyle="Comma">
      <calculatedColumnFormula>_xlfn.XLOOKUP(Table1[[#This Row],[Shipment Number]], 'pivot '!A:A,'pivot '!G:G, "NF")</calculatedColumnFormula>
    </tableColumn>
    <tableColumn id="9" xr3:uid="{F99075E0-AC8E-094D-BB85-272AD2C6C568}" name="tiyar/meters" totalsRowFunction="custom" dataDxfId="130" totalsRowDxfId="51" dataCellStyle="Comma">
      <totalsRowFormula array="1">SUMPRODUCT( SUBTOTAL(109, OFFSET(Table1[tiyar/meters], ROW(Table1[tiyar/meters])-MIN(ROW(Table1[tiyar/meters])), 0, 1)), --(Table1[Bill Number]&lt;&gt;"September Closing CF") )</totalsRowFormula>
    </tableColumn>
    <tableColumn id="10" xr3:uid="{4B2AF87E-7D86-A946-B130-EA2852096C91}" name="billing" totalsRowFunction="custom" dataDxfId="129" totalsRowDxfId="50" dataCellStyle="Comma">
      <totalsRowFormula array="1">SUMPRODUCT( SUBTOTAL(109, OFFSET(Table1[billing], ROW(Table1[billing])-MIN(ROW(Table1[billing])), 0, 1)), --(Table1[Bill Number]&lt;&gt;"September Closing CF") )</totalsRowFormula>
    </tableColumn>
    <tableColumn id="11" xr3:uid="{0D198F0C-D2D3-4F75-9F3B-25A393B5D570}" name="Total Billing" totalsRowFunction="custom" dataDxfId="128" totalsRowDxfId="49" dataCellStyle="Comma">
      <totalsRowFormula>SUMIFS(Table1[billing], Table1[Bill Number], "&lt;&gt;September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22" totalsRowCount="1" headerRowDxfId="125" headerRowBorderDxfId="124" tableBorderDxfId="123">
  <autoFilter ref="A1:I21" xr:uid="{F8E8C957-ABE7-4E4F-8D4E-7D44E26B334F}"/>
  <tableColumns count="9">
    <tableColumn id="1" xr3:uid="{C2E817D6-AB98-4DDD-8890-736B27F261CD}" name="Date" dataDxfId="122" totalsRowDxfId="44"/>
    <tableColumn id="2" xr3:uid="{CFB51890-CCDC-463C-81C9-3F8BD7469CB9}" name="Party Name"/>
    <tableColumn id="3" xr3:uid="{A113D971-1C9D-4733-99C4-BD0CC4333209}" name="Vehicle Number"/>
    <tableColumn id="4" xr3:uid="{49780304-3DD1-4AE9-98EE-2BC7EB8F3B57}" name="Weight" dataDxfId="121" totalsRowDxfId="43" dataCellStyle="Comma"/>
    <tableColumn id="5" xr3:uid="{FCAF1BC6-1D8C-42AD-8BBC-F924BF2DC7FE}" name="Rate" dataDxfId="120" totalsRowDxfId="42" dataCellStyle="Comma"/>
    <tableColumn id="6" xr3:uid="{8C70A624-4134-410C-9C45-9FDEB51D51BF}" name="Rent" dataDxfId="119" totalsRowDxfId="41" dataCellStyle="Comma"/>
    <tableColumn id="7" xr3:uid="{EBCE10AE-9634-4982-9C95-37ABC8A7078C}" name="Total" totalsRowFunction="sum" dataDxfId="118" totalsRowDxfId="40" dataCellStyle="Comma">
      <calculatedColumnFormula>D2*E2</calculatedColumnFormula>
    </tableColumn>
    <tableColumn id="9" xr3:uid="{D4788559-C94A-44D9-B9AE-E72B214355AC}" name="Paid" totalsRowFunction="sum" dataDxfId="117" totalsRowDxfId="39" dataCellStyle="Comma"/>
    <tableColumn id="8" xr3:uid="{E26F5BF0-1875-4FC6-994D-49F202ED562B}" name="balance" totalsRowFunction="sum" dataDxfId="116" totalsRowDxfId="38"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100" totalsRowCount="1">
  <autoFilter ref="A1:G99" xr:uid="{CB032221-B416-47A8-9A76-693DE76CFD04}"/>
  <tableColumns count="7">
    <tableColumn id="1" xr3:uid="{554B1EED-65B6-4E9A-B646-82727FAC40DE}" name="Date" dataDxfId="114" totalsRowDxfId="48"/>
    <tableColumn id="2" xr3:uid="{32259059-42CF-4947-83DE-115AA430BE2B}" name="Party"/>
    <tableColumn id="3" xr3:uid="{A1320223-D55D-483C-91C3-AB19B95CC9D8}" name="Debit" totalsRowFunction="sum" dataDxfId="113" totalsRowDxfId="47" dataCellStyle="Comma"/>
    <tableColumn id="4" xr3:uid="{E9745767-9FF0-4B1C-9052-FF335D1D7588}" name="Credit" totalsRowFunction="sum" dataDxfId="112" totalsRowDxfId="46" dataCellStyle="Comma"/>
    <tableColumn id="5" xr3:uid="{5C88A48E-2467-4E6D-B626-2442B7FD0BE4}" name="Description"/>
    <tableColumn id="6" xr3:uid="{63CA4666-144E-4BE6-8B7C-7CB992BD3041}" name="Mode" totalsRowFunction="custom" dataDxfId="111" totalsRowDxfId="45">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110" tableBorderDxfId="109" totalsRowBorderDxfId="108">
  <autoFilter ref="J3:K6" xr:uid="{DCE01694-23ED-48BF-8B92-4186B9ED10A8}"/>
  <tableColumns count="2">
    <tableColumn id="1" xr3:uid="{C8484DAF-2989-4C2F-9AEC-A6917E1C57F6}" name="Type" dataDxfId="107"/>
    <tableColumn id="2" xr3:uid="{B07B7A2A-4D4E-4654-BED6-FE2F0A7BEC34}" name="Amount" dataDxfId="106"/>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105" headerRowBorderDxfId="104" tableBorderDxfId="103" totalsRowBorderDxfId="102">
  <autoFilter ref="M3:O6" xr:uid="{D166BDD1-ACD7-45D7-8AE9-7350373F8CEB}"/>
  <tableColumns count="3">
    <tableColumn id="1" xr3:uid="{64F0205E-DEA7-4571-BA86-E4374A5FEE28}" name="Type" totalsRowLabel="Total" dataDxfId="101" totalsRowDxfId="100"/>
    <tableColumn id="2" xr3:uid="{15FA05F9-789C-4459-9BE0-5C1EC84D3365}" name="amount" totalsRowFunction="custom" dataDxfId="99" totalsRowDxfId="98">
      <totalsRowFormula>SUM(N5:N6)</totalsRowFormula>
    </tableColumn>
    <tableColumn id="3" xr3:uid="{3681D409-90C6-44D0-BDE2-4B5943A516F0}" name="Actual" totalsRowFunction="custom" totalsRowDxfId="97">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96" totalsRowDxfId="95"/>
    <tableColumn id="2" xr3:uid="{5B9D0FEE-4304-4C5C-A05C-5B27CF7841D3}" name="Type"/>
    <tableColumn id="3" xr3:uid="{6A91CA0D-C802-4C6F-9F39-CA53687E8EDE}" name="Description"/>
    <tableColumn id="4" xr3:uid="{A251D40C-AB87-4BB4-85F8-444B20E32FDF}" name="Total" totalsRowFunction="custom" dataDxfId="94" totalsRowDxfId="93"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8" totalsRowCount="1" headerRowDxfId="92" headerRowBorderDxfId="91">
  <autoFilter ref="A1:I7"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90"/>
    <tableColumn id="4" xr3:uid="{1889A312-9B41-4EC4-BD8F-05252F27084A}" name="Price" totalsRowFunction="sum"/>
    <tableColumn id="6" xr3:uid="{8B974B20-F003-4E67-8660-024FA4F324A9}" name="Party"/>
    <tableColumn id="7" xr3:uid="{0A5A5C21-FD61-47DA-9F54-66A6479FA557}" name="Paid" dataDxfId="89">
      <calculatedColumnFormula>SUMIFS(Table14[Debit], Table14[Date], Table8[[#This Row],[Date]], Table14[Party], Table8[[#This Row],[Party]])</calculatedColumnFormula>
    </tableColumn>
    <tableColumn id="8" xr3:uid="{8DCB3B43-2161-4081-82EC-CDB0F4DE4E6F}" name="Balance" totalsRowFunction="sum" dataDxfId="88">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33:P56" totalsRowShown="0">
  <autoFilter ref="L33:P56"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18ECE447-7C3E-4E68-93A1-CFBC40F77258}" name="Table2325" displayName="Table2325" ref="A13:E37" totalsRowCount="1">
  <autoFilter ref="A13:E36" xr:uid="{18ECE447-7C3E-4E68-93A1-CFBC40F77258}"/>
  <tableColumns count="5">
    <tableColumn id="1" xr3:uid="{14FC11FB-D9C7-464F-BC0D-00D0DBE7D387}" name="Stock"/>
    <tableColumn id="2" xr3:uid="{08852A10-B253-4125-923F-8339BB6E494E}" name="boxes"/>
    <tableColumn id="3" xr3:uid="{337A4ADE-F0D9-4AED-B032-9EBD8AEF8401}" name="kgs"/>
    <tableColumn id="4" xr3:uid="{9C1C0875-C9E7-4E5B-AB3E-0C5189D43AEC}" name="Rate"/>
    <tableColumn id="5" xr3:uid="{B957BF57-E4E7-4F92-8ABA-5B0CD4B0B740}" name="total" totalsRowFunction="custom">
      <totalsRowFormula>SUM(Table2325[total])</totalsRow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0" totalsRowCount="1" headerRowDxfId="87" headerRowBorderDxfId="86">
  <autoFilter ref="A4:H9" xr:uid="{A4C80688-A8BA-4BA7-90B4-791CD99446B4}"/>
  <sortState xmlns:xlrd2="http://schemas.microsoft.com/office/spreadsheetml/2017/richdata2" ref="A5:H6">
    <sortCondition ref="A4:A6"/>
  </sortState>
  <tableColumns count="8">
    <tableColumn id="1" xr3:uid="{4A818912-918E-4111-ACFC-BC93FEF7C1AD}" name="Date" dataDxfId="85" totalsRowDxfId="84"/>
    <tableColumn id="8" xr3:uid="{477ACFD5-62AF-4F69-974B-E9B974C11D7D}" name="Party Name" dataDxfId="83"/>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82">
      <calculatedColumnFormula>Table2[[#This Row],[Quantity]]*200*Table2[[#This Row],[Boxes]]</calculatedColumnFormula>
    </tableColumn>
    <tableColumn id="6" xr3:uid="{30432929-CBD4-4BA8-B63F-CD0F6CF6405F}" name="Paid" totalsRowFunction="sum" dataDxfId="81">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80">
      <calculatedColumnFormula>Table2[[#This Row],[Price]]-Table2[[#This Row],[Paid]]</calculatedColumnFormula>
    </tableColum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79" totalsRowDxfId="78" dataCellStyle="Comma"/>
    <tableColumn id="6" xr3:uid="{8816813F-07CA-42C2-B1D6-851406F94D6E}" name="Column1" totalsRowFunction="count"/>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77" totalsRowDxfId="76"/>
    <tableColumn id="2" xr3:uid="{053BFC14-4828-417C-9F9F-95B6E232A945}" name="Amount" totalsRowFunction="custom" dataDxfId="75" totalsRowDxfId="74"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6" totalsRowCount="1">
  <autoFilter ref="H2:J35" xr:uid="{A7B203B0-1AB7-490A-A749-F34A78C46DF4}"/>
  <tableColumns count="3">
    <tableColumn id="1" xr3:uid="{B4CDCF07-E9DA-48C6-997D-76B3FCF36D4E}" name="Date" dataDxfId="73" totalsRowDxfId="72"/>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62" totalsRowDxfId="61"/>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60" totalsRowDxfId="59"/>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28" totalsRowShown="0">
  <autoFilter ref="A1:C28" xr:uid="{12993807-B770-4023-98E3-8834035352C5}"/>
  <tableColumns count="3">
    <tableColumn id="1" xr3:uid="{DF7536DF-F3D0-48F5-83DE-312320C1F7F4}" name="Party Name" dataDxfId="58">
      <calculatedColumnFormula>Billing!O5</calculatedColumnFormula>
    </tableColumn>
    <tableColumn id="2" xr3:uid="{7093A59E-B58F-487D-888A-9AA8156B5F9A}" name="Amount Paid" dataDxfId="57">
      <calculatedColumnFormula>Billing!W5</calculatedColumnFormula>
    </tableColumn>
    <tableColumn id="3" xr3:uid="{82D37DD3-FDA4-4C89-BBC6-89947894747E}" name="Balance"/>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8" totalsRowShown="0">
  <autoFilter ref="A1:B18" xr:uid="{EFFCFD9F-93FF-4AFC-90E2-CE42E8512CA2}"/>
  <tableColumns count="2">
    <tableColumn id="1" xr3:uid="{31AA849F-784A-4EE5-9A44-4DB4BC5751A0}" name="Party Names">
      <calculatedColumnFormula>Billing!O5</calculatedColumnFormula>
    </tableColumn>
    <tableColumn id="2" xr3:uid="{F72CFEEB-BA11-4A49-BD19-88592EB6A27C}" name="Credit" dataDxfId="56" dataCellStyle="Comma">
      <calculatedColumnFormula>_xlfn.XLOOKUP($A2,[1]Billing!$O$5:$O$29,[1]Billing!$W$5:$W$29)</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5" Type="http://schemas.openxmlformats.org/officeDocument/2006/relationships/table" Target="../tables/table1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1.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table" Target="../tables/table22.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102"/>
  <sheetViews>
    <sheetView topLeftCell="O3" zoomScale="110" workbookViewId="0">
      <selection activeCell="AA23" sqref="AA23"/>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33203125" bestFit="1" customWidth="1"/>
    <col min="10" max="10" width="12.21875" bestFit="1" customWidth="1"/>
    <col min="11" max="11" width="11.21875" bestFit="1" customWidth="1"/>
    <col min="12" max="13" width="16.21875" customWidth="1"/>
    <col min="14" max="14" width="11.44140625" customWidth="1"/>
    <col min="15" max="15" width="16.2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B1" t="s">
        <v>2</v>
      </c>
      <c r="C1" t="s">
        <v>3</v>
      </c>
      <c r="D1" t="s">
        <v>4</v>
      </c>
      <c r="E1" t="s">
        <v>5</v>
      </c>
      <c r="G1" s="9" t="s">
        <v>0</v>
      </c>
    </row>
    <row r="2" spans="2:26" x14ac:dyDescent="0.3">
      <c r="B2" t="str">
        <f t="shared" ref="B2:B18" si="0">B49</f>
        <v>BSC</v>
      </c>
      <c r="C2" s="18">
        <f>SUMIFS(ledger!G:G, ledger!B:B, B2, ledger!E:E, "&lt;&gt;*RD*") / 1.0936</f>
        <v>58167.520117044631</v>
      </c>
      <c r="D2">
        <v>10</v>
      </c>
      <c r="E2" s="14">
        <f>(SUMIFS(ledger!G:G, ledger!B:B, B2, ledger!E:E, "&lt;&gt;*RD*",ledger!D:D, "Silky") / 1.0936)*12 + (SUMIFS(ledger!G:G, ledger!B:B, B2, ledger!E:E, "&lt;&gt;*RD*",ledger!D:D, "Chamki") / 1.0936)*10</f>
        <v>698010.2414045356</v>
      </c>
      <c r="O2" t="s">
        <v>1</v>
      </c>
    </row>
    <row r="3" spans="2:26" x14ac:dyDescent="0.3">
      <c r="B3" t="str">
        <f t="shared" si="0"/>
        <v>Ejaz Sahab</v>
      </c>
      <c r="C3" s="18">
        <f>SUMIFS(ledger!G:G, ledger!B:B, B3, ledger!E:E, "&lt;&gt;*RD*") / 1.0936</f>
        <v>44246.525237746893</v>
      </c>
      <c r="D3">
        <v>10</v>
      </c>
      <c r="E3" s="14">
        <f>(SUMIFS(ledger!G:G, ledger!B:B, B3, ledger!E:E, "&lt;&gt;*RD*",ledger!D:D, "Silky") / 1.0936)*12 + (SUMIFS(ledger!G:G, ledger!B:B, B3, ledger!E:E, "&lt;&gt;*RD*",ledger!D:D, "Chamki") / 1.0936)*10</f>
        <v>530958.30285296275</v>
      </c>
      <c r="I3" s="3" t="s">
        <v>6</v>
      </c>
      <c r="J3" t="s">
        <v>7</v>
      </c>
      <c r="K3" t="s">
        <v>8</v>
      </c>
    </row>
    <row r="4" spans="2:26" x14ac:dyDescent="0.3">
      <c r="B4" t="str">
        <f t="shared" si="0"/>
        <v>Arshad</v>
      </c>
      <c r="C4" s="18">
        <f>SUMIFS(ledger!G:G, ledger!B:B, B4, ledger!E:E, "&lt;&gt;*RD*") / 1.0936</f>
        <v>68918.251645940021</v>
      </c>
      <c r="D4">
        <v>10</v>
      </c>
      <c r="E4" s="14">
        <f>(SUMIFS(ledger!G:G, ledger!B:B, B4, ledger!E:E, "&lt;&gt;*RD*",ledger!D:D, "Silky") / 1.0936)*12 + (SUMIFS(ledger!G:G, ledger!B:B, B4, ledger!E:E, "&lt;&gt;*RD*",ledger!D:D, "Chamki") / 1.0936)*10</f>
        <v>689182.51645940018</v>
      </c>
      <c r="I4" s="4" t="s">
        <v>21</v>
      </c>
      <c r="J4" s="5">
        <v>58167.520117044631</v>
      </c>
      <c r="K4" s="18">
        <v>698010.2414045356</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Shehzad Kamoki</v>
      </c>
      <c r="C5" s="18">
        <f>SUMIFS(ledger!G:G, ledger!B:B, B5, ledger!E:E, "&lt;&gt;*RD*") / 1.0936</f>
        <v>0</v>
      </c>
      <c r="D5">
        <v>10.5</v>
      </c>
      <c r="E5" s="14">
        <f>(SUMIFS(ledger!G:G, ledger!B:B, B5, ledger!E:E, "&lt;&gt;*RD*",ledger!D:D, "Silky") / 1.0936)*12 + (SUMIFS(ledger!G:G, ledger!B:B, B5, ledger!E:E, "&lt;&gt;*RD*",ledger!D:D, "Chamki") / 1.0936)*10.5</f>
        <v>0</v>
      </c>
      <c r="I5" s="4" t="s">
        <v>22</v>
      </c>
      <c r="J5" s="5">
        <v>44246.525237746893</v>
      </c>
      <c r="K5" s="18">
        <v>530958.30285296275</v>
      </c>
      <c r="O5" s="25" t="str" cm="1">
        <f t="array" ref="O5:O23">_xlfn.UNIQUE(Table1[Party Name])</f>
        <v>BSC</v>
      </c>
      <c r="P5" s="23" cm="1">
        <f t="array" ref="P5">_xlfn.BYROW(B49,_xlfn.LAMBDA(_xlpm.party,SUMIFS(ledger!G:G,ledger!B:B,_xlpm.party,ledger!E:E,"&lt;&gt;*RD*")))+_xlfn.IFNA(C84,0)</f>
        <v>1729541</v>
      </c>
      <c r="Q5" s="23" cm="1">
        <f t="array" ref="Q5">_xlfn.BYROW(B49, _xlfn.LAMBDA(_xlpm.party, SUMIFS(ledger!G:G, ledger!B:B, _xlpm.party, ledger!E:E, "&lt;&gt;*RD*") / 1.0936 ))+_xlfn.IFNA(D84,0)</f>
        <v>1581511.5215801026</v>
      </c>
      <c r="R5" s="23" cm="1">
        <f t="array" ref="R5">(_xlfn.BYROW(B49,_xlfn.LAMBDA(_xlpm.party,SUMIFS(ledger!G:G,ledger!B:B,_xlpm.party,ledger!E:E,"&lt;&gt;*RD*",ledger!D:D,"Chamki")+SUMIFS(ledger!G:G, ledger!B:B, _xlpm.party, ledger!E:E, "&lt;&gt;*RD*", ledger!D:D, "Crinkle")))/1.0936)+_xlfn.IFNA(E84,0)</f>
        <v>1493155.6327724946</v>
      </c>
      <c r="S5" s="75" cm="1">
        <f t="array" ref="S5">(_xlfn.BYROW(B49,_xlfn.LAMBDA(_xlpm.party,SUMIFS(ledger!G:G,ledger!B:B,_xlpm.party,ledger!E:E,"&lt;&gt;*RD*",ledger!D:D,"Silky")))/1.0936)+_xlfn.IFNA(F84,0)</f>
        <v>88355.888807607902</v>
      </c>
      <c r="T5" s="23" cm="1">
        <f t="array" ref="T5">(_xlfn.BYROW(B49,_xlfn.LAMBDA(_xlpm.party,(SUMIFS(ledger!G:G,ledger!B:B,_xlpm.party,ledger!E:E,"&lt;&gt;*RD*",ledger!D:D, "Chamki")+SUMIFS(ledger!G:G, ledger!B:B, _xlpm.party, ledger!E:E, "&lt;&gt;*RD*", ledger!D:D, "Crinkle"))/1.0936))*L49)+_xlfn.IFNA(G84,0)</f>
        <v>14931556.327724949</v>
      </c>
      <c r="U5" s="23" cm="1">
        <f t="array" ref="U5">(_xlfn.BYROW(B49,_xlfn.LAMBDA(_xlpm.party,SUMIFS(ledger!G:G,ledger!B:B,_xlpm.party,ledger!E:E,"&lt;&gt;*RD*",ledger!D:D, "Silky")/1.0936))* Z5)+_xlfn.IFNA(H84,0)</f>
        <v>1060270.6656912949</v>
      </c>
      <c r="V5" s="44">
        <f>T5+U5</f>
        <v>15991826.993416244</v>
      </c>
      <c r="W5" s="23">
        <f>(SUMIF(Table14[Party],O5,Table14[Credit]))+_xlfn.IFNA(J84,0)</f>
        <v>16224741</v>
      </c>
      <c r="X5" s="38">
        <f>V5-W5</f>
        <v>-232914.00658375584</v>
      </c>
      <c r="Y5" s="22">
        <v>10</v>
      </c>
      <c r="Z5" s="22">
        <v>12</v>
      </c>
    </row>
    <row r="6" spans="2:26" x14ac:dyDescent="0.3">
      <c r="B6" t="str">
        <f t="shared" si="0"/>
        <v>Sufi Nawaz Sahab</v>
      </c>
      <c r="C6" s="18">
        <f>SUMIFS(ledger!G:G, ledger!B:B, B6, ledger!E:E, "&lt;&gt;*RD*") / 1.0936</f>
        <v>0</v>
      </c>
      <c r="D6">
        <v>10</v>
      </c>
      <c r="E6" s="14">
        <f>((SUMIFS(ledger!G:G, ledger!B:B, B6, ledger!E:E, "&lt;&gt;*RD*",ledger!D:D, "Silky") / 1.0936) *12) + ((SUMIFS(ledger!G:G, ledger!B:B, B6, ledger!E:E, "&lt;&gt;*RD*",ledger!D:D, "Chamki") / 1.0936)* 9)</f>
        <v>0</v>
      </c>
      <c r="I6" s="4" t="s">
        <v>9</v>
      </c>
      <c r="J6" s="5">
        <v>68918.251645940021</v>
      </c>
      <c r="K6" s="18">
        <v>689182.51645940018</v>
      </c>
      <c r="O6" s="25" t="str">
        <v>Ejaz Sahab</v>
      </c>
      <c r="P6" s="23" cm="1">
        <f t="array" ref="P6">_xlfn.BYROW(B50,_xlfn.LAMBDA(_xlpm.party,SUMIFS(ledger!G:G,ledger!B:B,_xlpm.party,ledger!E:E,"&lt;&gt;*RD*")))+_xlfn.IFNA(C85,0)</f>
        <v>207460</v>
      </c>
      <c r="Q6" s="23" cm="1">
        <f t="array" ref="Q6">_xlfn.BYROW(B50, _xlfn.LAMBDA(_xlpm.party, SUMIFS(ledger!G:G, ledger!B:B, _xlpm.party, ledger!E:E, "&lt;&gt;*RD*") / 1.0936 ))+_xlfn.IFNA(D85,0)</f>
        <v>189703.7307973665</v>
      </c>
      <c r="R6" s="23" cm="1">
        <f t="array" ref="R6">(_xlfn.BYROW(B50,_xlfn.LAMBDA(_xlpm.party,SUMIFS(ledger!G:G,ledger!B:B,_xlpm.party,ledger!E:E,"&lt;&gt;*RD*",ledger!D:D,"Chamki")+SUMIFS(ledger!G:G, ledger!B:B, _xlpm.party, ledger!E:E, "&lt;&gt;*RD*", ledger!D:D, "Crinkle")))/1.0936)+_xlfn.IFNA(E85,0)</f>
        <v>130559.6196049744</v>
      </c>
      <c r="S6" s="75" cm="1">
        <f t="array" ref="S6">(_xlfn.BYROW(B50,_xlfn.LAMBDA(_xlpm.party,SUMIFS(ledger!G:G,ledger!B:B,_xlpm.party,ledger!E:E,"&lt;&gt;*RD*",ledger!D:D,"Silky")))/1.0936)+_xlfn.IFNA(F85,0)</f>
        <v>59144.111192392105</v>
      </c>
      <c r="T6" s="23" cm="1">
        <f t="array" ref="T6">(_xlfn.BYROW(B50,_xlfn.LAMBDA(_xlpm.party,(SUMIFS(ledger!G:G,ledger!B:B,_xlpm.party,ledger!E:E,"&lt;&gt;*RD*",ledger!D:D, "Chamki")+SUMIFS(ledger!G:G, ledger!B:B, _xlpm.party, ledger!E:E, "&lt;&gt;*RD*", ledger!D:D, "Crinkle"))/1.0936))*L50)+_xlfn.IFNA(G85,0)</f>
        <v>1305596.196049744</v>
      </c>
      <c r="U6" s="23" cm="1">
        <f t="array" ref="U6">(_xlfn.BYROW(B50,_xlfn.LAMBDA(_xlpm.party,SUMIFS(ledger!G:G,ledger!B:B,_xlpm.party,ledger!E:E,"&lt;&gt;*RD*",ledger!D:D, "Silky")/1.0936))* Z6)+_xlfn.IFNA(H85,0)</f>
        <v>709729.33430870529</v>
      </c>
      <c r="V6" s="44">
        <f t="shared" ref="V6:V12" si="1">T6+U6</f>
        <v>2015325.5303584493</v>
      </c>
      <c r="W6" s="23">
        <f>(SUMIF(Table14[Party],O6,Table14[Credit]))+_xlfn.IFNA(J85,0)</f>
        <v>859904</v>
      </c>
      <c r="X6" s="38">
        <f>V6-W6</f>
        <v>1155421.5303584493</v>
      </c>
      <c r="Y6" s="22">
        <v>10</v>
      </c>
      <c r="Z6" s="22">
        <v>12</v>
      </c>
    </row>
    <row r="7" spans="2:26" x14ac:dyDescent="0.3">
      <c r="B7" t="str">
        <f t="shared" si="0"/>
        <v>Sajad Khan</v>
      </c>
      <c r="C7" s="18">
        <f>SUMIFS(ledger!G:G, ledger!B:B, B7, ledger!E:E, "&lt;&gt;*RD*") / 1.0936</f>
        <v>41451.170446232631</v>
      </c>
      <c r="D7">
        <v>10</v>
      </c>
      <c r="E7" s="14" cm="1">
        <f t="array" ref="E7">(SUMIFS(ledger!G:G, ledger!B:B, B7, ledger!E:E, "&lt;&gt;*RD*",ledger!D:D, "Silky") / 1.0936)*12 + (SUMIFS(ledger!G:G, ledger!B:B, B7, ledger!E:E, "&lt;&gt;*RD*",ledger!D:D, "Chamki") / 1.0936)*10 +(SUMIFS(ledger!G:G, ledger!B:B, party, ledger!E:E, "&lt;&gt;*RD*", ledger!D:D, "Crinkle")/ 1.0936)*10</f>
        <v>414511.70446232631</v>
      </c>
      <c r="I7" s="4" t="s">
        <v>23</v>
      </c>
      <c r="J7" s="5">
        <v>0</v>
      </c>
      <c r="K7" s="18">
        <v>0</v>
      </c>
      <c r="O7" s="25" t="str">
        <v>Arshad</v>
      </c>
      <c r="P7" s="23" cm="1">
        <f t="array" ref="P7">_xlfn.BYROW(B51,_xlfn.LAMBDA(_xlpm.party,SUMIFS(ledger!G:G,ledger!B:B,_xlpm.party,ledger!E:E,"&lt;&gt;*RD*")))+_xlfn.IFNA(C86,0)</f>
        <v>335117</v>
      </c>
      <c r="Q7" s="23" cm="1">
        <f t="array" ref="Q7">_xlfn.BYROW(B51, _xlfn.LAMBDA(_xlpm.party, SUMIFS(ledger!G:G, ledger!B:B, _xlpm.party, ledger!E:E, "&lt;&gt;*RD*") / 1.0936 ))+_xlfn.IFNA(D86,0)</f>
        <v>306434.71104608633</v>
      </c>
      <c r="R7" s="23" cm="1">
        <f t="array" ref="R7">(_xlfn.BYROW(B51,_xlfn.LAMBDA(_xlpm.party,SUMIFS(ledger!G:G,ledger!B:B,_xlpm.party,ledger!E:E,"&lt;&gt;*RD*",ledger!D:D,"Chamki")+SUMIFS(ledger!G:G, ledger!B:B, _xlpm.party, ledger!E:E, "&lt;&gt;*RD*", ledger!D:D, "Crinkle")))/1.0936)+_xlfn.IFNA(E86,0)</f>
        <v>291640.45354791515</v>
      </c>
      <c r="S7" s="75" cm="1">
        <f t="array" ref="S7">(_xlfn.BYROW(B51,_xlfn.LAMBDA(_xlpm.party,SUMIFS(ledger!G:G,ledger!B:B,_xlpm.party,ledger!E:E,"&lt;&gt;*RD*",ledger!D:D,"Silky")))/1.0936)+_xlfn.IFNA(F86,0)</f>
        <v>14794.257498171179</v>
      </c>
      <c r="T7" s="23" cm="1">
        <f t="array" ref="T7">(_xlfn.BYROW(B51,_xlfn.LAMBDA(_xlpm.party,(SUMIFS(ledger!G:G,ledger!B:B,_xlpm.party,ledger!E:E,"&lt;&gt;*RD*",ledger!D:D, "Chamki")+SUMIFS(ledger!G:G, ledger!B:B, _xlpm.party, ledger!E:E, "&lt;&gt;*RD*", ledger!D:D, "Crinkle"))/1.0936))*L51)+_xlfn.IFNA(G86,0)</f>
        <v>2916404.5354791516</v>
      </c>
      <c r="U7" s="23" cm="1">
        <f t="array" ref="U7">(_xlfn.BYROW(B51,_xlfn.LAMBDA(_xlpm.party,SUMIFS(ledger!G:G,ledger!B:B,_xlpm.party,ledger!E:E,"&lt;&gt;*RD*",ledger!D:D, "Silky")/1.0936))* Z7)+_xlfn.IFNA(H86,0)</f>
        <v>177531.08997805414</v>
      </c>
      <c r="V7" s="44">
        <f t="shared" si="1"/>
        <v>3093935.6254572058</v>
      </c>
      <c r="W7" s="23">
        <f>(SUMIF(Table14[Party],O7,Table14[Credit]))+_xlfn.IFNA(J86,0)</f>
        <v>3093935</v>
      </c>
      <c r="X7" s="38">
        <f>V7-W7</f>
        <v>0.62545720580965281</v>
      </c>
      <c r="Y7" s="22">
        <v>10</v>
      </c>
      <c r="Z7" s="22">
        <v>12</v>
      </c>
    </row>
    <row r="8" spans="2:26" x14ac:dyDescent="0.3">
      <c r="B8" t="str">
        <f t="shared" si="0"/>
        <v>Raaz Fabrics</v>
      </c>
      <c r="C8" s="18">
        <f>SUMIFS(ledger!G:G, ledger!B:B, B8, ledger!E:E, "&lt;&gt;*RD*") / 1.0936</f>
        <v>0</v>
      </c>
      <c r="D8">
        <v>10</v>
      </c>
      <c r="E8" s="14">
        <f>(SUMIFS(ledger!G:G, ledger!B:B, B8, ledger!E:E, "&lt;&gt;*RD*",ledger!D:D, "Silky") / 1.0936)*12 + (SUMIFS(ledger!G:G, ledger!B:B, B8, ledger!E:E, "&lt;&gt;*RD*",ledger!D:D, "chamki") / 1.0936)*10 +(SUMIFS(ledger!G:G, ledger!B:B, B8, ledger!E:E, "&lt;&gt;*RD*",ledger!D:D, "Crinkle") / 1.0936)*10</f>
        <v>0</v>
      </c>
      <c r="I8" s="4" t="s">
        <v>24</v>
      </c>
      <c r="J8" s="5">
        <v>0</v>
      </c>
      <c r="K8" s="18">
        <v>0</v>
      </c>
      <c r="O8" s="25" t="str">
        <v>Shehzad Kamoki</v>
      </c>
      <c r="P8" s="23" cm="1">
        <f t="array" ref="P8">_xlfn.BYROW(B52,_xlfn.LAMBDA(_xlpm.party,SUMIFS(ledger!G:G,ledger!B:B,_xlpm.party,ledger!E:E,"&lt;&gt;*RD*")))+_xlfn.IFNA(C87,0)</f>
        <v>134607</v>
      </c>
      <c r="Q8" s="23" cm="1">
        <f t="array" ref="Q8">_xlfn.BYROW(B52, _xlfn.LAMBDA(_xlpm.party, SUMIFS(ledger!G:G, ledger!B:B, _xlpm.party, ledger!E:E, "&lt;&gt;*RD*") / 1.0936 ))+_xlfn.IFNA(D87,0)</f>
        <v>123086.13752743235</v>
      </c>
      <c r="R8" s="23" cm="1">
        <f t="array" ref="R8">(_xlfn.BYROW(B52,_xlfn.LAMBDA(_xlpm.party,SUMIFS(ledger!G:G,ledger!B:B,_xlpm.party,ledger!E:E,"&lt;&gt;*RD*",ledger!D:D,"Chamki")+SUMIFS(ledger!G:G, ledger!B:B, _xlpm.party, ledger!E:E, "&lt;&gt;*RD*", ledger!D:D, "Crinkle")))/1.0936)+_xlfn.IFNA(E87,0)</f>
        <v>123086.13752743235</v>
      </c>
      <c r="S8" s="75" cm="1">
        <f t="array" ref="S8">(_xlfn.BYROW(B52,_xlfn.LAMBDA(_xlpm.party,SUMIFS(ledger!G:G,ledger!B:B,_xlpm.party,ledger!E:E,"&lt;&gt;*RD*",ledger!D:D,"Silky")))/1.0936)+_xlfn.IFNA(F87,0)</f>
        <v>0</v>
      </c>
      <c r="T8" s="23" cm="1">
        <f t="array" ref="T8">(_xlfn.BYROW(B52,_xlfn.LAMBDA(_xlpm.party,(SUMIFS(ledger!G:G,ledger!B:B,_xlpm.party,ledger!E:E,"&lt;&gt;*RD*",ledger!D:D, "Chamki")+SUMIFS(ledger!G:G, ledger!B:B, _xlpm.party, ledger!E:E, "&lt;&gt;*RD*", ledger!D:D, "Crinkle"))/1.0936))*L52)+_xlfn.IFNA(G87,0)</f>
        <v>1269270.3440380397</v>
      </c>
      <c r="U8" s="23" cm="1">
        <f t="array" ref="U8">(_xlfn.BYROW(B52,_xlfn.LAMBDA(_xlpm.party,SUMIFS(ledger!G:G,ledger!B:B,_xlpm.party,ledger!E:E,"&lt;&gt;*RD*",ledger!D:D, "Silky")/1.0936))* Z8)+_xlfn.IFNA(H87,0)</f>
        <v>0</v>
      </c>
      <c r="V8" s="44">
        <f t="shared" si="1"/>
        <v>1269270.3440380397</v>
      </c>
      <c r="W8" s="23">
        <f>(SUMIF(Table14[Party],O8,Table14[Credit]))+_xlfn.IFNA(J87,0)</f>
        <v>1268740</v>
      </c>
      <c r="X8" s="38">
        <f>V8-W8</f>
        <v>530.34403803967871</v>
      </c>
      <c r="Y8" s="22">
        <v>10.5</v>
      </c>
      <c r="Z8" s="22">
        <v>13</v>
      </c>
    </row>
    <row r="9" spans="2:26" x14ac:dyDescent="0.3">
      <c r="B9" t="str">
        <f t="shared" si="0"/>
        <v>Azam</v>
      </c>
      <c r="C9" s="18">
        <f>SUMIFS(ledger!G:G, ledger!B:B, B9, ledger!E:E, "&lt;&gt;*RD*") / 1.0936</f>
        <v>0</v>
      </c>
      <c r="D9">
        <v>10</v>
      </c>
      <c r="E9" s="14">
        <f>(SUMIFS(ledger!G:G, ledger!B:B, B9, ledger!E:E, "&lt;&gt;*RD*",ledger!D:D, "Silky") / 1.0936)*12 + (SUMIFS(ledger!G:G, ledger!B:B, B9, ledger!E:E, "&lt;&gt;*RD*",ledger!D:D, "Chamki") / 1.0936)*10</f>
        <v>0</v>
      </c>
      <c r="I9" s="4" t="s">
        <v>25</v>
      </c>
      <c r="J9" s="5">
        <v>41451.170446232631</v>
      </c>
      <c r="K9" s="18">
        <v>414511.70446232631</v>
      </c>
      <c r="O9" s="25" t="str">
        <v>Sufi Nawaz Sahab</v>
      </c>
      <c r="P9" s="23" cm="1">
        <f t="array" ref="P9">_xlfn.BYROW(B53,_xlfn.LAMBDA(_xlpm.party,SUMIFS(ledger!G:G,ledger!B:B,_xlpm.party,ledger!E:E,"&lt;&gt;*RD*")))+_xlfn.IFNA(C88,0)</f>
        <v>1186725</v>
      </c>
      <c r="Q9" s="23" cm="1">
        <f t="array" ref="Q9">_xlfn.BYROW(B53, _xlfn.LAMBDA(_xlpm.party, SUMIFS(ledger!G:G, ledger!B:B, _xlpm.party, ledger!E:E, "&lt;&gt;*RD*") / 1.0936 ))+_xlfn.IFNA(D88,0)</f>
        <v>1085154.5354791514</v>
      </c>
      <c r="R9" s="23" cm="1">
        <f t="array" ref="R9">(_xlfn.BYROW(B53,_xlfn.LAMBDA(_xlpm.party,SUMIFS(ledger!G:G,ledger!B:B,_xlpm.party,ledger!E:E,"&lt;&gt;*RD*",ledger!D:D,"Chamki")+SUMIFS(ledger!G:G, ledger!B:B, _xlpm.party, ledger!E:E, "&lt;&gt;*RD*", ledger!D:D, "Crinkle")))/1.0936)+_xlfn.IFNA(E88,0)</f>
        <v>599330.65106071695</v>
      </c>
      <c r="S9" s="75" cm="1">
        <f t="array" ref="S9">(_xlfn.BYROW(B53,_xlfn.LAMBDA(_xlpm.party,SUMIFS(ledger!G:G,ledger!B:B,_xlpm.party,ledger!E:E,"&lt;&gt;*RD*",ledger!D:D,"Silky")))/1.0936)+_xlfn.IFNA(F88,0)</f>
        <v>485823.88441843458</v>
      </c>
      <c r="T9" s="23" cm="1">
        <f t="array" ref="T9">(_xlfn.BYROW(B53,_xlfn.LAMBDA(_xlpm.party,(SUMIFS(ledger!G:G,ledger!B:B,_xlpm.party,ledger!E:E,"&lt;&gt;*RD*",ledger!D:D, "Chamki")+SUMIFS(ledger!G:G, ledger!B:B, _xlpm.party, ledger!E:E, "&lt;&gt;*RD*", ledger!D:D, "Crinkle"))/1.0936))*L53)+_xlfn.IFNA(G88,0)</f>
        <v>5393975.8595464528</v>
      </c>
      <c r="U9" s="23" cm="1">
        <f t="array" ref="U9">(_xlfn.BYROW(B53,_xlfn.LAMBDA(_xlpm.party,SUMIFS(ledger!G:G,ledger!B:B,_xlpm.party,ledger!E:E,"&lt;&gt;*RD*",ledger!D:D, "Silky")/1.0936))* Z9)+_xlfn.IFNA(H88,0)</f>
        <v>5829886.6130212145</v>
      </c>
      <c r="V9" s="44">
        <f t="shared" si="1"/>
        <v>11223862.472567666</v>
      </c>
      <c r="W9" s="23">
        <f>(SUMIF(Table14[Party],O9,Table14[Credit]))+_xlfn.IFNA(J88,0)</f>
        <v>8629100</v>
      </c>
      <c r="X9" s="38">
        <f t="shared" ref="X9:X17" si="2">V9-W9</f>
        <v>2594762.4725676663</v>
      </c>
      <c r="Y9" s="22">
        <v>10</v>
      </c>
      <c r="Z9" s="22">
        <v>12</v>
      </c>
    </row>
    <row r="10" spans="2:26" x14ac:dyDescent="0.3">
      <c r="B10" t="str">
        <f t="shared" si="0"/>
        <v>Ubaidullah</v>
      </c>
      <c r="C10" s="18">
        <f>SUMIFS(ledger!G:G, ledger!B:B, B10, ledger!E:E, "&lt;&gt;*RD*") / 1.0936</f>
        <v>0</v>
      </c>
      <c r="D10">
        <v>10</v>
      </c>
      <c r="E10" s="14">
        <f>(SUMIFS(ledger!G:G, ledger!B:B, B10, ledger!E:E, "&lt;&gt;*RD*",ledger!D:D, "Silky") / 1.0936)*12 + (SUMIFS(ledger!G:G, ledger!B:B, B10, ledger!E:E, "&lt;&gt;*RD*",ledger!D:D, "Chamki") / 1.0936)*10</f>
        <v>0</v>
      </c>
      <c r="I10" s="4" t="s">
        <v>26</v>
      </c>
      <c r="J10" s="5">
        <v>0</v>
      </c>
      <c r="K10" s="18">
        <v>0</v>
      </c>
      <c r="O10" s="25" t="str">
        <v>Sajad Khan</v>
      </c>
      <c r="P10" s="23" cm="1">
        <f t="array" ref="P10">_xlfn.BYROW(B54,_xlfn.LAMBDA(_xlpm.party,SUMIFS(ledger!G:G,ledger!B:B,_xlpm.party,ledger!E:E,"&lt;&gt;*RD*")))+_xlfn.IFNA(C89,0)</f>
        <v>526991</v>
      </c>
      <c r="Q10" s="23" cm="1">
        <f t="array" ref="Q10">_xlfn.BYROW(B54, _xlfn.LAMBDA(_xlpm.party, SUMIFS(ledger!G:G, ledger!B:B, _xlpm.party, ledger!E:E, "&lt;&gt;*RD*") / 1.0936 ))+_xlfn.IFNA(D89,0)</f>
        <v>481886.43013899052</v>
      </c>
      <c r="R10" s="23" cm="1">
        <f t="array" ref="R10">(_xlfn.BYROW(B54,_xlfn.LAMBDA(_xlpm.party,SUMIFS(ledger!G:G,ledger!B:B,_xlpm.party,ledger!E:E,"&lt;&gt;*RD*",ledger!D:D,"Chamki")+SUMIFS(ledger!G:G, ledger!B:B, _xlpm.party, ledger!E:E, "&lt;&gt;*RD*", ledger!D:D, "Crinkle")))/1.0936)+_xlfn.IFNA(E89,0)</f>
        <v>481886.43013899052</v>
      </c>
      <c r="S10" s="75" cm="1">
        <f t="array" ref="S10">(_xlfn.BYROW(B54,_xlfn.LAMBDA(_xlpm.party,SUMIFS(ledger!G:G,ledger!B:B,_xlpm.party,ledger!E:E,"&lt;&gt;*RD*",ledger!D:D,"Silky")))/1.0936)+_xlfn.IFNA(F89,0)</f>
        <v>0</v>
      </c>
      <c r="T10" s="23" cm="1">
        <f t="array" ref="T10">(_xlfn.BYROW(B54,_xlfn.LAMBDA(_xlpm.party,(SUMIFS(ledger!G:G,ledger!B:B,_xlpm.party,ledger!E:E,"&lt;&gt;*RD*",ledger!D:D, "Chamki")+SUMIFS(ledger!G:G, ledger!B:B, _xlpm.party, ledger!E:E, "&lt;&gt;*RD*", ledger!D:D, "Crinkle"))/1.0936))*L54)+_xlfn.IFNA(G89,0)</f>
        <v>4818864.3013899047</v>
      </c>
      <c r="U10" s="23" cm="1">
        <f t="array" ref="U10">(_xlfn.BYROW(B54,_xlfn.LAMBDA(_xlpm.party,SUMIFS(ledger!G:G,ledger!B:B,_xlpm.party,ledger!E:E,"&lt;&gt;*RD*",ledger!D:D, "Silky")/1.0936))* Z10)+_xlfn.IFNA(H89,0)</f>
        <v>0</v>
      </c>
      <c r="V10" s="44">
        <f t="shared" si="1"/>
        <v>4818864.3013899047</v>
      </c>
      <c r="W10" s="23">
        <f>(SUMIF(Table14[Party],O10,Table14[Credit]))+_xlfn.IFNA(J89,0)</f>
        <v>4403436</v>
      </c>
      <c r="X10" s="38">
        <f t="shared" si="2"/>
        <v>415428.30138990469</v>
      </c>
      <c r="Y10" s="22">
        <v>10</v>
      </c>
      <c r="Z10" s="22">
        <v>12</v>
      </c>
    </row>
    <row r="11" spans="2:26" x14ac:dyDescent="0.3">
      <c r="B11" t="str">
        <f t="shared" si="0"/>
        <v>Ashraf Zia</v>
      </c>
      <c r="C11" s="18">
        <f>SUMIFS(ledger!G:G, ledger!B:B, B11, ledger!E:E, "&lt;&gt;*RD*") / 1.0936</f>
        <v>0</v>
      </c>
      <c r="D11">
        <v>12</v>
      </c>
      <c r="E11" s="14">
        <f>(SUMIFS(ledger!G:G, ledger!B:B, B11, ledger!E:E, "&lt;&gt;*RD*",ledger!D:D, "Silky") / 1.0936)*12 + (SUMIFS(ledger!G:G, ledger!B:B, B11, ledger!E:E, "&lt;&gt;*RD*",ledger!D:D, "Chamki") / 1.0936)*10</f>
        <v>0</v>
      </c>
      <c r="I11" s="4" t="s">
        <v>155</v>
      </c>
      <c r="J11" s="5">
        <v>0</v>
      </c>
      <c r="K11" s="18">
        <v>0</v>
      </c>
      <c r="O11" s="25" t="str">
        <v>Raaz Fabrics</v>
      </c>
      <c r="P11" s="23" cm="1">
        <f t="array" ref="P11">_xlfn.BYROW(B55,_xlfn.LAMBDA(_xlpm.party,SUMIFS(ledger!G:G,ledger!B:B,_xlpm.party,ledger!E:E,"&lt;&gt;*RD*")))+_xlfn.IFNA(C90,0)</f>
        <v>75559</v>
      </c>
      <c r="Q11" s="23" cm="1">
        <f t="array" ref="Q11">_xlfn.BYROW(B55, _xlfn.LAMBDA(_xlpm.party, SUMIFS(ledger!G:G, ledger!B:B, _xlpm.party, ledger!E:E, "&lt;&gt;*RD*") / 1.0936 ))+_xlfn.IFNA(D90,0)</f>
        <v>69091.989758595475</v>
      </c>
      <c r="R11" s="23" cm="1">
        <f t="array" ref="R11">(_xlfn.BYROW(B55,_xlfn.LAMBDA(_xlpm.party,SUMIFS(ledger!G:G,ledger!B:B,_xlpm.party,ledger!E:E,"&lt;&gt;*RD*",ledger!D:D,"Chamki")+SUMIFS(ledger!G:G, ledger!B:B, _xlpm.party, ledger!E:E, "&lt;&gt;*RD*", ledger!D:D, "Crinkle")))/1.0936)+_xlfn.IFNA(E90,0)</f>
        <v>69091.989758595475</v>
      </c>
      <c r="S11" s="75" cm="1">
        <f t="array" ref="S11">(_xlfn.BYROW(B55,_xlfn.LAMBDA(_xlpm.party,SUMIFS(ledger!G:G,ledger!B:B,_xlpm.party,ledger!E:E,"&lt;&gt;*RD*",ledger!D:D,"Silky")))/1.0936)+_xlfn.IFNA(F90,0)</f>
        <v>0</v>
      </c>
      <c r="T11" s="23" cm="1">
        <f t="array" ref="T11">(_xlfn.BYROW(B55,_xlfn.LAMBDA(_xlpm.party,(SUMIFS(ledger!G:G,ledger!B:B,_xlpm.party,ledger!E:E,"&lt;&gt;*RD*",ledger!D:D, "Chamki")+SUMIFS(ledger!G:G, ledger!B:B, _xlpm.party, ledger!E:E, "&lt;&gt;*RD*", ledger!D:D, "Crinkle"))/1.0936))*L55)+_xlfn.IFNA(G90,0)</f>
        <v>690919.89758595475</v>
      </c>
      <c r="U11" s="23" cm="1">
        <f t="array" ref="U11">(_xlfn.BYROW(B55,_xlfn.LAMBDA(_xlpm.party,SUMIFS(ledger!G:G,ledger!B:B,_xlpm.party,ledger!E:E,"&lt;&gt;*RD*",ledger!D:D, "Silky")/1.0936))* Z11)+_xlfn.IFNA(H90,0)</f>
        <v>0</v>
      </c>
      <c r="V11" s="44">
        <f t="shared" si="1"/>
        <v>690919.89758595475</v>
      </c>
      <c r="W11" s="23">
        <f>(SUMIF(Table14[Party],O11,Table14[Credit]))+_xlfn.IFNA(J90,0)</f>
        <v>600000</v>
      </c>
      <c r="X11" s="38">
        <f t="shared" si="2"/>
        <v>90919.89758595475</v>
      </c>
      <c r="Y11" s="22">
        <v>10</v>
      </c>
      <c r="Z11" s="22">
        <v>12</v>
      </c>
    </row>
    <row r="12" spans="2:26" x14ac:dyDescent="0.3">
      <c r="B12" t="str">
        <f t="shared" si="0"/>
        <v>Hafiz Qureshi</v>
      </c>
      <c r="C12" s="18">
        <f>SUMIFS(ledger!G:G, ledger!B:B, B12, ledger!E:E, "&lt;&gt;*RD*") / 1.0936</f>
        <v>0</v>
      </c>
      <c r="E12" s="14">
        <f>(SUMIFS(ledger!G:G, ledger!B:B, B12, ledger!E:E, "&lt;&gt;*RD*",ledger!D:D, "Silky") / 1.0936)*12 + (SUMIFS(ledger!G:G, ledger!B:B, B12, ledger!E:E, "&lt;&gt;*RD*",ledger!D:D, "Chamki") / 1.0936)*10</f>
        <v>0</v>
      </c>
      <c r="I12" s="4" t="s">
        <v>35</v>
      </c>
      <c r="J12" s="5">
        <v>0</v>
      </c>
      <c r="K12" s="18">
        <v>0</v>
      </c>
      <c r="M12" s="33"/>
      <c r="N12" s="33"/>
      <c r="O12" s="25" t="str">
        <v>Azam</v>
      </c>
      <c r="P12" s="23" cm="1">
        <f t="array" ref="P12">_xlfn.BYROW(B56,_xlfn.LAMBDA(_xlpm.party,SUMIFS(ledger!G:G,ledger!B:B,_xlpm.party,ledger!E:E,"&lt;&gt;*RD*")))+_xlfn.IFNA(C91,0)</f>
        <v>176954</v>
      </c>
      <c r="Q12" s="23" cm="1">
        <f t="array" ref="Q12">_xlfn.BYROW(B56, _xlfn.LAMBDA(_xlpm.party, SUMIFS(ledger!G:G, ledger!B:B, _xlpm.party, ledger!E:E, "&lt;&gt;*RD*") / 1.0936 ))+_xlfn.IFNA(D91,0)</f>
        <v>161808.70519385519</v>
      </c>
      <c r="R12" s="23" cm="1">
        <f t="array" ref="R12">(_xlfn.BYROW(B56,_xlfn.LAMBDA(_xlpm.party,SUMIFS(ledger!G:G,ledger!B:B,_xlpm.party,ledger!E:E,"&lt;&gt;*RD*",ledger!D:D,"Chamki")+SUMIFS(ledger!G:G, ledger!B:B, _xlpm.party, ledger!E:E, "&lt;&gt;*RD*", ledger!D:D, "Crinkle")))/1.0936)+_xlfn.IFNA(E91,0)</f>
        <v>161808.70519385519</v>
      </c>
      <c r="S12" s="75" cm="1">
        <f t="array" ref="S12">(_xlfn.BYROW(B56,_xlfn.LAMBDA(_xlpm.party,SUMIFS(ledger!G:G,ledger!B:B,_xlpm.party,ledger!E:E,"&lt;&gt;*RD*",ledger!D:D,"Silky")))/1.0936)+_xlfn.IFNA(F91,0)</f>
        <v>0</v>
      </c>
      <c r="T12" s="23" cm="1">
        <f t="array" ref="T12">(_xlfn.BYROW(B56,_xlfn.LAMBDA(_xlpm.party,(SUMIFS(ledger!G:G,ledger!B:B,_xlpm.party,ledger!E:E,"&lt;&gt;*RD*",ledger!D:D, "Chamki")+SUMIFS(ledger!G:G, ledger!B:B, _xlpm.party, ledger!E:E, "&lt;&gt;*RD*", ledger!D:D, "Crinkle"))/1.0936))*L56)+_xlfn.IFNA(G91,0)</f>
        <v>1618087.0519385519</v>
      </c>
      <c r="U12" s="23" cm="1">
        <f t="array" ref="U12">(_xlfn.BYROW(B56,_xlfn.LAMBDA(_xlpm.party,SUMIFS(ledger!G:G,ledger!B:B,_xlpm.party,ledger!E:E,"&lt;&gt;*RD*",ledger!D:D, "Silky")/1.0936))* Z12)+_xlfn.IFNA(H91,0)</f>
        <v>0</v>
      </c>
      <c r="V12" s="44">
        <f t="shared" si="1"/>
        <v>1618087.0519385519</v>
      </c>
      <c r="W12" s="23">
        <f>(SUMIF(Table14[Party],O12,Table14[Credit]))+_xlfn.IFNA(J91,0)</f>
        <v>1617620</v>
      </c>
      <c r="X12" s="38">
        <f t="shared" si="2"/>
        <v>467.05193855194375</v>
      </c>
      <c r="Y12" s="22">
        <v>10</v>
      </c>
      <c r="Z12" s="22">
        <v>12</v>
      </c>
    </row>
    <row r="13" spans="2:26" x14ac:dyDescent="0.3">
      <c r="B13" t="str">
        <f t="shared" si="0"/>
        <v>Badshah Fabrics</v>
      </c>
      <c r="C13" s="18">
        <f>SUMIFS(ledger!G:G, ledger!B:B, B13, ledger!E:E, "&lt;&gt;*RD*") / 1.0936</f>
        <v>0</v>
      </c>
      <c r="E13" s="14">
        <f>(SUMIFS(ledger!G:G, ledger!B:B, B13, ledger!E:E, "&lt;&gt;*RD*",ledger!D:D, "Silky") / 1.0936)*12 + (SUMIFS(ledger!G:G, ledger!B:B, B13, ledger!E:E, "&lt;&gt;*RD*",ledger!D:D, "Chamki") / 1.0936)*10</f>
        <v>0</v>
      </c>
      <c r="I13" s="4" t="s">
        <v>151</v>
      </c>
      <c r="J13" s="5">
        <v>0</v>
      </c>
      <c r="K13" s="18">
        <v>0</v>
      </c>
      <c r="O13" s="25" t="str">
        <v>Ubaidullah</v>
      </c>
      <c r="P13" s="23" cm="1">
        <f t="array" ref="P13">_xlfn.BYROW(B57,_xlfn.LAMBDA(_xlpm.party,SUMIFS(ledger!G:G,ledger!B:B,_xlpm.party,ledger!E:E,"&lt;&gt;*RD*")))+_xlfn.IFNA(C92,0)</f>
        <v>65752</v>
      </c>
      <c r="Q13" s="23" cm="1">
        <f t="array" ref="Q13">_xlfn.BYROW(B57, _xlfn.LAMBDA(_xlpm.party, SUMIFS(ledger!G:G, ledger!B:B, _xlpm.party, ledger!E:E, "&lt;&gt;*RD*") / 1.0936 ))+_xlfn.IFNA(D92,0)</f>
        <v>60124.35991221654</v>
      </c>
      <c r="R13" s="23" cm="1">
        <f t="array" ref="R13">(_xlfn.BYROW(B57,_xlfn.LAMBDA(_xlpm.party,SUMIFS(ledger!G:G,ledger!B:B,_xlpm.party,ledger!E:E,"&lt;&gt;*RD*",ledger!D:D,"Chamki")+SUMIFS(ledger!G:G, ledger!B:B, _xlpm.party, ledger!E:E, "&lt;&gt;*RD*", ledger!D:D, "Crinkle")))/1.0936)+_xlfn.IFNA(E92,0)</f>
        <v>45128.931967812736</v>
      </c>
      <c r="S13" s="75" cm="1">
        <f t="array" ref="S13">(_xlfn.BYROW(B57,_xlfn.LAMBDA(_xlpm.party,SUMIFS(ledger!G:G,ledger!B:B,_xlpm.party,ledger!E:E,"&lt;&gt;*RD*",ledger!D:D,"Silky")))/1.0936)+_xlfn.IFNA(F92,0)</f>
        <v>14995.427944403806</v>
      </c>
      <c r="T13" s="23" cm="1">
        <f t="array" ref="T13">(_xlfn.BYROW(B57,_xlfn.LAMBDA(_xlpm.party,(SUMIFS(ledger!G:G,ledger!B:B,_xlpm.party,ledger!E:E,"&lt;&gt;*RD*",ledger!D:D, "Chamki")+SUMIFS(ledger!G:G, ledger!B:B, _xlpm.party, ledger!E:E, "&lt;&gt;*RD*", ledger!D:D, "Crinkle"))/1.0936))*L57)+_xlfn.IFNA(G92,0)</f>
        <v>451289.31967812736</v>
      </c>
      <c r="U13" s="23" cm="1">
        <f t="array" ref="U13">(_xlfn.BYROW(B57,_xlfn.LAMBDA(_xlpm.party,SUMIFS(ledger!G:G,ledger!B:B,_xlpm.party,ledger!E:E,"&lt;&gt;*RD*",ledger!D:D, "Silky")/1.0936))* Z13)+_xlfn.IFNA(H92,0)</f>
        <v>179945.13533284568</v>
      </c>
      <c r="V13" s="44">
        <f t="shared" ref="V13:V17" si="3">T13+U13</f>
        <v>631234.45501097303</v>
      </c>
      <c r="W13" s="23">
        <f>(SUMIF(Table14[Party],O13,Table14[Credit]))+_xlfn.IFNA(J92,0)</f>
        <v>451150</v>
      </c>
      <c r="X13" s="38">
        <f t="shared" si="2"/>
        <v>180084.45501097303</v>
      </c>
      <c r="Y13" s="22">
        <v>10</v>
      </c>
      <c r="Z13" s="22">
        <v>12</v>
      </c>
    </row>
    <row r="14" spans="2:26" x14ac:dyDescent="0.3">
      <c r="B14" t="str">
        <f t="shared" si="0"/>
        <v>Reject</v>
      </c>
      <c r="C14" s="18">
        <f>SUMIFS(ledger!G:G, ledger!B:B, B14, ledger!E:E, "&lt;&gt;*RD*") / 1.0936</f>
        <v>0</v>
      </c>
      <c r="E14" s="14">
        <f>(SUMIFS(ledger!G:G, ledger!B:B, B14, ledger!E:E, "&lt;&gt;*RD*",ledger!D:D, "Silky") / 1.0936)*12 + (SUMIFS(ledger!G:G, ledger!B:B, B14, ledger!E:E, "&lt;&gt;*RD*",ledger!D:D, "Chamki") / 1.0936)*10</f>
        <v>0</v>
      </c>
      <c r="I14" s="4" t="s">
        <v>27</v>
      </c>
      <c r="J14" s="5">
        <v>0</v>
      </c>
      <c r="K14" s="18">
        <v>0</v>
      </c>
      <c r="O14" s="25" t="str">
        <v>Ashraf Zia</v>
      </c>
      <c r="P14" s="23" cm="1">
        <f t="array" ref="P14">_xlfn.BYROW(B58,_xlfn.LAMBDA(_xlpm.party,SUMIFS(ledger!G:G,ledger!B:B,_xlpm.party,ledger!E:E,"&lt;&gt;*RD*")))+_xlfn.IFNA(C93,0)</f>
        <v>23305</v>
      </c>
      <c r="Q14" s="23" cm="1">
        <f t="array" ref="Q14">_xlfn.BYROW(B58, _xlfn.LAMBDA(_xlpm.party, SUMIFS(ledger!G:G, ledger!B:B, _xlpm.party, ledger!E:E, "&lt;&gt;*RD*") / 1.0936 ))+_xlfn.IFNA(D93,0)</f>
        <v>21310.35113386979</v>
      </c>
      <c r="R14" s="23" cm="1">
        <f t="array" ref="R14">(_xlfn.BYROW(B58,_xlfn.LAMBDA(_xlpm.party,SUMIFS(ledger!G:G,ledger!B:B,_xlpm.party,ledger!E:E,"&lt;&gt;*RD*",ledger!D:D,"Chamki")+SUMIFS(ledger!G:G, ledger!B:B, _xlpm.party, ledger!E:E, "&lt;&gt;*RD*", ledger!D:D, "Crinkle")))/1.0936)+_xlfn.IFNA(E93,0)</f>
        <v>21310.35113386979</v>
      </c>
      <c r="S14" s="75" cm="1">
        <f t="array" ref="S14">(_xlfn.BYROW(B58,_xlfn.LAMBDA(_xlpm.party,SUMIFS(ledger!G:G,ledger!B:B,_xlpm.party,ledger!E:E,"&lt;&gt;*RD*",ledger!D:D,"Silky")))/1.0936)+_xlfn.IFNA(F93,0)</f>
        <v>0</v>
      </c>
      <c r="T14" s="23" cm="1">
        <f t="array" ref="T14">(_xlfn.BYROW(B58,_xlfn.LAMBDA(_xlpm.party,(SUMIFS(ledger!G:G,ledger!B:B,_xlpm.party,ledger!E:E,"&lt;&gt;*RD*",ledger!D:D, "Chamki")+SUMIFS(ledger!G:G, ledger!B:B, _xlpm.party, ledger!E:E, "&lt;&gt;*RD*", ledger!D:D, "Crinkle"))/1.0936))*L58)+_xlfn.IFNA(G93,0)</f>
        <v>255724.21360643749</v>
      </c>
      <c r="U14" s="23" cm="1">
        <f t="array" ref="U14">(_xlfn.BYROW(B58,_xlfn.LAMBDA(_xlpm.party,SUMIFS(ledger!G:G,ledger!B:B,_xlpm.party,ledger!E:E,"&lt;&gt;*RD*",ledger!D:D, "Silky")/1.0936))* Z14)+_xlfn.IFNA(H93,0)</f>
        <v>0</v>
      </c>
      <c r="V14" s="44">
        <f t="shared" si="3"/>
        <v>255724.21360643749</v>
      </c>
      <c r="W14" s="23">
        <f>(SUMIF(Table14[Party],O14,Table14[Credit]))+_xlfn.IFNA(J93,0)</f>
        <v>0</v>
      </c>
      <c r="X14" s="38">
        <f t="shared" si="2"/>
        <v>255724.21360643749</v>
      </c>
      <c r="Y14" s="22">
        <v>12</v>
      </c>
      <c r="Z14" s="22">
        <v>12</v>
      </c>
    </row>
    <row r="15" spans="2:26" x14ac:dyDescent="0.3">
      <c r="B15" t="str">
        <f t="shared" si="0"/>
        <v>Amjad 7up</v>
      </c>
      <c r="C15" s="18">
        <f>SUMIFS(ledger!G:G, ledger!B:B, B15, ledger!E:E, "&lt;&gt;*RD*") / 1.0936</f>
        <v>0</v>
      </c>
      <c r="E15" s="14">
        <f>(SUMIFS(ledger!G:G, ledger!B:B, B15, ledger!E:E, "&lt;&gt;*RD*",ledger!D:D, "Silky") / 1.0936)*12 + (SUMIFS(ledger!G:G, ledger!B:B, B15, ledger!E:E, "&lt;&gt;*RD*",ledger!D:D, "Chamki") / 1.0936)*10</f>
        <v>0</v>
      </c>
      <c r="I15" s="4" t="s">
        <v>170</v>
      </c>
      <c r="J15" s="5">
        <v>0</v>
      </c>
      <c r="K15" s="18">
        <v>0</v>
      </c>
      <c r="O15" s="25" t="str">
        <v>Hafiz Qureshi</v>
      </c>
      <c r="P15" s="23" cm="1">
        <f t="array" ref="P15">_xlfn.BYROW(B59,_xlfn.LAMBDA(_xlpm.party,SUMIFS(ledger!G:G,ledger!B:B,_xlpm.party,ledger!E:E,"&lt;&gt;*RD*")))+_xlfn.IFNA(C94,0)</f>
        <v>48871</v>
      </c>
      <c r="Q15" s="23" cm="1">
        <f t="array" ref="Q15">_xlfn.BYROW(B59, _xlfn.LAMBDA(_xlpm.party, SUMIFS(ledger!G:G, ledger!B:B, _xlpm.party, ledger!E:E, "&lt;&gt;*RD*") / 1.0936 ))+_xlfn.IFNA(D94,0)</f>
        <v>44688.185808339433</v>
      </c>
      <c r="R15" s="23" cm="1">
        <f t="array" ref="R15">(_xlfn.BYROW(B59,_xlfn.LAMBDA(_xlpm.party,SUMIFS(ledger!G:G,ledger!B:B,_xlpm.party,ledger!E:E,"&lt;&gt;*RD*",ledger!D:D,"Chamki")+SUMIFS(ledger!G:G, ledger!B:B, _xlpm.party, ledger!E:E, "&lt;&gt;*RD*", ledger!D:D, "Crinkle")))/1.0936)+_xlfn.IFNA(E94,0)</f>
        <v>44688.185808339433</v>
      </c>
      <c r="S15" s="75" cm="1">
        <f t="array" ref="S15">(_xlfn.BYROW(B59,_xlfn.LAMBDA(_xlpm.party,SUMIFS(ledger!G:G,ledger!B:B,_xlpm.party,ledger!E:E,"&lt;&gt;*RD*",ledger!D:D,"Silky")))/1.0936)+_xlfn.IFNA(F94,0)</f>
        <v>0</v>
      </c>
      <c r="T15" s="23" cm="1">
        <f t="array" ref="T15">(_xlfn.BYROW(B59,_xlfn.LAMBDA(_xlpm.party,(SUMIFS(ledger!G:G,ledger!B:B,_xlpm.party,ledger!E:E,"&lt;&gt;*RD*",ledger!D:D, "Chamki")+SUMIFS(ledger!G:G, ledger!B:B, _xlpm.party, ledger!E:E, "&lt;&gt;*RD*", ledger!D:D, "Crinkle"))/1.0936))*L59)+_xlfn.IFNA(G94,0)</f>
        <v>446881.85808339436</v>
      </c>
      <c r="U15" s="23" cm="1">
        <f t="array" ref="U15">(_xlfn.BYROW(B59,_xlfn.LAMBDA(_xlpm.party,SUMIFS(ledger!G:G,ledger!B:B,_xlpm.party,ledger!E:E,"&lt;&gt;*RD*",ledger!D:D, "Silky")/1.0936))* Z15)+_xlfn.IFNA(H94,0)</f>
        <v>0</v>
      </c>
      <c r="V15" s="44">
        <f t="shared" si="3"/>
        <v>446881.85808339436</v>
      </c>
      <c r="W15" s="23">
        <f>(SUMIF(Table14[Party],O15,Table14[Credit]))+_xlfn.IFNA(J94,0)</f>
        <v>400000</v>
      </c>
      <c r="X15" s="38">
        <f t="shared" si="2"/>
        <v>46881.858083394356</v>
      </c>
      <c r="Y15" s="22">
        <v>10</v>
      </c>
      <c r="Z15" s="22">
        <v>12</v>
      </c>
    </row>
    <row r="16" spans="2:26" x14ac:dyDescent="0.3">
      <c r="B16" t="str">
        <f t="shared" si="0"/>
        <v>Hazrat Khan</v>
      </c>
      <c r="C16" s="18">
        <f>SUMIFS(ledger!G:G, ledger!B:B, B16, ledger!E:E, "&lt;&gt;*RD*") / 1.0936</f>
        <v>0</v>
      </c>
      <c r="E16" s="14">
        <f>(SUMIFS(ledger!G:G, ledger!B:B, B16, ledger!E:E, "&lt;&gt;*RD*",ledger!D:D, "Silky") / 1.0936)*12 + (SUMIFS(ledger!G:G, ledger!B:B, B16, ledger!E:E, "&lt;&gt;*RD*",ledger!D:D, "Chamki") / 1.0936)*10</f>
        <v>0</v>
      </c>
      <c r="I16" s="4" t="s">
        <v>173</v>
      </c>
      <c r="J16" s="5">
        <v>0</v>
      </c>
      <c r="K16" s="18">
        <v>0</v>
      </c>
      <c r="O16" s="25" t="str">
        <v>Badshah Fabrics</v>
      </c>
      <c r="P16" s="23" cm="1">
        <f t="array" ref="P16">_xlfn.BYROW(B60,_xlfn.LAMBDA(_xlpm.party,SUMIFS(ledger!G:G,ledger!B:B,_xlpm.party,ledger!E:E,"&lt;&gt;*RD*")))+_xlfn.IFNA(C95,0)</f>
        <v>276597</v>
      </c>
      <c r="Q16" s="23" cm="1">
        <f t="array" ref="Q16">_xlfn.BYROW(B60, _xlfn.LAMBDA(_xlpm.party, SUMIFS(ledger!G:G, ledger!B:B, _xlpm.party, ledger!E:E, "&lt;&gt;*RD*") / 1.0936 ))+_xlfn.IFNA(D95,0)</f>
        <v>252923.37234820778</v>
      </c>
      <c r="R16" s="23" cm="1">
        <f t="array" ref="R16">(_xlfn.BYROW(B60,_xlfn.LAMBDA(_xlpm.party,SUMIFS(ledger!G:G,ledger!B:B,_xlpm.party,ledger!E:E,"&lt;&gt;*RD*",ledger!D:D,"Chamki")+SUMIFS(ledger!G:G, ledger!B:B, _xlpm.party, ledger!E:E, "&lt;&gt;*RD*", ledger!D:D, "Crinkle")))/1.0936)+_xlfn.IFNA(E95,0)</f>
        <v>189768.65398683251</v>
      </c>
      <c r="S16" s="75" cm="1">
        <f t="array" ref="S16">(_xlfn.BYROW(B60,_xlfn.LAMBDA(_xlpm.party,SUMIFS(ledger!G:G,ledger!B:B,_xlpm.party,ledger!E:E,"&lt;&gt;*RD*",ledger!D:D,"Silky")))/1.0936)+_xlfn.IFNA(F95,0)</f>
        <v>63154.718361375279</v>
      </c>
      <c r="T16" s="23" cm="1">
        <f t="array" ref="T16">(_xlfn.BYROW(B60,_xlfn.LAMBDA(_xlpm.party,(SUMIFS(ledger!G:G,ledger!B:B,_xlpm.party,ledger!E:E,"&lt;&gt;*RD*",ledger!D:D, "Chamki")+SUMIFS(ledger!G:G, ledger!B:B, _xlpm.party, ledger!E:E, "&lt;&gt;*RD*", ledger!D:D, "Crinkle"))/1.0936))*L60)+_xlfn.IFNA(G95,0)</f>
        <v>1897686.539868325</v>
      </c>
      <c r="U16" s="23" cm="1">
        <f t="array" ref="U16">(_xlfn.BYROW(B60,_xlfn.LAMBDA(_xlpm.party,SUMIFS(ledger!G:G,ledger!B:B,_xlpm.party,ledger!E:E,"&lt;&gt;*RD*",ledger!D:D, "Silky")/1.0936))* Z16)+_xlfn.IFNA(H95,0)</f>
        <v>757856.62033650337</v>
      </c>
      <c r="V16" s="44">
        <f t="shared" si="3"/>
        <v>2655543.1602048283</v>
      </c>
      <c r="W16" s="23">
        <f>(SUMIF(Table14[Party],O16,Table14[Credit]))+_xlfn.IFNA(J95,0)</f>
        <v>1370000</v>
      </c>
      <c r="X16" s="38">
        <f t="shared" si="2"/>
        <v>1285543.1602048283</v>
      </c>
      <c r="Y16" s="22">
        <v>10</v>
      </c>
      <c r="Z16" s="22">
        <v>12</v>
      </c>
    </row>
    <row r="17" spans="2:26" x14ac:dyDescent="0.3">
      <c r="B17" t="str">
        <f t="shared" si="0"/>
        <v>Haseeb Shamsi</v>
      </c>
      <c r="C17" s="18">
        <f>SUMIFS(ledger!G:G, ledger!B:B, B17, ledger!E:E, "&lt;&gt;*RD*") / 1.0936</f>
        <v>0</v>
      </c>
      <c r="E17" s="14">
        <f>(SUMIFS(ledger!G:G, ledger!B:B, B17, ledger!E:E, "&lt;&gt;*RD*",ledger!D:D, "Silky") / 1.0936)*12 + (SUMIFS(ledger!G:G, ledger!B:B, B17, ledger!E:E, "&lt;&gt;*RD*",ledger!D:D, "Chamki") / 1.0936)*10</f>
        <v>0</v>
      </c>
      <c r="I17" s="4" t="s">
        <v>180</v>
      </c>
      <c r="J17" s="5">
        <v>0</v>
      </c>
      <c r="K17" s="18">
        <v>0</v>
      </c>
      <c r="O17" s="25" t="str">
        <v>Reject</v>
      </c>
      <c r="P17" s="23" cm="1">
        <f t="array" ref="P17">_xlfn.BYROW(B61,_xlfn.LAMBDA(_xlpm.party,SUMIFS(ledger!G:G,ledger!B:B,_xlpm.party,ledger!E:E,"&lt;&gt;*RD*")))+_xlfn.IFNA(C96,0)</f>
        <v>0</v>
      </c>
      <c r="Q17" s="23" cm="1">
        <f t="array" ref="Q17">_xlfn.BYROW(B61, _xlfn.LAMBDA(_xlpm.party, SUMIFS(ledger!G:G, ledger!B:B, _xlpm.party, ledger!E:E, "&lt;&gt;*RD*") / 1.0936 ))+_xlfn.IFNA(D96,0)</f>
        <v>0</v>
      </c>
      <c r="R17" s="23" cm="1">
        <f t="array" ref="R17">(_xlfn.BYROW(B61,_xlfn.LAMBDA(_xlpm.party,SUMIFS(ledger!G:G,ledger!B:B,_xlpm.party,ledger!E:E,"&lt;&gt;*RD*",ledger!D:D,"Chamki")+SUMIFS(ledger!G:G, ledger!B:B, _xlpm.party, ledger!E:E, "&lt;&gt;*RD*", ledger!D:D, "Crinkle")))/1.0936)+_xlfn.IFNA(E96,0)</f>
        <v>0</v>
      </c>
      <c r="S17" s="75" cm="1">
        <f t="array" ref="S17">(_xlfn.BYROW(B61,_xlfn.LAMBDA(_xlpm.party,SUMIFS(ledger!G:G,ledger!B:B,_xlpm.party,ledger!E:E,"&lt;&gt;*RD*",ledger!D:D,"Silky")))/1.0936)+_xlfn.IFNA(F96,0)</f>
        <v>0</v>
      </c>
      <c r="T17" s="23" cm="1">
        <f t="array" ref="T17">(_xlfn.BYROW(B61,_xlfn.LAMBDA(_xlpm.party,(SUMIFS(ledger!G:G,ledger!B:B,_xlpm.party,ledger!E:E,"&lt;&gt;*RD*",ledger!D:D, "Chamki")+SUMIFS(ledger!G:G, ledger!B:B, _xlpm.party, ledger!E:E, "&lt;&gt;*RD*", ledger!D:D, "Crinkle"))/1.0936))*L61)+_xlfn.IFNA(G96,0)</f>
        <v>0</v>
      </c>
      <c r="U17" s="23" cm="1">
        <f t="array" ref="U17">(_xlfn.BYROW(B61,_xlfn.LAMBDA(_xlpm.party,SUMIFS(ledger!G:G,ledger!B:B,_xlpm.party,ledger!E:E,"&lt;&gt;*RD*",ledger!D:D, "Silky")/1.0936))* Z17)+_xlfn.IFNA(H96,0)</f>
        <v>0</v>
      </c>
      <c r="V17" s="44">
        <f t="shared" si="3"/>
        <v>0</v>
      </c>
      <c r="W17" s="23">
        <f>(SUMIF(Table14[Party],O17,Table14[Credit]))+_xlfn.IFNA(J96,0)</f>
        <v>0</v>
      </c>
      <c r="X17" s="38">
        <f t="shared" si="2"/>
        <v>0</v>
      </c>
      <c r="Y17" s="22">
        <v>10</v>
      </c>
      <c r="Z17" s="22">
        <v>12</v>
      </c>
    </row>
    <row r="18" spans="2:26" x14ac:dyDescent="0.3">
      <c r="B18" t="str">
        <f t="shared" si="0"/>
        <v>Faizan</v>
      </c>
      <c r="C18" s="18">
        <f>SUMIFS(ledger!G:G, ledger!B:B, B18, ledger!E:E, "&lt;&gt;*RD*") / 1.0936</f>
        <v>31967.812728602781</v>
      </c>
      <c r="E18" s="14">
        <f>(SUMIFS(ledger!G:G, ledger!B:B, B18, ledger!E:E, "&lt;&gt;*RD*",ledger!D:D, "Silky") / 1.0936)*12 + (SUMIFS(ledger!G:G, ledger!B:B, B18, ledger!E:E, "&lt;&gt;*RD*",ledger!D:D, "Chamki") / 1.0936)*10</f>
        <v>383613.75274323334</v>
      </c>
      <c r="I18" s="4" t="s">
        <v>181</v>
      </c>
      <c r="J18" s="5">
        <v>0</v>
      </c>
      <c r="K18" s="18">
        <v>0</v>
      </c>
      <c r="O18" s="123" t="str">
        <v>Amjad 7up</v>
      </c>
      <c r="P18" s="23" cm="1">
        <f t="array" ref="P18">_xlfn.BYROW(B62,_xlfn.LAMBDA(_xlpm.party,SUMIFS(ledger!G:G,ledger!B:B,_xlpm.party,ledger!E:E,"&lt;&gt;*RD*")))+_xlfn.IFNA(C97,0)</f>
        <v>52914</v>
      </c>
      <c r="Q18" s="23" cm="1">
        <f t="array" ref="Q18">_xlfn.BYROW(B62, _xlfn.LAMBDA(_xlpm.party, SUMIFS(ledger!G:G, ledger!B:B, _xlpm.party, ledger!E:E, "&lt;&gt;*RD*") / 1.0936 ))+_xlfn.IFNA(D97,0)</f>
        <v>48385.149963423559</v>
      </c>
      <c r="R18" s="23" cm="1">
        <f t="array" ref="R18">(_xlfn.BYROW(B62,_xlfn.LAMBDA(_xlpm.party,SUMIFS(ledger!G:G,ledger!B:B,_xlpm.party,ledger!E:E,"&lt;&gt;*RD*",ledger!D:D,"Chamki")+SUMIFS(ledger!G:G, ledger!B:B, _xlpm.party, ledger!E:E, "&lt;&gt;*RD*", ledger!D:D, "Crinkle")))/1.0936)+_xlfn.IFNA(E97,0)</f>
        <v>48385.149963423559</v>
      </c>
      <c r="S18" s="75" cm="1">
        <f t="array" ref="S18">(_xlfn.BYROW(B62,_xlfn.LAMBDA(_xlpm.party,SUMIFS(ledger!G:G,ledger!B:B,_xlpm.party,ledger!E:E,"&lt;&gt;*RD*",ledger!D:D,"Silky")))/1.0936)+_xlfn.IFNA(F97,0)</f>
        <v>0</v>
      </c>
      <c r="T18" s="23" cm="1">
        <f t="array" ref="T18">(_xlfn.BYROW(B62,_xlfn.LAMBDA(_xlpm.party,(SUMIFS(ledger!G:G,ledger!B:B,_xlpm.party,ledger!E:E,"&lt;&gt;*RD*",ledger!D:D, "Chamki")+SUMIFS(ledger!G:G, ledger!B:B, _xlpm.party, ledger!E:E, "&lt;&gt;*RD*", ledger!D:D, "Crinkle"))/1.0936))*L62)+_xlfn.IFNA(G97,0)</f>
        <v>483851.49963423557</v>
      </c>
      <c r="U18" s="23" cm="1">
        <f t="array" ref="U18">(_xlfn.BYROW(B62,_xlfn.LAMBDA(_xlpm.party,SUMIFS(ledger!G:G,ledger!B:B,_xlpm.party,ledger!E:E,"&lt;&gt;*RD*",ledger!D:D, "Silky")/1.0936))* Z18)+_xlfn.IFNA(H97,0)</f>
        <v>0</v>
      </c>
      <c r="V18" s="44">
        <f t="shared" ref="V18" si="4">T18+U18</f>
        <v>483851.49963423557</v>
      </c>
      <c r="W18" s="23">
        <f>(SUMIF(Table14[Party],O18,Table14[Credit]))+_xlfn.IFNA(J97,0)</f>
        <v>0</v>
      </c>
      <c r="X18" s="38">
        <f t="shared" ref="X18:X20" si="5">V18-W18</f>
        <v>483851.49963423557</v>
      </c>
      <c r="Y18" s="22">
        <v>10</v>
      </c>
      <c r="Z18" s="22">
        <v>12</v>
      </c>
    </row>
    <row r="19" spans="2:26" x14ac:dyDescent="0.3">
      <c r="I19" s="4" t="s">
        <v>183</v>
      </c>
      <c r="J19" s="5">
        <v>0</v>
      </c>
      <c r="K19" s="18">
        <v>0</v>
      </c>
      <c r="O19" s="123" t="str">
        <v>Hazrat Khan</v>
      </c>
      <c r="P19" s="23" cm="1">
        <f t="array" ref="P19">_xlfn.BYROW(B63,_xlfn.LAMBDA(_xlpm.party,SUMIFS(ledger!G:G,ledger!B:B,_xlpm.party,ledger!E:E,"&lt;&gt;*RD*")))+_xlfn.IFNA(C98,0)</f>
        <v>9750</v>
      </c>
      <c r="Q19" s="23" cm="1">
        <f t="array" ref="Q19">_xlfn.BYROW(B63, _xlfn.LAMBDA(_xlpm.party, SUMIFS(ledger!G:G, ledger!B:B, _xlpm.party, ledger!E:E, "&lt;&gt;*RD*") / 1.0936 ))+_xlfn.IFNA(D98,0)</f>
        <v>8915.5084125822978</v>
      </c>
      <c r="R19" s="23" cm="1">
        <f t="array" ref="R19">(_xlfn.BYROW(B63,_xlfn.LAMBDA(_xlpm.party,SUMIFS(ledger!G:G,ledger!B:B,_xlpm.party,ledger!E:E,"&lt;&gt;*RD*",ledger!D:D,"Chamki")+SUMIFS(ledger!G:G, ledger!B:B, _xlpm.party, ledger!E:E, "&lt;&gt;*RD*", ledger!D:D, "Crinkle")))/1.0936)+_xlfn.IFNA(E98,0)</f>
        <v>8915.5084125822978</v>
      </c>
      <c r="S19" s="75" cm="1">
        <f t="array" ref="S19">(_xlfn.BYROW(B63,_xlfn.LAMBDA(_xlpm.party,SUMIFS(ledger!G:G,ledger!B:B,_xlpm.party,ledger!E:E,"&lt;&gt;*RD*",ledger!D:D,"Silky")))/1.0936)+_xlfn.IFNA(F98,0)</f>
        <v>0</v>
      </c>
      <c r="T19" s="23" cm="1">
        <f t="array" ref="T19">(_xlfn.BYROW(B63,_xlfn.LAMBDA(_xlpm.party,(SUMIFS(ledger!G:G,ledger!B:B,_xlpm.party,ledger!E:E,"&lt;&gt;*RD*",ledger!D:D, "Chamki")+SUMIFS(ledger!G:G, ledger!B:B, _xlpm.party, ledger!E:E, "&lt;&gt;*RD*", ledger!D:D, "Crinkle"))/1.0936))*L63)+_xlfn.IFNA(G98,0)</f>
        <v>89155.084125822978</v>
      </c>
      <c r="U19" s="23" cm="1">
        <f t="array" ref="U19">(_xlfn.BYROW(B63,_xlfn.LAMBDA(_xlpm.party,SUMIFS(ledger!G:G,ledger!B:B,_xlpm.party,ledger!E:E,"&lt;&gt;*RD*",ledger!D:D, "Silky")/1.0936))* Z19)+_xlfn.IFNA(H98,0)</f>
        <v>0</v>
      </c>
      <c r="V19" s="44">
        <f t="shared" ref="V19:V20" si="6">T19+U19</f>
        <v>89155.084125822978</v>
      </c>
      <c r="W19" s="23">
        <f>(SUMIF(Table14[Party],O19,Table14[Credit]))+_xlfn.IFNA(J98,0)</f>
        <v>0</v>
      </c>
      <c r="X19" s="38">
        <f t="shared" si="5"/>
        <v>89155.084125822978</v>
      </c>
      <c r="Y19" s="22">
        <v>10</v>
      </c>
      <c r="Z19" s="22">
        <v>12</v>
      </c>
    </row>
    <row r="20" spans="2:26" x14ac:dyDescent="0.3">
      <c r="I20" s="4" t="s">
        <v>198</v>
      </c>
      <c r="J20" s="5">
        <v>31967.812728602781</v>
      </c>
      <c r="K20" s="18">
        <v>383613.75274323334</v>
      </c>
      <c r="O20" s="123" t="str">
        <v>Haseeb Shamsi</v>
      </c>
      <c r="P20" s="23" cm="1">
        <f t="array" ref="P20">_xlfn.BYROW(B64,_xlfn.LAMBDA(_xlpm.party,SUMIFS(ledger!G:G,ledger!B:B,_xlpm.party,ledger!E:E,"&lt;&gt;*RD*")))+_xlfn.IFNA(C99,0)</f>
        <v>28026</v>
      </c>
      <c r="Q20" s="23" cm="1">
        <f t="array" ref="Q20">_xlfn.BYROW(B64, _xlfn.LAMBDA(_xlpm.party, SUMIFS(ledger!G:G, ledger!B:B, _xlpm.party, ledger!E:E, "&lt;&gt;*RD*") / 1.0936 ))+_xlfn.IFNA(D99,0)</f>
        <v>25627.286027798102</v>
      </c>
      <c r="R20" s="23" cm="1">
        <f t="array" ref="R20">(_xlfn.BYROW(B64,_xlfn.LAMBDA(_xlpm.party,SUMIFS(ledger!G:G,ledger!B:B,_xlpm.party,ledger!E:E,"&lt;&gt;*RD*",ledger!D:D,"Chamki")+SUMIFS(ledger!G:G, ledger!B:B, _xlpm.party, ledger!E:E, "&lt;&gt;*RD*", ledger!D:D, "Crinkle")))/1.0936)+_xlfn.IFNA(E99,0)</f>
        <v>25627.286027798102</v>
      </c>
      <c r="S20" s="75" cm="1">
        <f t="array" ref="S20">(_xlfn.BYROW(B64,_xlfn.LAMBDA(_xlpm.party,SUMIFS(ledger!G:G,ledger!B:B,_xlpm.party,ledger!E:E,"&lt;&gt;*RD*",ledger!D:D,"Silky")))/1.0936)+_xlfn.IFNA(F99,0)</f>
        <v>0</v>
      </c>
      <c r="T20" s="23" cm="1">
        <f t="array" ref="T20">(_xlfn.BYROW(B64,_xlfn.LAMBDA(_xlpm.party,(SUMIFS(ledger!G:G,ledger!B:B,_xlpm.party,ledger!E:E,"&lt;&gt;*RD*",ledger!D:D, "Chamki")+SUMIFS(ledger!G:G, ledger!B:B, _xlpm.party, ledger!E:E, "&lt;&gt;*RD*", ledger!D:D, "Crinkle"))/1.0936))*L64)+_xlfn.IFNA(G99,0)</f>
        <v>256272.86027798103</v>
      </c>
      <c r="U20" s="23" cm="1">
        <f t="array" ref="U20">(_xlfn.BYROW(B64,_xlfn.LAMBDA(_xlpm.party,SUMIFS(ledger!G:G,ledger!B:B,_xlpm.party,ledger!E:E,"&lt;&gt;*RD*",ledger!D:D, "Silky")/1.0936))* Z20)+_xlfn.IFNA(H99,0)</f>
        <v>0</v>
      </c>
      <c r="V20" s="44">
        <f t="shared" si="6"/>
        <v>256272.86027798103</v>
      </c>
      <c r="W20" s="23">
        <f>(SUMIF(Table14[Party],O20,Table14[Credit]))+_xlfn.IFNA(J99,0)</f>
        <v>0</v>
      </c>
      <c r="X20" s="38">
        <f t="shared" si="5"/>
        <v>256272.86027798103</v>
      </c>
      <c r="Y20" s="22">
        <v>10</v>
      </c>
      <c r="Z20" s="22">
        <v>12</v>
      </c>
    </row>
    <row r="21" spans="2:26" x14ac:dyDescent="0.3">
      <c r="B21" s="45" t="s">
        <v>29</v>
      </c>
      <c r="C21" s="46">
        <f>SUM(G49:G69)+SUM(H49:H69)</f>
        <v>2857271.3972201906</v>
      </c>
      <c r="D21" t="s">
        <v>30</v>
      </c>
      <c r="I21" s="4" t="s">
        <v>28</v>
      </c>
      <c r="J21" s="14">
        <v>244751.28017556696</v>
      </c>
      <c r="K21" s="14">
        <v>2716276.5179224582</v>
      </c>
      <c r="O21" s="124" t="str">
        <v>Faizan</v>
      </c>
      <c r="P21" s="23" cm="1">
        <f t="array" ref="P21">_xlfn.BYROW(B65,_xlfn.LAMBDA(_xlpm.party,SUMIFS(ledger!G:G,ledger!B:B,_xlpm.party,ledger!E:E,"&lt;&gt;*RD*")))+_xlfn.IFNA(C100,0)</f>
        <v>34960</v>
      </c>
      <c r="Q21" s="23" cm="1">
        <f t="array" ref="Q21">_xlfn.BYROW(B65, _xlfn.LAMBDA(_xlpm.party, SUMIFS(ledger!G:G, ledger!B:B, _xlpm.party, ledger!E:E, "&lt;&gt;*RD*") / 1.0936 ))+_xlfn.IFNA(D100,0)</f>
        <v>31967.812728602781</v>
      </c>
      <c r="R21" s="23" cm="1">
        <f t="array" ref="R21">(_xlfn.BYROW(B65,_xlfn.LAMBDA(_xlpm.party,SUMIFS(ledger!G:G,ledger!B:B,_xlpm.party,ledger!E:E,"&lt;&gt;*RD*",ledger!D:D,"Chamki")+SUMIFS(ledger!G:G, ledger!B:B, _xlpm.party, ledger!E:E, "&lt;&gt;*RD*", ledger!D:D, "Crinkle")))/1.0936)+_xlfn.IFNA(E100,0)</f>
        <v>0</v>
      </c>
      <c r="S21" s="75" cm="1">
        <f t="array" ref="S21">(_xlfn.BYROW(B65,_xlfn.LAMBDA(_xlpm.party,SUMIFS(ledger!G:G,ledger!B:B,_xlpm.party,ledger!E:E,"&lt;&gt;*RD*",ledger!D:D,"Silky")))/1.0936)+_xlfn.IFNA(F100,0)</f>
        <v>31967.812728602781</v>
      </c>
      <c r="T21" s="23" cm="1">
        <f t="array" ref="T21">(_xlfn.BYROW(B65,_xlfn.LAMBDA(_xlpm.party,(SUMIFS(ledger!G:G,ledger!B:B,_xlpm.party,ledger!E:E,"&lt;&gt;*RD*",ledger!D:D, "Chamki")+SUMIFS(ledger!G:G, ledger!B:B, _xlpm.party, ledger!E:E, "&lt;&gt;*RD*", ledger!D:D, "Crinkle"))/1.0936))*L65)+_xlfn.IFNA(G100,0)</f>
        <v>0</v>
      </c>
      <c r="U21" s="23" cm="1">
        <f t="array" ref="U21">(_xlfn.BYROW(B65,_xlfn.LAMBDA(_xlpm.party,SUMIFS(ledger!G:G,ledger!B:B,_xlpm.party,ledger!E:E,"&lt;&gt;*RD*",ledger!D:D, "Silky")/1.0936))* Z21)+_xlfn.IFNA(H100,0)</f>
        <v>415581.56547183613</v>
      </c>
      <c r="V21" s="44">
        <f t="shared" ref="V21:V35" si="7">T21+U21</f>
        <v>415581.56547183613</v>
      </c>
      <c r="W21" s="23">
        <f>(SUMIF(Table14[Party],O21,Table14[Credit]))+_xlfn.IFNA(J100,0)</f>
        <v>415571</v>
      </c>
      <c r="X21" s="38">
        <f t="shared" ref="X21:X35" si="8">V21-W21</f>
        <v>10.565471836132929</v>
      </c>
      <c r="Y21" s="22">
        <v>10</v>
      </c>
      <c r="Z21" s="22">
        <v>13</v>
      </c>
    </row>
    <row r="22" spans="2:26" x14ac:dyDescent="0.3">
      <c r="C22" s="18"/>
      <c r="O22" s="22" t="str">
        <v>Shafique Ansari</v>
      </c>
      <c r="P22" s="23" cm="1">
        <f t="array" ref="P22">_xlfn.BYROW(B66,_xlfn.LAMBDA(_xlpm.party,SUMIFS(ledger!G:G,ledger!B:B,_xlpm.party,ledger!E:E,"&lt;&gt;*RD*")))+_xlfn.IFNA(C101,0)</f>
        <v>8274</v>
      </c>
      <c r="Q22" s="23" cm="1">
        <f t="array" ref="Q22">_xlfn.BYROW(B66, _xlfn.LAMBDA(_xlpm.party, SUMIFS(ledger!G:G, ledger!B:B, _xlpm.party, ledger!E:E, "&lt;&gt;*RD*") / 1.0936 ))+_xlfn.IFNA(D101,0)</f>
        <v>7565.8376005852242</v>
      </c>
      <c r="R22" s="23" cm="1">
        <f t="array" ref="R22">(_xlfn.BYROW(B66,_xlfn.LAMBDA(_xlpm.party,SUMIFS(ledger!G:G,ledger!B:B,_xlpm.party,ledger!E:E,"&lt;&gt;*RD*",ledger!D:D,"Chamki")+SUMIFS(ledger!G:G, ledger!B:B, _xlpm.party, ledger!E:E, "&lt;&gt;*RD*", ledger!D:D, "Crinkle")))/1.0936)+_xlfn.IFNA(E101,0)</f>
        <v>0</v>
      </c>
      <c r="S22" s="75" cm="1">
        <f t="array" ref="S22">(_xlfn.BYROW(B66,_xlfn.LAMBDA(_xlpm.party,SUMIFS(ledger!G:G,ledger!B:B,_xlpm.party,ledger!E:E,"&lt;&gt;*RD*",ledger!D:D,"Silky")))/1.0936)+_xlfn.IFNA(F101,0)</f>
        <v>7565.8376005852242</v>
      </c>
      <c r="T22" s="23" cm="1">
        <f t="array" ref="T22">(_xlfn.BYROW(B66,_xlfn.LAMBDA(_xlpm.party,(SUMIFS(ledger!G:G,ledger!B:B,_xlpm.party,ledger!E:E,"&lt;&gt;*RD*",ledger!D:D, "Chamki")+SUMIFS(ledger!G:G, ledger!B:B, _xlpm.party, ledger!E:E, "&lt;&gt;*RD*", ledger!D:D, "Crinkle"))/1.0936))*L66)+_xlfn.IFNA(G101,0)</f>
        <v>0</v>
      </c>
      <c r="U22" s="23" cm="1">
        <f t="array" ref="U22">(_xlfn.BYROW(B66,_xlfn.LAMBDA(_xlpm.party,SUMIFS(ledger!G:G,ledger!B:B,_xlpm.party,ledger!E:E,"&lt;&gt;*RD*",ledger!D:D, "Silky")/1.0936))* Z22)+_xlfn.IFNA(H101,0)</f>
        <v>90790.051207022683</v>
      </c>
      <c r="V22" s="44">
        <f t="shared" si="7"/>
        <v>90790.051207022683</v>
      </c>
      <c r="W22" s="23">
        <f>(SUMIF(Table14[Party],O22,Table14[Credit]))+_xlfn.IFNA(J101,0)</f>
        <v>0</v>
      </c>
      <c r="X22" s="38">
        <f t="shared" si="8"/>
        <v>90790.051207022683</v>
      </c>
      <c r="Y22" s="22">
        <v>10</v>
      </c>
      <c r="Z22" s="22">
        <v>12</v>
      </c>
    </row>
    <row r="23" spans="2:26" x14ac:dyDescent="0.3">
      <c r="B23" s="25" t="s">
        <v>31</v>
      </c>
      <c r="C23" s="42">
        <f ca="1">SUM(OFFSET(I49,0,0,COUNTA(I:I)-ROW(I49)+1))</f>
        <v>2332662.7651792248</v>
      </c>
      <c r="D23" t="s">
        <v>32</v>
      </c>
      <c r="O23" s="22" t="str">
        <v>Amjad sohail</v>
      </c>
      <c r="P23" s="23" cm="1">
        <f t="array" ref="P23">_xlfn.BYROW(B67,_xlfn.LAMBDA(_xlpm.party,SUMIFS(ledger!G:G,ledger!B:B,_xlpm.party,ledger!E:E,"&lt;&gt;*RD*")))+_xlfn.IFNA(C102,0)</f>
        <v>1662</v>
      </c>
      <c r="Q23" s="23" cm="1">
        <f t="array" ref="Q23">_xlfn.BYROW(B67, _xlfn.LAMBDA(_xlpm.party, SUMIFS(ledger!G:G, ledger!B:B, _xlpm.party, ledger!E:E, "&lt;&gt;*RD*") / 1.0936 ))+_xlfn.IFNA(D102,0)</f>
        <v>1519.751280175567</v>
      </c>
      <c r="R23" s="23" cm="1">
        <f t="array" ref="R23">(_xlfn.BYROW(B67,_xlfn.LAMBDA(_xlpm.party,SUMIFS(ledger!G:G,ledger!B:B,_xlpm.party,ledger!E:E,"&lt;&gt;*RD*",ledger!D:D,"Chamki")+SUMIFS(ledger!G:G, ledger!B:B, _xlpm.party, ledger!E:E, "&lt;&gt;*RD*", ledger!D:D, "Crinkle")))/1.0936)+_xlfn.IFNA(E102,0)</f>
        <v>0</v>
      </c>
      <c r="S23" s="75" cm="1">
        <f t="array" ref="S23">(_xlfn.BYROW(B67,_xlfn.LAMBDA(_xlpm.party,SUMIFS(ledger!G:G,ledger!B:B,_xlpm.party,ledger!E:E,"&lt;&gt;*RD*",ledger!D:D,"Silky")))/1.0936)+_xlfn.IFNA(F102,0)</f>
        <v>1519.751280175567</v>
      </c>
      <c r="T23" s="23" cm="1">
        <f t="array" ref="T23">(_xlfn.BYROW(B67,_xlfn.LAMBDA(_xlpm.party,(SUMIFS(ledger!G:G,ledger!B:B,_xlpm.party,ledger!E:E,"&lt;&gt;*RD*",ledger!D:D, "Chamki")+SUMIFS(ledger!G:G, ledger!B:B, _xlpm.party, ledger!E:E, "&lt;&gt;*RD*", ledger!D:D, "Crinkle"))/1.0936))*L67)+_xlfn.IFNA(G102,0)</f>
        <v>0</v>
      </c>
      <c r="U23" s="23" cm="1">
        <f t="array" ref="U23">(_xlfn.BYROW(B67,_xlfn.LAMBDA(_xlpm.party,SUMIFS(ledger!G:G,ledger!B:B,_xlpm.party,ledger!E:E,"&lt;&gt;*RD*",ledger!D:D, "Silky")/1.0936))* Z23)+_xlfn.IFNA(H102,0)</f>
        <v>18237.015362106802</v>
      </c>
      <c r="V23" s="44">
        <f t="shared" si="7"/>
        <v>18237.015362106802</v>
      </c>
      <c r="W23" s="23">
        <f>(SUMIF(Table14[Party],O23,Table14[Credit]))+_xlfn.IFNA(J102,0)</f>
        <v>0</v>
      </c>
      <c r="X23" s="38">
        <f t="shared" si="8"/>
        <v>18237.015362106802</v>
      </c>
      <c r="Y23" s="22">
        <v>10</v>
      </c>
      <c r="Z23" s="22">
        <v>12</v>
      </c>
    </row>
    <row r="24" spans="2:26" x14ac:dyDescent="0.3">
      <c r="P24" s="23" cm="1">
        <f t="array" ref="P24">_xlfn.BYROW(B68,_xlfn.LAMBDA(_xlpm.party,SUMIFS(ledger!G:G,ledger!B:B,_xlpm.party,ledger!E:E,"&lt;&gt;*RD*")))+_xlfn.IFNA(C103,0)</f>
        <v>0</v>
      </c>
      <c r="Q24" s="23" cm="1">
        <f t="array" ref="Q24">_xlfn.BYROW(B68, _xlfn.LAMBDA(_xlpm.party, SUMIFS(ledger!G:G, ledger!B:B, _xlpm.party, ledger!E:E, "&lt;&gt;*RD*") / 1.0936 ))+_xlfn.IFNA(D103,0)</f>
        <v>0</v>
      </c>
      <c r="R24" s="23" cm="1">
        <f t="array" ref="R24">(_xlfn.BYROW(B68,_xlfn.LAMBDA(_xlpm.party,SUMIFS(ledger!G:G,ledger!B:B,_xlpm.party,ledger!E:E,"&lt;&gt;*RD*",ledger!D:D,"Chamki")+SUMIFS(ledger!G:G, ledger!B:B, _xlpm.party, ledger!E:E, "&lt;&gt;*RD*", ledger!D:D, "Crinkle")))/1.0936)+_xlfn.IFNA(E103,0)</f>
        <v>0</v>
      </c>
      <c r="S24" s="75" cm="1">
        <f t="array" ref="S24">(_xlfn.BYROW(B68,_xlfn.LAMBDA(_xlpm.party,SUMIFS(ledger!G:G,ledger!B:B,_xlpm.party,ledger!E:E,"&lt;&gt;*RD*",ledger!D:D,"Silky")))/1.0936)+_xlfn.IFNA(F103,0)</f>
        <v>0</v>
      </c>
      <c r="T24" s="23" cm="1">
        <f t="array" ref="T24">(_xlfn.BYROW(B68,_xlfn.LAMBDA(_xlpm.party,(SUMIFS(ledger!G:G,ledger!B:B,_xlpm.party,ledger!E:E,"&lt;&gt;*RD*",ledger!D:D, "Chamki")+SUMIFS(ledger!G:G, ledger!B:B, _xlpm.party, ledger!E:E, "&lt;&gt;*RD*", ledger!D:D, "Crinkle"))/1.0936))*L68)+_xlfn.IFNA(G103,0)</f>
        <v>0</v>
      </c>
      <c r="U24" s="23" cm="1">
        <f t="array" ref="U24">(_xlfn.BYROW(B68,_xlfn.LAMBDA(_xlpm.party,SUMIFS(ledger!G:G,ledger!B:B,_xlpm.party,ledger!E:E,"&lt;&gt;*RD*",ledger!D:D, "Silky")/1.0936))* Z24)+_xlfn.IFNA(H103,0)</f>
        <v>0</v>
      </c>
      <c r="V24" s="44">
        <f t="shared" si="7"/>
        <v>0</v>
      </c>
      <c r="W24" s="23">
        <f>(SUMIF(Table14[Party],O24,Table14[Credit]))+_xlfn.IFNA(J103,0)</f>
        <v>0</v>
      </c>
      <c r="X24" s="38">
        <f t="shared" si="8"/>
        <v>0</v>
      </c>
      <c r="Y24" s="22">
        <v>10</v>
      </c>
      <c r="Z24" s="22">
        <v>12</v>
      </c>
    </row>
    <row r="25" spans="2:26" x14ac:dyDescent="0.3">
      <c r="P25" s="23" cm="1">
        <f t="array" ref="P25">_xlfn.BYROW(B69,_xlfn.LAMBDA(_xlpm.party,SUMIFS(ledger!G:G,ledger!B:B,_xlpm.party,ledger!E:E,"&lt;&gt;*RD*")))+_xlfn.IFNA(C104,0)</f>
        <v>0</v>
      </c>
      <c r="Q25" s="23" cm="1">
        <f t="array" ref="Q25">_xlfn.BYROW(B69, _xlfn.LAMBDA(_xlpm.party, SUMIFS(ledger!G:G, ledger!B:B, _xlpm.party, ledger!E:E, "&lt;&gt;*RD*") / 1.0936 ))+_xlfn.IFNA(D104,0)</f>
        <v>0</v>
      </c>
      <c r="R25" s="23" cm="1">
        <f t="array" ref="R25">(_xlfn.BYROW(B69,_xlfn.LAMBDA(_xlpm.party,SUMIFS(ledger!G:G,ledger!B:B,_xlpm.party,ledger!E:E,"&lt;&gt;*RD*",ledger!D:D,"Chamki")+SUMIFS(ledger!G:G, ledger!B:B, _xlpm.party, ledger!E:E, "&lt;&gt;*RD*", ledger!D:D, "Crinkle")))/1.0936)+_xlfn.IFNA(E104,0)</f>
        <v>0</v>
      </c>
      <c r="S25" s="75" cm="1">
        <f t="array" ref="S25">(_xlfn.BYROW(B69,_xlfn.LAMBDA(_xlpm.party,SUMIFS(ledger!G:G,ledger!B:B,_xlpm.party,ledger!E:E,"&lt;&gt;*RD*",ledger!D:D,"Silky")))/1.0936)+_xlfn.IFNA(F104,0)</f>
        <v>0</v>
      </c>
      <c r="T25" s="23" cm="1">
        <f t="array" ref="T25">(_xlfn.BYROW(B69,_xlfn.LAMBDA(_xlpm.party,(SUMIFS(ledger!G:G,ledger!B:B,_xlpm.party,ledger!E:E,"&lt;&gt;*RD*",ledger!D:D, "Chamki")+SUMIFS(ledger!G:G, ledger!B:B, _xlpm.party, ledger!E:E, "&lt;&gt;*RD*", ledger!D:D, "Crinkle"))/1.0936))*L69)+_xlfn.IFNA(G104,0)</f>
        <v>0</v>
      </c>
      <c r="U25" s="23" cm="1">
        <f t="array" ref="U25">(_xlfn.BYROW(B69,_xlfn.LAMBDA(_xlpm.party,SUMIFS(ledger!G:G,ledger!B:B,_xlpm.party,ledger!E:E,"&lt;&gt;*RD*",ledger!D:D, "Silky")/1.0936))* Z25)+_xlfn.IFNA(H104,0)</f>
        <v>0</v>
      </c>
      <c r="V25" s="44">
        <f t="shared" si="7"/>
        <v>0</v>
      </c>
      <c r="W25" s="23">
        <f>(SUMIF(Table14[Party],O25,Table14[Credit]))+_xlfn.IFNA(J104,0)</f>
        <v>0</v>
      </c>
      <c r="X25" s="38">
        <f t="shared" si="8"/>
        <v>0</v>
      </c>
      <c r="Y25" s="22">
        <v>10</v>
      </c>
      <c r="Z25" s="22">
        <v>12</v>
      </c>
    </row>
    <row r="26" spans="2:26" x14ac:dyDescent="0.3">
      <c r="P26" s="23" cm="1">
        <f t="array" ref="P26">_xlfn.BYROW(B70,_xlfn.LAMBDA(_xlpm.party,SUMIFS(ledger!G:G,ledger!B:B,_xlpm.party,ledger!E:E,"&lt;&gt;*RD*")))+_xlfn.IFNA(C105,0)</f>
        <v>0</v>
      </c>
      <c r="Q26" s="23" cm="1">
        <f t="array" ref="Q26">_xlfn.BYROW(B70, _xlfn.LAMBDA(_xlpm.party, SUMIFS(ledger!G:G, ledger!B:B, _xlpm.party, ledger!E:E, "&lt;&gt;*RD*") / 1.0936 ))+_xlfn.IFNA(D105,0)</f>
        <v>0</v>
      </c>
      <c r="R26" s="23" cm="1">
        <f t="array" ref="R26">(_xlfn.BYROW(B70,_xlfn.LAMBDA(_xlpm.party,SUMIFS(ledger!G:G,ledger!B:B,_xlpm.party,ledger!E:E,"&lt;&gt;*RD*",ledger!D:D,"Chamki")+SUMIFS(ledger!G:G, ledger!B:B, _xlpm.party, ledger!E:E, "&lt;&gt;*RD*", ledger!D:D, "Crinkle")))/1.0936)+_xlfn.IFNA(E105,0)</f>
        <v>0</v>
      </c>
      <c r="S26" s="75" cm="1">
        <f t="array" ref="S26">(_xlfn.BYROW(B70,_xlfn.LAMBDA(_xlpm.party,SUMIFS(ledger!G:G,ledger!B:B,_xlpm.party,ledger!E:E,"&lt;&gt;*RD*",ledger!D:D,"Silky")))/1.0936)+_xlfn.IFNA(F105,0)</f>
        <v>0</v>
      </c>
      <c r="T26" s="23" cm="1">
        <f t="array" ref="T26">(_xlfn.BYROW(B70,_xlfn.LAMBDA(_xlpm.party,(SUMIFS(ledger!G:G,ledger!B:B,_xlpm.party,ledger!E:E,"&lt;&gt;*RD*",ledger!D:D, "Chamki")+SUMIFS(ledger!G:G, ledger!B:B, _xlpm.party, ledger!E:E, "&lt;&gt;*RD*", ledger!D:D, "Crinkle"))/1.0936))*L70)+_xlfn.IFNA(G105,0)</f>
        <v>0</v>
      </c>
      <c r="U26" s="23" cm="1">
        <f t="array" ref="U26">(_xlfn.BYROW(B70,_xlfn.LAMBDA(_xlpm.party,SUMIFS(ledger!G:G,ledger!B:B,_xlpm.party,ledger!E:E,"&lt;&gt;*RD*",ledger!D:D, "Silky")/1.0936))* Z26)+_xlfn.IFNA(H105,0)</f>
        <v>0</v>
      </c>
      <c r="V26" s="44">
        <f t="shared" si="7"/>
        <v>0</v>
      </c>
      <c r="W26" s="23">
        <f>(SUMIF(Table14[Party],O26,Table14[Credit]))+_xlfn.IFNA(J105,0)</f>
        <v>0</v>
      </c>
      <c r="X26" s="38">
        <f t="shared" si="8"/>
        <v>0</v>
      </c>
      <c r="Y26" s="22">
        <v>10</v>
      </c>
      <c r="Z26" s="22">
        <v>12</v>
      </c>
    </row>
    <row r="27" spans="2:26" x14ac:dyDescent="0.3">
      <c r="P27" s="23" cm="1">
        <f t="array" ref="P27">_xlfn.BYROW(B71,_xlfn.LAMBDA(_xlpm.party,SUMIFS(ledger!G:G,ledger!B:B,_xlpm.party,ledger!E:E,"&lt;&gt;*RD*")))+_xlfn.IFNA(C106,0)</f>
        <v>0</v>
      </c>
      <c r="Q27" s="23" cm="1">
        <f t="array" ref="Q27">_xlfn.BYROW(B71, _xlfn.LAMBDA(_xlpm.party, SUMIFS(ledger!G:G, ledger!B:B, _xlpm.party, ledger!E:E, "&lt;&gt;*RD*") / 1.0936 ))+_xlfn.IFNA(D106,0)</f>
        <v>0</v>
      </c>
      <c r="R27" s="23" cm="1">
        <f t="array" ref="R27">(_xlfn.BYROW(B71,_xlfn.LAMBDA(_xlpm.party,SUMIFS(ledger!G:G,ledger!B:B,_xlpm.party,ledger!E:E,"&lt;&gt;*RD*",ledger!D:D,"Chamki")+SUMIFS(ledger!G:G, ledger!B:B, _xlpm.party, ledger!E:E, "&lt;&gt;*RD*", ledger!D:D, "Crinkle")))/1.0936)+_xlfn.IFNA(E106,0)</f>
        <v>0</v>
      </c>
      <c r="S27" s="75" cm="1">
        <f t="array" ref="S27">(_xlfn.BYROW(B71,_xlfn.LAMBDA(_xlpm.party,SUMIFS(ledger!G:G,ledger!B:B,_xlpm.party,ledger!E:E,"&lt;&gt;*RD*",ledger!D:D,"Silky")))/1.0936)+_xlfn.IFNA(F106,0)</f>
        <v>0</v>
      </c>
      <c r="T27" s="23" cm="1">
        <f t="array" ref="T27">(_xlfn.BYROW(B71,_xlfn.LAMBDA(_xlpm.party,(SUMIFS(ledger!G:G,ledger!B:B,_xlpm.party,ledger!E:E,"&lt;&gt;*RD*",ledger!D:D, "Chamki")+SUMIFS(ledger!G:G, ledger!B:B, _xlpm.party, ledger!E:E, "&lt;&gt;*RD*", ledger!D:D, "Crinkle"))/1.0936))*L71)+_xlfn.IFNA(G106,0)</f>
        <v>0</v>
      </c>
      <c r="U27" s="23" cm="1">
        <f t="array" ref="U27">(_xlfn.BYROW(B71,_xlfn.LAMBDA(_xlpm.party,SUMIFS(ledger!G:G,ledger!B:B,_xlpm.party,ledger!E:E,"&lt;&gt;*RD*",ledger!D:D, "Silky")/1.0936))* Z27)+_xlfn.IFNA(H106,0)</f>
        <v>0</v>
      </c>
      <c r="V27" s="44">
        <f t="shared" si="7"/>
        <v>0</v>
      </c>
      <c r="W27" s="23">
        <f>(SUMIF(Table14[Party],O27,Table14[Credit]))+_xlfn.IFNA(J106,0)</f>
        <v>0</v>
      </c>
      <c r="X27" s="38">
        <f t="shared" si="8"/>
        <v>0</v>
      </c>
      <c r="Y27" s="22">
        <v>10</v>
      </c>
      <c r="Z27" s="22">
        <v>12</v>
      </c>
    </row>
    <row r="28" spans="2:26" x14ac:dyDescent="0.3">
      <c r="P28" s="23" cm="1">
        <f t="array" ref="P28">_xlfn.BYROW(B72,_xlfn.LAMBDA(_xlpm.party,SUMIFS(ledger!G:G,ledger!B:B,_xlpm.party,ledger!E:E,"&lt;&gt;*RD*")))+_xlfn.IFNA(C107,0)</f>
        <v>0</v>
      </c>
      <c r="Q28" s="23" cm="1">
        <f t="array" ref="Q28">_xlfn.BYROW(B72, _xlfn.LAMBDA(_xlpm.party, SUMIFS(ledger!G:G, ledger!B:B, _xlpm.party, ledger!E:E, "&lt;&gt;*RD*") / 1.0936 ))+_xlfn.IFNA(D107,0)</f>
        <v>0</v>
      </c>
      <c r="R28" s="23" cm="1">
        <f t="array" ref="R28">(_xlfn.BYROW(B72,_xlfn.LAMBDA(_xlpm.party,SUMIFS(ledger!G:G,ledger!B:B,_xlpm.party,ledger!E:E,"&lt;&gt;*RD*",ledger!D:D,"Chamki")+SUMIFS(ledger!G:G, ledger!B:B, _xlpm.party, ledger!E:E, "&lt;&gt;*RD*", ledger!D:D, "Crinkle")))/1.0936)+_xlfn.IFNA(E107,0)</f>
        <v>0</v>
      </c>
      <c r="S28" s="75" cm="1">
        <f t="array" ref="S28">(_xlfn.BYROW(B72,_xlfn.LAMBDA(_xlpm.party,SUMIFS(ledger!G:G,ledger!B:B,_xlpm.party,ledger!E:E,"&lt;&gt;*RD*",ledger!D:D,"Silky")))/1.0936)+_xlfn.IFNA(F107,0)</f>
        <v>0</v>
      </c>
      <c r="T28" s="23" cm="1">
        <f t="array" ref="T28">(_xlfn.BYROW(B72,_xlfn.LAMBDA(_xlpm.party,(SUMIFS(ledger!G:G,ledger!B:B,_xlpm.party,ledger!E:E,"&lt;&gt;*RD*",ledger!D:D, "Chamki")+SUMIFS(ledger!G:G, ledger!B:B, _xlpm.party, ledger!E:E, "&lt;&gt;*RD*", ledger!D:D, "Crinkle"))/1.0936))*L72)+_xlfn.IFNA(G107,0)</f>
        <v>0</v>
      </c>
      <c r="U28" s="23" cm="1">
        <f t="array" ref="U28">(_xlfn.BYROW(B72,_xlfn.LAMBDA(_xlpm.party,SUMIFS(ledger!G:G,ledger!B:B,_xlpm.party,ledger!E:E,"&lt;&gt;*RD*",ledger!D:D, "Silky")/1.0936))* Z28)+_xlfn.IFNA(H107,0)</f>
        <v>0</v>
      </c>
      <c r="V28" s="44">
        <f t="shared" si="7"/>
        <v>0</v>
      </c>
      <c r="W28" s="23">
        <f>(SUMIF(Table14[Party],O28,Table14[Credit]))+_xlfn.IFNA(J107,0)</f>
        <v>0</v>
      </c>
      <c r="X28" s="38">
        <f t="shared" si="8"/>
        <v>0</v>
      </c>
      <c r="Y28" s="22">
        <v>10</v>
      </c>
      <c r="Z28" s="22">
        <v>12</v>
      </c>
    </row>
    <row r="29" spans="2:26" x14ac:dyDescent="0.3">
      <c r="P29" s="23" cm="1">
        <f t="array" ref="P29">_xlfn.BYROW(B73,_xlfn.LAMBDA(_xlpm.party,SUMIFS(ledger!G:G,ledger!B:B,_xlpm.party,ledger!E:E,"&lt;&gt;*RD*")))+_xlfn.IFNA(C108,0)</f>
        <v>0</v>
      </c>
      <c r="Q29" s="23" cm="1">
        <f t="array" ref="Q29">_xlfn.BYROW(B73, _xlfn.LAMBDA(_xlpm.party, SUMIFS(ledger!G:G, ledger!B:B, _xlpm.party, ledger!E:E, "&lt;&gt;*RD*") / 1.0936 ))+_xlfn.IFNA(D108,0)</f>
        <v>0</v>
      </c>
      <c r="R29" s="23" cm="1">
        <f t="array" ref="R29">(_xlfn.BYROW(B73,_xlfn.LAMBDA(_xlpm.party,SUMIFS(ledger!G:G,ledger!B:B,_xlpm.party,ledger!E:E,"&lt;&gt;*RD*",ledger!D:D,"Chamki")+SUMIFS(ledger!G:G, ledger!B:B, _xlpm.party, ledger!E:E, "&lt;&gt;*RD*", ledger!D:D, "Crinkle")))/1.0936)+_xlfn.IFNA(E108,0)</f>
        <v>0</v>
      </c>
      <c r="S29" s="75" cm="1">
        <f t="array" ref="S29">(_xlfn.BYROW(B73,_xlfn.LAMBDA(_xlpm.party,SUMIFS(ledger!G:G,ledger!B:B,_xlpm.party,ledger!E:E,"&lt;&gt;*RD*",ledger!D:D,"Silky")))/1.0936)+_xlfn.IFNA(F108,0)</f>
        <v>0</v>
      </c>
      <c r="T29" s="23" cm="1">
        <f t="array" ref="T29">(_xlfn.BYROW(B73,_xlfn.LAMBDA(_xlpm.party,(SUMIFS(ledger!G:G,ledger!B:B,_xlpm.party,ledger!E:E,"&lt;&gt;*RD*",ledger!D:D, "Chamki")+SUMIFS(ledger!G:G, ledger!B:B, _xlpm.party, ledger!E:E, "&lt;&gt;*RD*", ledger!D:D, "Crinkle"))/1.0936))*L73)+_xlfn.IFNA(G108,0)</f>
        <v>0</v>
      </c>
      <c r="U29" s="23" cm="1">
        <f t="array" ref="U29">(_xlfn.BYROW(B73,_xlfn.LAMBDA(_xlpm.party,SUMIFS(ledger!G:G,ledger!B:B,_xlpm.party,ledger!E:E,"&lt;&gt;*RD*",ledger!D:D, "Silky")/1.0936))* Z29)+_xlfn.IFNA(H108,0)</f>
        <v>0</v>
      </c>
      <c r="V29" s="44">
        <f t="shared" si="7"/>
        <v>0</v>
      </c>
      <c r="W29" s="23">
        <f>(SUMIF(Table14[Party],O29,Table14[Credit]))+_xlfn.IFNA(J108,0)</f>
        <v>0</v>
      </c>
      <c r="X29" s="38">
        <f t="shared" si="8"/>
        <v>0</v>
      </c>
      <c r="Y29" s="22">
        <v>10</v>
      </c>
      <c r="Z29" s="22">
        <v>12</v>
      </c>
    </row>
    <row r="30" spans="2:26" x14ac:dyDescent="0.3">
      <c r="P30" s="23" cm="1">
        <f t="array" ref="P30">_xlfn.BYROW(B74,_xlfn.LAMBDA(_xlpm.party,SUMIFS(ledger!G:G,ledger!B:B,_xlpm.party,ledger!E:E,"&lt;&gt;*RD*")))+_xlfn.IFNA(C109,0)</f>
        <v>0</v>
      </c>
      <c r="Q30" s="23" cm="1">
        <f t="array" ref="Q30">_xlfn.BYROW(B74, _xlfn.LAMBDA(_xlpm.party, SUMIFS(ledger!G:G, ledger!B:B, _xlpm.party, ledger!E:E, "&lt;&gt;*RD*") / 1.0936 ))+_xlfn.IFNA(D109,0)</f>
        <v>0</v>
      </c>
      <c r="R30" s="23" cm="1">
        <f t="array" ref="R30">(_xlfn.BYROW(B74,_xlfn.LAMBDA(_xlpm.party,SUMIFS(ledger!G:G,ledger!B:B,_xlpm.party,ledger!E:E,"&lt;&gt;*RD*",ledger!D:D,"Chamki")+SUMIFS(ledger!G:G, ledger!B:B, _xlpm.party, ledger!E:E, "&lt;&gt;*RD*", ledger!D:D, "Crinkle")))/1.0936)+_xlfn.IFNA(E109,0)</f>
        <v>0</v>
      </c>
      <c r="S30" s="75" cm="1">
        <f t="array" ref="S30">(_xlfn.BYROW(B74,_xlfn.LAMBDA(_xlpm.party,SUMIFS(ledger!G:G,ledger!B:B,_xlpm.party,ledger!E:E,"&lt;&gt;*RD*",ledger!D:D,"Silky")))/1.0936)+_xlfn.IFNA(F109,0)</f>
        <v>0</v>
      </c>
      <c r="T30" s="23" cm="1">
        <f t="array" ref="T30">(_xlfn.BYROW(B74,_xlfn.LAMBDA(_xlpm.party,(SUMIFS(ledger!G:G,ledger!B:B,_xlpm.party,ledger!E:E,"&lt;&gt;*RD*",ledger!D:D, "Chamki")+SUMIFS(ledger!G:G, ledger!B:B, _xlpm.party, ledger!E:E, "&lt;&gt;*RD*", ledger!D:D, "Crinkle"))/1.0936))*L74)+_xlfn.IFNA(G109,0)</f>
        <v>0</v>
      </c>
      <c r="U30" s="23" cm="1">
        <f t="array" ref="U30">(_xlfn.BYROW(B74,_xlfn.LAMBDA(_xlpm.party,SUMIFS(ledger!G:G,ledger!B:B,_xlpm.party,ledger!E:E,"&lt;&gt;*RD*",ledger!D:D, "Silky")/1.0936))* Z30)+_xlfn.IFNA(H109,0)</f>
        <v>0</v>
      </c>
      <c r="V30" s="44">
        <f t="shared" si="7"/>
        <v>0</v>
      </c>
      <c r="W30" s="23">
        <f>(SUMIF(Table14[Party],O30,Table14[Credit]))+_xlfn.IFNA(J109,0)</f>
        <v>0</v>
      </c>
      <c r="X30" s="38">
        <f t="shared" si="8"/>
        <v>0</v>
      </c>
      <c r="Y30" s="22">
        <v>10</v>
      </c>
      <c r="Z30" s="22">
        <v>12</v>
      </c>
    </row>
    <row r="31" spans="2:26" x14ac:dyDescent="0.3">
      <c r="P31" s="23" cm="1">
        <f t="array" ref="P31">_xlfn.BYROW(B75,_xlfn.LAMBDA(_xlpm.party,SUMIFS(ledger!G:G,ledger!B:B,_xlpm.party,ledger!E:E,"&lt;&gt;*RD*")))+_xlfn.IFNA(C110,0)</f>
        <v>0</v>
      </c>
      <c r="Q31" s="23" cm="1">
        <f t="array" ref="Q31">_xlfn.BYROW(B75, _xlfn.LAMBDA(_xlpm.party, SUMIFS(ledger!G:G, ledger!B:B, _xlpm.party, ledger!E:E, "&lt;&gt;*RD*") / 1.0936 ))+_xlfn.IFNA(D110,0)</f>
        <v>0</v>
      </c>
      <c r="R31" s="23" cm="1">
        <f t="array" ref="R31">(_xlfn.BYROW(B75,_xlfn.LAMBDA(_xlpm.party,SUMIFS(ledger!G:G,ledger!B:B,_xlpm.party,ledger!E:E,"&lt;&gt;*RD*",ledger!D:D,"Chamki")+SUMIFS(ledger!G:G, ledger!B:B, _xlpm.party, ledger!E:E, "&lt;&gt;*RD*", ledger!D:D, "Crinkle")))/1.0936)+_xlfn.IFNA(E110,0)</f>
        <v>0</v>
      </c>
      <c r="S31" s="75" cm="1">
        <f t="array" ref="S31">(_xlfn.BYROW(B75,_xlfn.LAMBDA(_xlpm.party,SUMIFS(ledger!G:G,ledger!B:B,_xlpm.party,ledger!E:E,"&lt;&gt;*RD*",ledger!D:D,"Silky")))/1.0936)+_xlfn.IFNA(F110,0)</f>
        <v>0</v>
      </c>
      <c r="T31" s="23" cm="1">
        <f t="array" ref="T31">(_xlfn.BYROW(B75,_xlfn.LAMBDA(_xlpm.party,(SUMIFS(ledger!G:G,ledger!B:B,_xlpm.party,ledger!E:E,"&lt;&gt;*RD*",ledger!D:D, "Chamki")+SUMIFS(ledger!G:G, ledger!B:B, _xlpm.party, ledger!E:E, "&lt;&gt;*RD*", ledger!D:D, "Crinkle"))/1.0936))*L75)+_xlfn.IFNA(G110,0)</f>
        <v>0</v>
      </c>
      <c r="U31" s="23" cm="1">
        <f t="array" ref="U31">(_xlfn.BYROW(B75,_xlfn.LAMBDA(_xlpm.party,SUMIFS(ledger!G:G,ledger!B:B,_xlpm.party,ledger!E:E,"&lt;&gt;*RD*",ledger!D:D, "Silky")/1.0936))* Z31)+_xlfn.IFNA(H110,0)</f>
        <v>0</v>
      </c>
      <c r="V31" s="44">
        <f t="shared" si="7"/>
        <v>0</v>
      </c>
      <c r="W31" s="23">
        <f>(SUMIF(Table14[Party],O31,Table14[Credit]))+_xlfn.IFNA(J110,0)</f>
        <v>0</v>
      </c>
      <c r="X31" s="38">
        <f t="shared" si="8"/>
        <v>0</v>
      </c>
      <c r="Y31" s="22">
        <v>10</v>
      </c>
      <c r="Z31" s="22">
        <v>12</v>
      </c>
    </row>
    <row r="32" spans="2:26" x14ac:dyDescent="0.3">
      <c r="P32" s="23" cm="1">
        <f t="array" ref="P32">_xlfn.BYROW(B76,_xlfn.LAMBDA(_xlpm.party,SUMIFS(ledger!G:G,ledger!B:B,_xlpm.party,ledger!E:E,"&lt;&gt;*RD*")))+_xlfn.IFNA(C111,0)</f>
        <v>0</v>
      </c>
      <c r="Q32" s="23" cm="1">
        <f t="array" ref="Q32">_xlfn.BYROW(B76, _xlfn.LAMBDA(_xlpm.party, SUMIFS(ledger!G:G, ledger!B:B, _xlpm.party, ledger!E:E, "&lt;&gt;*RD*") / 1.0936 ))+_xlfn.IFNA(D111,0)</f>
        <v>0</v>
      </c>
      <c r="R32" s="23" cm="1">
        <f t="array" ref="R32">(_xlfn.BYROW(B76,_xlfn.LAMBDA(_xlpm.party,SUMIFS(ledger!G:G,ledger!B:B,_xlpm.party,ledger!E:E,"&lt;&gt;*RD*",ledger!D:D,"Chamki")+SUMIFS(ledger!G:G, ledger!B:B, _xlpm.party, ledger!E:E, "&lt;&gt;*RD*", ledger!D:D, "Crinkle")))/1.0936)+_xlfn.IFNA(E111,0)</f>
        <v>0</v>
      </c>
      <c r="S32" s="75" cm="1">
        <f t="array" ref="S32">(_xlfn.BYROW(B76,_xlfn.LAMBDA(_xlpm.party,SUMIFS(ledger!G:G,ledger!B:B,_xlpm.party,ledger!E:E,"&lt;&gt;*RD*",ledger!D:D,"Silky")))/1.0936)+_xlfn.IFNA(F111,0)</f>
        <v>0</v>
      </c>
      <c r="T32" s="23" cm="1">
        <f t="array" ref="T32">(_xlfn.BYROW(B76,_xlfn.LAMBDA(_xlpm.party,(SUMIFS(ledger!G:G,ledger!B:B,_xlpm.party,ledger!E:E,"&lt;&gt;*RD*",ledger!D:D, "Chamki")+SUMIFS(ledger!G:G, ledger!B:B, _xlpm.party, ledger!E:E, "&lt;&gt;*RD*", ledger!D:D, "Crinkle"))/1.0936))*L76)+_xlfn.IFNA(G111,0)</f>
        <v>0</v>
      </c>
      <c r="U32" s="23" cm="1">
        <f t="array" ref="U32">(_xlfn.BYROW(B76,_xlfn.LAMBDA(_xlpm.party,SUMIFS(ledger!G:G,ledger!B:B,_xlpm.party,ledger!E:E,"&lt;&gt;*RD*",ledger!D:D, "Silky")/1.0936))* Z32)+_xlfn.IFNA(H111,0)</f>
        <v>0</v>
      </c>
      <c r="V32" s="44">
        <f t="shared" si="7"/>
        <v>0</v>
      </c>
      <c r="W32" s="23">
        <f>(SUMIF(Table14[Party],O32,Table14[Credit]))+_xlfn.IFNA(J111,0)</f>
        <v>0</v>
      </c>
      <c r="X32" s="38">
        <f t="shared" si="8"/>
        <v>0</v>
      </c>
      <c r="Y32" s="22">
        <v>10</v>
      </c>
      <c r="Z32" s="22">
        <v>12</v>
      </c>
    </row>
    <row r="33" spans="2:26" x14ac:dyDescent="0.3">
      <c r="P33" s="23" cm="1">
        <f t="array" ref="P33">_xlfn.BYROW(B77,_xlfn.LAMBDA(_xlpm.party,SUMIFS(ledger!G:G,ledger!B:B,_xlpm.party,ledger!E:E,"&lt;&gt;*RD*")))+_xlfn.IFNA(C112,0)</f>
        <v>0</v>
      </c>
      <c r="Q33" s="23" cm="1">
        <f t="array" ref="Q33">_xlfn.BYROW(B77, _xlfn.LAMBDA(_xlpm.party, SUMIFS(ledger!G:G, ledger!B:B, _xlpm.party, ledger!E:E, "&lt;&gt;*RD*") / 1.0936 ))+_xlfn.IFNA(D112,0)</f>
        <v>0</v>
      </c>
      <c r="R33" s="23" cm="1">
        <f t="array" ref="R33">(_xlfn.BYROW(B77,_xlfn.LAMBDA(_xlpm.party,SUMIFS(ledger!G:G,ledger!B:B,_xlpm.party,ledger!E:E,"&lt;&gt;*RD*",ledger!D:D,"Chamki")+SUMIFS(ledger!G:G, ledger!B:B, _xlpm.party, ledger!E:E, "&lt;&gt;*RD*", ledger!D:D, "Crinkle")))/1.0936)+_xlfn.IFNA(E112,0)</f>
        <v>0</v>
      </c>
      <c r="S33" s="75" cm="1">
        <f t="array" ref="S33">(_xlfn.BYROW(B77,_xlfn.LAMBDA(_xlpm.party,SUMIFS(ledger!G:G,ledger!B:B,_xlpm.party,ledger!E:E,"&lt;&gt;*RD*",ledger!D:D,"Silky")))/1.0936)+_xlfn.IFNA(F112,0)</f>
        <v>0</v>
      </c>
      <c r="T33" s="23" cm="1">
        <f t="array" ref="T33">(_xlfn.BYROW(B77,_xlfn.LAMBDA(_xlpm.party,(SUMIFS(ledger!G:G,ledger!B:B,_xlpm.party,ledger!E:E,"&lt;&gt;*RD*",ledger!D:D, "Chamki")+SUMIFS(ledger!G:G, ledger!B:B, _xlpm.party, ledger!E:E, "&lt;&gt;*RD*", ledger!D:D, "Crinkle"))/1.0936))*L77)+_xlfn.IFNA(G112,0)</f>
        <v>0</v>
      </c>
      <c r="U33" s="23" cm="1">
        <f t="array" ref="U33">(_xlfn.BYROW(B77,_xlfn.LAMBDA(_xlpm.party,SUMIFS(ledger!G:G,ledger!B:B,_xlpm.party,ledger!E:E,"&lt;&gt;*RD*",ledger!D:D, "Silky")/1.0936))* Z33)+_xlfn.IFNA(H112,0)</f>
        <v>0</v>
      </c>
      <c r="V33" s="44">
        <f t="shared" si="7"/>
        <v>0</v>
      </c>
      <c r="W33" s="23">
        <f>(SUMIF(Table14[Party],O33,Table14[Credit]))+_xlfn.IFNA(J112,0)</f>
        <v>0</v>
      </c>
      <c r="X33" s="38">
        <f t="shared" si="8"/>
        <v>0</v>
      </c>
      <c r="Y33" s="22">
        <v>10</v>
      </c>
      <c r="Z33" s="22">
        <v>12</v>
      </c>
    </row>
    <row r="34" spans="2:26" x14ac:dyDescent="0.3">
      <c r="P34" s="23" cm="1">
        <f t="array" ref="P34">_xlfn.BYROW(B78,_xlfn.LAMBDA(_xlpm.party,SUMIFS(ledger!G:G,ledger!B:B,_xlpm.party,ledger!E:E,"&lt;&gt;*RD*")))+_xlfn.IFNA(C113,0)</f>
        <v>0</v>
      </c>
      <c r="Q34" s="23" cm="1">
        <f t="array" ref="Q34">_xlfn.BYROW(B78, _xlfn.LAMBDA(_xlpm.party, SUMIFS(ledger!G:G, ledger!B:B, _xlpm.party, ledger!E:E, "&lt;&gt;*RD*") / 1.0936 ))+_xlfn.IFNA(D113,0)</f>
        <v>0</v>
      </c>
      <c r="R34" s="23" cm="1">
        <f t="array" ref="R34">(_xlfn.BYROW(B78,_xlfn.LAMBDA(_xlpm.party,SUMIFS(ledger!G:G,ledger!B:B,_xlpm.party,ledger!E:E,"&lt;&gt;*RD*",ledger!D:D,"Chamki")+SUMIFS(ledger!G:G, ledger!B:B, _xlpm.party, ledger!E:E, "&lt;&gt;*RD*", ledger!D:D, "Crinkle")))/1.0936)+_xlfn.IFNA(E113,0)</f>
        <v>0</v>
      </c>
      <c r="S34" s="75" cm="1">
        <f t="array" ref="S34">(_xlfn.BYROW(B78,_xlfn.LAMBDA(_xlpm.party,SUMIFS(ledger!G:G,ledger!B:B,_xlpm.party,ledger!E:E,"&lt;&gt;*RD*",ledger!D:D,"Silky")))/1.0936)+_xlfn.IFNA(F113,0)</f>
        <v>0</v>
      </c>
      <c r="T34" s="23" cm="1">
        <f t="array" ref="T34">(_xlfn.BYROW(B78,_xlfn.LAMBDA(_xlpm.party,(SUMIFS(ledger!G:G,ledger!B:B,_xlpm.party,ledger!E:E,"&lt;&gt;*RD*",ledger!D:D, "Chamki")+SUMIFS(ledger!G:G, ledger!B:B, _xlpm.party, ledger!E:E, "&lt;&gt;*RD*", ledger!D:D, "Crinkle"))/1.0936))*L78)+_xlfn.IFNA(G113,0)</f>
        <v>0</v>
      </c>
      <c r="U34" s="23" cm="1">
        <f t="array" ref="U34">(_xlfn.BYROW(B78,_xlfn.LAMBDA(_xlpm.party,SUMIFS(ledger!G:G,ledger!B:B,_xlpm.party,ledger!E:E,"&lt;&gt;*RD*",ledger!D:D, "Silky")/1.0936))* Z34)+_xlfn.IFNA(H113,0)</f>
        <v>0</v>
      </c>
      <c r="V34" s="44">
        <f t="shared" si="7"/>
        <v>0</v>
      </c>
      <c r="W34" s="23">
        <f>(SUMIF(Table14[Party],O34,Table14[Credit]))+_xlfn.IFNA(J113,0)</f>
        <v>0</v>
      </c>
      <c r="X34" s="38">
        <f t="shared" si="8"/>
        <v>0</v>
      </c>
      <c r="Y34" s="22">
        <v>10</v>
      </c>
      <c r="Z34" s="22">
        <v>12</v>
      </c>
    </row>
    <row r="35" spans="2:26" x14ac:dyDescent="0.3">
      <c r="P35" s="23" cm="1">
        <f t="array" ref="P35">_xlfn.BYROW(B79,_xlfn.LAMBDA(_xlpm.party,SUMIFS(ledger!G:G,ledger!B:B,_xlpm.party,ledger!E:E,"&lt;&gt;*RD*")))+_xlfn.IFNA(C114,0)</f>
        <v>0</v>
      </c>
      <c r="Q35" s="23" cm="1">
        <f t="array" ref="Q35">_xlfn.BYROW(B79, _xlfn.LAMBDA(_xlpm.party, SUMIFS(ledger!G:G, ledger!B:B, _xlpm.party, ledger!E:E, "&lt;&gt;*RD*") / 1.0936 ))+_xlfn.IFNA(D114,0)</f>
        <v>0</v>
      </c>
      <c r="R35" s="23" cm="1">
        <f t="array" ref="R35">(_xlfn.BYROW(B79,_xlfn.LAMBDA(_xlpm.party,SUMIFS(ledger!G:G,ledger!B:B,_xlpm.party,ledger!E:E,"&lt;&gt;*RD*",ledger!D:D,"Chamki")+SUMIFS(ledger!G:G, ledger!B:B, _xlpm.party, ledger!E:E, "&lt;&gt;*RD*", ledger!D:D, "Crinkle")))/1.0936)+_xlfn.IFNA(E114,0)</f>
        <v>0</v>
      </c>
      <c r="S35" s="75" cm="1">
        <f t="array" ref="S35">(_xlfn.BYROW(B79,_xlfn.LAMBDA(_xlpm.party,SUMIFS(ledger!G:G,ledger!B:B,_xlpm.party,ledger!E:E,"&lt;&gt;*RD*",ledger!D:D,"Silky")))/1.0936)+_xlfn.IFNA(F114,0)</f>
        <v>0</v>
      </c>
      <c r="T35" s="23" cm="1">
        <f t="array" ref="T35">(_xlfn.BYROW(B79,_xlfn.LAMBDA(_xlpm.party,(SUMIFS(ledger!G:G,ledger!B:B,_xlpm.party,ledger!E:E,"&lt;&gt;*RD*",ledger!D:D, "Chamki")+SUMIFS(ledger!G:G, ledger!B:B, _xlpm.party, ledger!E:E, "&lt;&gt;*RD*", ledger!D:D, "Crinkle"))/1.0936))*L79)+_xlfn.IFNA(G114,0)</f>
        <v>0</v>
      </c>
      <c r="U35" s="23" cm="1">
        <f t="array" ref="U35">(_xlfn.BYROW(B79,_xlfn.LAMBDA(_xlpm.party,SUMIFS(ledger!G:G,ledger!B:B,_xlpm.party,ledger!E:E,"&lt;&gt;*RD*",ledger!D:D, "Silky")/1.0936))* Z35)+_xlfn.IFNA(H114,0)</f>
        <v>0</v>
      </c>
      <c r="V35" s="44">
        <f t="shared" si="7"/>
        <v>0</v>
      </c>
      <c r="W35" s="23">
        <f>(SUMIF(Table14[Party],O35,Table14[Credit]))+_xlfn.IFNA(J114,0)</f>
        <v>0</v>
      </c>
      <c r="X35" s="38">
        <f t="shared" si="8"/>
        <v>0</v>
      </c>
      <c r="Y35" s="22">
        <v>10</v>
      </c>
      <c r="Z35" s="22">
        <v>12</v>
      </c>
    </row>
    <row r="47" spans="2:26" x14ac:dyDescent="0.3">
      <c r="B47" t="s">
        <v>158</v>
      </c>
    </row>
    <row r="48" spans="2:26" x14ac:dyDescent="0.3">
      <c r="B48" s="22"/>
      <c r="C48" s="24" t="s">
        <v>10</v>
      </c>
      <c r="D48" s="24" t="s">
        <v>11</v>
      </c>
      <c r="E48" s="24" t="s">
        <v>12</v>
      </c>
      <c r="F48" s="24" t="s">
        <v>13</v>
      </c>
      <c r="G48" s="24" t="s">
        <v>14</v>
      </c>
      <c r="H48" s="24" t="s">
        <v>15</v>
      </c>
      <c r="I48" s="24" t="s">
        <v>16</v>
      </c>
      <c r="J48" s="24" t="s">
        <v>17</v>
      </c>
      <c r="K48" s="24" t="s">
        <v>18</v>
      </c>
      <c r="L48" s="24" t="s">
        <v>19</v>
      </c>
      <c r="M48" s="24" t="s">
        <v>20</v>
      </c>
    </row>
    <row r="49" spans="1:13" x14ac:dyDescent="0.3">
      <c r="A49" t="s">
        <v>33</v>
      </c>
      <c r="B49" s="25" t="str" cm="1">
        <f t="array" ref="B49:B67">_xlfn.UNIQUE(Table1[Party Name])</f>
        <v>BSC</v>
      </c>
      <c r="C49" s="23" cm="1">
        <f t="array" ref="C49:C67">_xlfn.BYROW(_xlfn.ANCHORARRAY(B49),_xlfn.LAMBDA(_xlpm.party,SUMIFS(ledger!G:G,ledger!B:B,_xlpm.party,ledger!E:E,"&lt;&gt;*RD*")))</f>
        <v>63612</v>
      </c>
      <c r="D49" s="23" cm="1">
        <f t="array" ref="D49:D67">_xlfn.BYROW(_xlfn.ANCHORARRAY(B49), _xlfn.LAMBDA(_xlpm.party, SUMIFS(ledger!G:G, ledger!B:B, _xlpm.party, ledger!E:E, "&lt;&gt;*RD*") / 1.0936 ))</f>
        <v>58167.520117044631</v>
      </c>
      <c r="E49" s="68" cm="1">
        <f t="array" ref="E49:E67">(_xlfn.BYROW(_xlfn.ANCHORARRAY(B49),_xlfn.LAMBDA(_xlpm.party,SUMIFS(ledger!G:G,ledger!B:B,_xlpm.party,ledger!E:E,"&lt;&gt;*RD*",ledger!D:D,"Chamki")+SUMIFS(ledger!G:G, ledger!B:B, _xlpm.party, ledger!E:E, "&lt;&gt;*RD*", ledger!D:D, "Crinkle")))/1.0936)</f>
        <v>0</v>
      </c>
      <c r="F49" s="68" cm="1">
        <f t="array" ref="F49:F67">(_xlfn.BYROW(_xlfn.ANCHORARRAY(B49),_xlfn.LAMBDA(_xlpm.party,SUMIFS(ledger!G:G,ledger!B:B,_xlpm.party,ledger!E:E,"&lt;&gt;*RD*",ledger!D:D,"Silky")))/1.0936)</f>
        <v>58167.520117044631</v>
      </c>
      <c r="G49" s="23" cm="1">
        <f t="array" ref="G49">(_xlfn.BYROW(B49,_xlfn.LAMBDA(_xlpm.party,(SUMIFS(ledger!G:G,ledger!B:B,_xlpm.party,ledger!E:E,"&lt;&gt;*RD*",ledger!D:D, "Chamki")+SUMIFS(ledger!G:G, ledger!B:B, _xlpm.party, ledger!E:E, "&lt;&gt;*RD*", ledger!D:D, "Crinkle"))/1.0936))*L49)</f>
        <v>0</v>
      </c>
      <c r="H49" s="23" cm="1">
        <f t="array" ref="H49">(_xlfn.BYROW(B49,_xlfn.LAMBDA(_xlpm.party,SUMIFS(ledger!G:G,ledger!B:B,_xlpm.party,ledger!E:E,"&lt;&gt;*RD*",ledger!D:D, "Silky")/1.0936))* M49)</f>
        <v>698010.2414045356</v>
      </c>
      <c r="I49" s="44">
        <f t="shared" ref="I49:I57" si="9">G49+H49</f>
        <v>698010.2414045356</v>
      </c>
      <c r="J49" s="23">
        <f>(SUMIF(Table14[Party],B49,Table14[Credit]))</f>
        <v>3370088</v>
      </c>
      <c r="K49" s="42">
        <f>I49-J49</f>
        <v>-2672077.7585954643</v>
      </c>
      <c r="L49" s="22">
        <v>10</v>
      </c>
      <c r="M49" s="22">
        <v>12</v>
      </c>
    </row>
    <row r="50" spans="1:13" x14ac:dyDescent="0.3">
      <c r="B50" s="25" t="str">
        <v>Ejaz Sahab</v>
      </c>
      <c r="C50" s="23">
        <v>48388</v>
      </c>
      <c r="D50" s="23">
        <v>44246.525237746893</v>
      </c>
      <c r="E50" s="68">
        <v>0</v>
      </c>
      <c r="F50" s="68">
        <v>44246.525237746893</v>
      </c>
      <c r="G50" s="23" cm="1">
        <f t="array" ref="G50">(_xlfn.BYROW(B50,_xlfn.LAMBDA(_xlpm.party,(SUMIFS(ledger!G:G,ledger!B:B,_xlpm.party,ledger!E:E,"&lt;&gt;*RD*",ledger!D:D, "Chamki")+SUMIFS(ledger!G:G, ledger!B:B, _xlpm.party, ledger!E:E, "&lt;&gt;*RD*", ledger!D:D, "Crinkle"))/1.0936))*L50)</f>
        <v>0</v>
      </c>
      <c r="H50" s="23" cm="1">
        <f t="array" ref="H50">(_xlfn.BYROW(B50,_xlfn.LAMBDA(_xlpm.party,SUMIFS(ledger!G:G,ledger!B:B,_xlpm.party,ledger!E:E,"&lt;&gt;*RD*",ledger!D:D, "Silky")/1.0936))* M50)</f>
        <v>530958.30285296275</v>
      </c>
      <c r="I50" s="44">
        <f t="shared" si="9"/>
        <v>530958.30285296275</v>
      </c>
      <c r="J50" s="23">
        <f>(SUMIF(Table14[Party],B50,Table14[Credit]))</f>
        <v>0</v>
      </c>
      <c r="K50" s="42">
        <f>I50-J50</f>
        <v>530958.30285296275</v>
      </c>
      <c r="L50" s="22">
        <v>10</v>
      </c>
      <c r="M50" s="22">
        <v>12</v>
      </c>
    </row>
    <row r="51" spans="1:13" x14ac:dyDescent="0.3">
      <c r="B51" s="25" t="str">
        <v>Arshad</v>
      </c>
      <c r="C51" s="23">
        <v>75369</v>
      </c>
      <c r="D51" s="23">
        <v>68918.251645940021</v>
      </c>
      <c r="E51" s="68">
        <v>68918.251645940021</v>
      </c>
      <c r="F51" s="68">
        <v>0</v>
      </c>
      <c r="G51" s="23" cm="1">
        <f t="array" ref="G51">(_xlfn.BYROW(B51,_xlfn.LAMBDA(_xlpm.party,(SUMIFS(ledger!G:G,ledger!B:B,_xlpm.party,ledger!E:E,"&lt;&gt;*RD*",ledger!D:D, "Chamki")+SUMIFS(ledger!G:G, ledger!B:B, _xlpm.party, ledger!E:E, "&lt;&gt;*RD*", ledger!D:D, "Crinkle"))/1.0936))*L51)</f>
        <v>689182.51645940018</v>
      </c>
      <c r="H51" s="23" cm="1">
        <f t="array" ref="H51">(_xlfn.BYROW(B51,_xlfn.LAMBDA(_xlpm.party,SUMIFS(ledger!G:G,ledger!B:B,_xlpm.party,ledger!E:E,"&lt;&gt;*RD*",ledger!D:D, "Silky")/1.0936))* M51)</f>
        <v>0</v>
      </c>
      <c r="I51" s="44">
        <f t="shared" si="9"/>
        <v>689182.51645940018</v>
      </c>
      <c r="J51" s="23">
        <f>(SUMIF(Table14[Party],B51,Table14[Credit]))</f>
        <v>787234</v>
      </c>
      <c r="K51" s="42">
        <f>I51-J51</f>
        <v>-98051.483540599816</v>
      </c>
      <c r="L51" s="22">
        <v>10</v>
      </c>
      <c r="M51" s="22">
        <v>12</v>
      </c>
    </row>
    <row r="52" spans="1:13" x14ac:dyDescent="0.3">
      <c r="B52" s="25" t="str">
        <v>Shehzad Kamoki</v>
      </c>
      <c r="C52" s="23">
        <v>0</v>
      </c>
      <c r="D52" s="23">
        <v>0</v>
      </c>
      <c r="E52" s="68">
        <v>0</v>
      </c>
      <c r="F52" s="68">
        <v>0</v>
      </c>
      <c r="G52" s="23" cm="1">
        <f t="array" ref="G52">(_xlfn.BYROW(B52,_xlfn.LAMBDA(_xlpm.party,(SUMIFS(ledger!G:G,ledger!B:B,_xlpm.party,ledger!E:E,"&lt;&gt;*RD*",ledger!D:D, "Chamki")+SUMIFS(ledger!G:G, ledger!B:B, _xlpm.party, ledger!E:E, "&lt;&gt;*RD*", ledger!D:D, "Crinkle"))/1.0936))*L52)</f>
        <v>0</v>
      </c>
      <c r="H52" s="23" cm="1">
        <f t="array" ref="H52">(_xlfn.BYROW(B52,_xlfn.LAMBDA(_xlpm.party,SUMIFS(ledger!G:G,ledger!B:B,_xlpm.party,ledger!E:E,"&lt;&gt;*RD*",ledger!D:D, "Silky")/1.0936))* M52)</f>
        <v>0</v>
      </c>
      <c r="I52" s="44">
        <f t="shared" si="9"/>
        <v>0</v>
      </c>
      <c r="J52" s="23">
        <f>(SUMIF(Table14[Party],B52,Table14[Credit]))</f>
        <v>0</v>
      </c>
      <c r="K52" s="42">
        <f t="shared" ref="K52:K55" si="10">I52-J52</f>
        <v>0</v>
      </c>
      <c r="L52" s="22">
        <v>10.5</v>
      </c>
      <c r="M52" s="22">
        <v>13</v>
      </c>
    </row>
    <row r="53" spans="1:13" x14ac:dyDescent="0.3">
      <c r="B53" s="25" t="str">
        <v>Sufi Nawaz Sahab</v>
      </c>
      <c r="C53" s="23">
        <v>0</v>
      </c>
      <c r="D53" s="23">
        <v>0</v>
      </c>
      <c r="E53" s="68">
        <v>0</v>
      </c>
      <c r="F53" s="68">
        <v>0</v>
      </c>
      <c r="G53" s="23" cm="1">
        <f t="array" ref="G53">(_xlfn.BYROW(B53,_xlfn.LAMBDA(_xlpm.party,(SUMIFS(ledger!G:G,ledger!B:B,_xlpm.party,ledger!E:E,"&lt;&gt;*RD*",ledger!D:D, "Chamki")+SUMIFS(ledger!G:G, ledger!B:B, _xlpm.party, ledger!E:E, "&lt;&gt;*RD*", ledger!D:D, "Crinkle"))/1.0936))*L53)</f>
        <v>0</v>
      </c>
      <c r="H53" s="23" cm="1">
        <f t="array" ref="H53">(_xlfn.BYROW(B53,_xlfn.LAMBDA(_xlpm.party,SUMIFS(ledger!G:G,ledger!B:B,_xlpm.party,ledger!E:E,"&lt;&gt;*RD*",ledger!D:D, "Silky")/1.0936))* M53)</f>
        <v>0</v>
      </c>
      <c r="I53" s="44">
        <f t="shared" si="9"/>
        <v>0</v>
      </c>
      <c r="J53" s="23">
        <f>(SUMIF(Table14[Party],B53,Table14[Credit]))</f>
        <v>0</v>
      </c>
      <c r="K53" s="42">
        <f t="shared" si="10"/>
        <v>0</v>
      </c>
      <c r="L53" s="22">
        <v>10</v>
      </c>
      <c r="M53" s="22">
        <v>12</v>
      </c>
    </row>
    <row r="54" spans="1:13" x14ac:dyDescent="0.3">
      <c r="B54" s="25" t="str">
        <v>Sajad Khan</v>
      </c>
      <c r="C54" s="23">
        <v>45331</v>
      </c>
      <c r="D54" s="23">
        <v>41451.170446232631</v>
      </c>
      <c r="E54" s="68">
        <v>41451.170446232631</v>
      </c>
      <c r="F54" s="68">
        <v>0</v>
      </c>
      <c r="G54" s="23" cm="1">
        <f t="array" ref="G54">(_xlfn.BYROW(B54,_xlfn.LAMBDA(_xlpm.party,(SUMIFS(ledger!G:G,ledger!B:B,_xlpm.party,ledger!E:E,"&lt;&gt;*RD*",ledger!D:D, "Chamki")+SUMIFS(ledger!G:G, ledger!B:B, _xlpm.party, ledger!E:E, "&lt;&gt;*RD*", ledger!D:D, "Crinkle"))/1.0936))*L54)</f>
        <v>414511.70446232631</v>
      </c>
      <c r="H54" s="23" cm="1">
        <f t="array" ref="H54">(_xlfn.BYROW(B54,_xlfn.LAMBDA(_xlpm.party,SUMIFS(ledger!G:G,ledger!B:B,_xlpm.party,ledger!E:E,"&lt;&gt;*RD*",ledger!D:D, "Silky")/1.0936))* M54)</f>
        <v>0</v>
      </c>
      <c r="I54" s="44">
        <f t="shared" si="9"/>
        <v>414511.70446232631</v>
      </c>
      <c r="J54" s="23">
        <f>(SUMIF(Table14[Party],B54,Table14[Credit]))</f>
        <v>652170</v>
      </c>
      <c r="K54" s="42">
        <f t="shared" si="10"/>
        <v>-237658.29553767369</v>
      </c>
      <c r="L54" s="22">
        <v>10</v>
      </c>
      <c r="M54" s="22">
        <v>12</v>
      </c>
    </row>
    <row r="55" spans="1:13" x14ac:dyDescent="0.3">
      <c r="B55" s="25" t="str">
        <v>Raaz Fabrics</v>
      </c>
      <c r="C55" s="23">
        <v>0</v>
      </c>
      <c r="D55" s="23">
        <v>0</v>
      </c>
      <c r="E55" s="68">
        <v>0</v>
      </c>
      <c r="F55" s="68">
        <v>0</v>
      </c>
      <c r="G55" s="23" cm="1">
        <f t="array" ref="G55">(_xlfn.BYROW(B55,_xlfn.LAMBDA(_xlpm.party,(SUMIFS(ledger!G:G,ledger!B:B,_xlpm.party,ledger!E:E,"&lt;&gt;*RD*",ledger!D:D, "Chamki")+SUMIFS(ledger!G:G, ledger!B:B, _xlpm.party, ledger!E:E, "&lt;&gt;*RD*", ledger!D:D, "Crinkle"))/1.0936))*L55)</f>
        <v>0</v>
      </c>
      <c r="H55" s="23" cm="1">
        <f t="array" ref="H55">(_xlfn.BYROW(B55,_xlfn.LAMBDA(_xlpm.party,SUMIFS(ledger!G:G,ledger!B:B,_xlpm.party,ledger!E:E,"&lt;&gt;*RD*",ledger!D:D, "Silky")/1.0936))* M55)</f>
        <v>0</v>
      </c>
      <c r="I55" s="44">
        <f t="shared" si="9"/>
        <v>0</v>
      </c>
      <c r="J55" s="23">
        <f>(SUMIF(Table14[Party],B55,Table14[Credit]))</f>
        <v>0</v>
      </c>
      <c r="K55" s="42">
        <f t="shared" si="10"/>
        <v>0</v>
      </c>
      <c r="L55" s="22">
        <v>10</v>
      </c>
      <c r="M55" s="22">
        <v>12</v>
      </c>
    </row>
    <row r="56" spans="1:13" x14ac:dyDescent="0.3">
      <c r="B56" s="25" t="str">
        <v>Azam</v>
      </c>
      <c r="C56" s="23">
        <v>0</v>
      </c>
      <c r="D56" s="23">
        <v>0</v>
      </c>
      <c r="E56" s="68">
        <v>0</v>
      </c>
      <c r="F56" s="68">
        <v>0</v>
      </c>
      <c r="G56" s="23" cm="1">
        <f t="array" ref="G56">(_xlfn.BYROW(B56,_xlfn.LAMBDA(_xlpm.party,(SUMIFS(ledger!G:G,ledger!B:B,_xlpm.party,ledger!E:E,"&lt;&gt;*RD*",ledger!D:D, "Chamki")+SUMIFS(ledger!G:G, ledger!B:B, _xlpm.party, ledger!E:E, "&lt;&gt;*RD*", ledger!D:D, "Crinkle"))/1.0936))*L56)</f>
        <v>0</v>
      </c>
      <c r="H56" s="23" cm="1">
        <f t="array" ref="H56">(_xlfn.BYROW(B56,_xlfn.LAMBDA(_xlpm.party,SUMIFS(ledger!G:G,ledger!B:B,_xlpm.party,ledger!E:E,"&lt;&gt;*RD*",ledger!D:D, "Silky")/1.0936))* M56)</f>
        <v>0</v>
      </c>
      <c r="I56" s="44">
        <f t="shared" si="9"/>
        <v>0</v>
      </c>
      <c r="J56" s="23">
        <f>(SUMIF(Table14[Party],B56,Table14[Credit]))</f>
        <v>0</v>
      </c>
      <c r="K56" s="42">
        <f t="shared" ref="K56:K69" si="11">I56-J56</f>
        <v>0</v>
      </c>
      <c r="L56" s="22">
        <v>10</v>
      </c>
      <c r="M56" s="22">
        <v>12</v>
      </c>
    </row>
    <row r="57" spans="1:13" x14ac:dyDescent="0.3">
      <c r="B57" s="25" t="str">
        <v>Ubaidullah</v>
      </c>
      <c r="C57" s="23">
        <v>0</v>
      </c>
      <c r="D57" s="23">
        <v>0</v>
      </c>
      <c r="E57" s="68">
        <v>0</v>
      </c>
      <c r="F57" s="68">
        <v>0</v>
      </c>
      <c r="G57" s="23" cm="1">
        <f t="array" ref="G57">(_xlfn.BYROW(B57,_xlfn.LAMBDA(_xlpm.party,(SUMIFS(ledger!G:G,ledger!B:B,_xlpm.party,ledger!E:E,"&lt;&gt;*RD*",ledger!D:D, "Chamki")+SUMIFS(ledger!G:G, ledger!B:B, _xlpm.party, ledger!E:E, "&lt;&gt;*RD*", ledger!D:D, "Crinkle"))/1.0936))*L57)</f>
        <v>0</v>
      </c>
      <c r="H57" s="23" cm="1">
        <f t="array" ref="H57">(_xlfn.BYROW(B57,_xlfn.LAMBDA(_xlpm.party,SUMIFS(ledger!G:G,ledger!B:B,_xlpm.party,ledger!E:E,"&lt;&gt;*RD*",ledger!D:D, "Silky")/1.0936))* M57)</f>
        <v>0</v>
      </c>
      <c r="I57" s="44">
        <f t="shared" si="9"/>
        <v>0</v>
      </c>
      <c r="J57" s="23">
        <f>SUMIF(Table14[Party], B57, Table14[Credit])</f>
        <v>0</v>
      </c>
      <c r="K57" s="42">
        <f t="shared" si="11"/>
        <v>0</v>
      </c>
      <c r="L57" s="22">
        <v>10</v>
      </c>
      <c r="M57" s="22">
        <v>12</v>
      </c>
    </row>
    <row r="58" spans="1:13" x14ac:dyDescent="0.3">
      <c r="B58" s="25" t="str">
        <v>Ashraf Zia</v>
      </c>
      <c r="C58" s="23">
        <v>0</v>
      </c>
      <c r="D58" s="23">
        <v>0</v>
      </c>
      <c r="E58" s="68">
        <v>0</v>
      </c>
      <c r="F58" s="68">
        <v>0</v>
      </c>
      <c r="G58" s="23" cm="1">
        <f t="array" ref="G58">(_xlfn.BYROW(B58,_xlfn.LAMBDA(_xlpm.party,(SUMIFS(ledger!G:G,ledger!B:B,_xlpm.party,ledger!E:E,"&lt;&gt;*RD*",ledger!D:D, "Chamki")+SUMIFS(ledger!G:G, ledger!B:B, _xlpm.party, ledger!E:E, "&lt;&gt;*RD*", ledger!D:D, "Crinkle"))/1.0936))*L58)</f>
        <v>0</v>
      </c>
      <c r="H58" s="23" cm="1">
        <f t="array" ref="H58">(_xlfn.BYROW(B58,_xlfn.LAMBDA(_xlpm.party,SUMIFS(ledger!G:G,ledger!B:B,_xlpm.party,ledger!E:E,"&lt;&gt;*RD*",ledger!D:D, "Silky")/1.0936))* M58)</f>
        <v>0</v>
      </c>
      <c r="I58" s="44">
        <f t="shared" ref="I58:I60" si="12">G58+H58</f>
        <v>0</v>
      </c>
      <c r="J58" s="23">
        <f>SUMIF(Table14[Party], B58, Table14[Credit])</f>
        <v>0</v>
      </c>
      <c r="K58" s="42">
        <f t="shared" si="11"/>
        <v>0</v>
      </c>
      <c r="L58" s="22">
        <v>12</v>
      </c>
      <c r="M58" s="22">
        <v>12</v>
      </c>
    </row>
    <row r="59" spans="1:13" x14ac:dyDescent="0.3">
      <c r="B59" s="25" t="str">
        <v>Hafiz Qureshi</v>
      </c>
      <c r="C59" s="23">
        <v>0</v>
      </c>
      <c r="D59" s="23">
        <v>0</v>
      </c>
      <c r="E59" s="68">
        <v>0</v>
      </c>
      <c r="F59" s="68">
        <v>0</v>
      </c>
      <c r="G59" s="23" cm="1">
        <f t="array" ref="G59">(_xlfn.BYROW(B59,_xlfn.LAMBDA(_xlpm.party,(SUMIFS(ledger!G:G,ledger!B:B,_xlpm.party,ledger!E:E,"&lt;&gt;*RD*",ledger!D:D, "Chamki")+SUMIFS(ledger!G:G, ledger!B:B, _xlpm.party, ledger!E:E, "&lt;&gt;*RD*", ledger!D:D, "Crinkle"))/1.0936))*L59)</f>
        <v>0</v>
      </c>
      <c r="H59" s="23" cm="1">
        <f t="array" ref="H59">(_xlfn.BYROW(B59,_xlfn.LAMBDA(_xlpm.party,SUMIFS(ledger!G:G,ledger!B:B,_xlpm.party,ledger!E:E,"&lt;&gt;*RD*",ledger!D:D, "Silky")/1.0936))* M59)</f>
        <v>0</v>
      </c>
      <c r="I59" s="44">
        <f t="shared" si="12"/>
        <v>0</v>
      </c>
      <c r="J59" s="23">
        <f>SUMIF(Table14[Party], B59, Table14[Credit])</f>
        <v>0</v>
      </c>
      <c r="K59" s="42">
        <f t="shared" si="11"/>
        <v>0</v>
      </c>
      <c r="L59" s="22">
        <v>10</v>
      </c>
      <c r="M59" s="22">
        <v>12</v>
      </c>
    </row>
    <row r="60" spans="1:13" x14ac:dyDescent="0.3">
      <c r="B60" s="25" t="str">
        <v>Badshah Fabrics</v>
      </c>
      <c r="C60" s="23">
        <v>0</v>
      </c>
      <c r="D60" s="23">
        <v>0</v>
      </c>
      <c r="E60" s="68">
        <v>0</v>
      </c>
      <c r="F60" s="68">
        <v>0</v>
      </c>
      <c r="G60" s="23" cm="1">
        <f t="array" ref="G60">(_xlfn.BYROW(B60,_xlfn.LAMBDA(_xlpm.party,(SUMIFS(ledger!G:G,ledger!B:B,_xlpm.party,ledger!E:E,"&lt;&gt;*RD*",ledger!D:D, "Chamki")+SUMIFS(ledger!G:G, ledger!B:B, _xlpm.party, ledger!E:E, "&lt;&gt;*RD*", ledger!D:D, "Crinkle"))/1.0936))*L60)</f>
        <v>0</v>
      </c>
      <c r="H60" s="23" cm="1">
        <f t="array" ref="H60">(_xlfn.BYROW(B60,_xlfn.LAMBDA(_xlpm.party,SUMIFS(ledger!G:G,ledger!B:B,_xlpm.party,ledger!E:E,"&lt;&gt;*RD*",ledger!D:D, "Silky")/1.0936))* M60)</f>
        <v>0</v>
      </c>
      <c r="I60" s="44">
        <f t="shared" si="12"/>
        <v>0</v>
      </c>
      <c r="J60" s="23">
        <f>SUMIF(Table14[Party], B60, Table14[Credit])</f>
        <v>0</v>
      </c>
      <c r="K60" s="42">
        <f t="shared" si="11"/>
        <v>0</v>
      </c>
      <c r="L60" s="22">
        <v>10</v>
      </c>
      <c r="M60" s="22">
        <v>12</v>
      </c>
    </row>
    <row r="61" spans="1:13" x14ac:dyDescent="0.3">
      <c r="B61" s="25" t="str">
        <v>Reject</v>
      </c>
      <c r="C61" s="23">
        <v>0</v>
      </c>
      <c r="D61" s="23">
        <v>0</v>
      </c>
      <c r="E61" s="68">
        <v>0</v>
      </c>
      <c r="F61" s="68">
        <v>0</v>
      </c>
      <c r="G61" s="23" cm="1">
        <f t="array" ref="G61">(_xlfn.BYROW(B61,_xlfn.LAMBDA(_xlpm.party,(SUMIFS(ledger!G:G,ledger!B:B,_xlpm.party,ledger!E:E,"&lt;&gt;*RD*",ledger!D:D, "Chamki")+SUMIFS(ledger!G:G, ledger!B:B, _xlpm.party, ledger!E:E, "&lt;&gt;*RD*", ledger!D:D, "Crinkle"))/1.0936))*L61)</f>
        <v>0</v>
      </c>
      <c r="H61" s="23" cm="1">
        <f t="array" ref="H61">(_xlfn.BYROW(B61,_xlfn.LAMBDA(_xlpm.party,SUMIFS(ledger!G:G,ledger!B:B,_xlpm.party,ledger!E:E,"&lt;&gt;*RD*",ledger!D:D, "Silky")/1.0936))* M61)</f>
        <v>0</v>
      </c>
      <c r="I61" s="44">
        <f t="shared" ref="I61:I69" si="13">G61+H61</f>
        <v>0</v>
      </c>
      <c r="J61" s="23">
        <f>SUMIF(Table14[Party], B61, Table14[Credit])</f>
        <v>0</v>
      </c>
      <c r="K61" s="42">
        <f t="shared" si="11"/>
        <v>0</v>
      </c>
      <c r="L61" s="22">
        <v>10</v>
      </c>
      <c r="M61" s="22">
        <v>12</v>
      </c>
    </row>
    <row r="62" spans="1:13" x14ac:dyDescent="0.3">
      <c r="B62" t="str">
        <v>Amjad 7up</v>
      </c>
      <c r="C62" s="23">
        <v>0</v>
      </c>
      <c r="D62" s="23">
        <v>0</v>
      </c>
      <c r="E62" s="68">
        <v>0</v>
      </c>
      <c r="F62" s="68">
        <v>0</v>
      </c>
      <c r="G62" s="23" cm="1">
        <f t="array" ref="G62">(_xlfn.BYROW(B62,_xlfn.LAMBDA(_xlpm.party,(SUMIFS(ledger!G:G,ledger!B:B,_xlpm.party,ledger!E:E,"&lt;&gt;*RD*",ledger!D:D, "Chamki")+SUMIFS(ledger!G:G, ledger!B:B, _xlpm.party, ledger!E:E, "&lt;&gt;*RD*", ledger!D:D, "Crinkle"))/1.0936))*L62)</f>
        <v>0</v>
      </c>
      <c r="H62" s="23" cm="1">
        <f t="array" ref="H62">(_xlfn.BYROW(B62,_xlfn.LAMBDA(_xlpm.party,SUMIFS(ledger!G:G,ledger!B:B,_xlpm.party,ledger!E:E,"&lt;&gt;*RD*",ledger!D:D, "Silky")/1.0936))* M62)</f>
        <v>0</v>
      </c>
      <c r="I62" s="44">
        <f t="shared" si="13"/>
        <v>0</v>
      </c>
      <c r="J62" s="23">
        <f>SUMIF(Table14[Party], B62, Table14[Credit])</f>
        <v>0</v>
      </c>
      <c r="K62" s="42">
        <f t="shared" si="11"/>
        <v>0</v>
      </c>
      <c r="L62" s="22">
        <v>10</v>
      </c>
      <c r="M62" s="22">
        <v>12</v>
      </c>
    </row>
    <row r="63" spans="1:13" x14ac:dyDescent="0.3">
      <c r="B63" t="str">
        <v>Hazrat Khan</v>
      </c>
      <c r="C63" s="23">
        <v>0</v>
      </c>
      <c r="D63" s="23">
        <v>0</v>
      </c>
      <c r="E63" s="68">
        <v>0</v>
      </c>
      <c r="F63" s="68">
        <v>0</v>
      </c>
      <c r="G63" s="23" cm="1">
        <f t="array" ref="G63">(_xlfn.BYROW(B63,_xlfn.LAMBDA(_xlpm.party,(SUMIFS(ledger!G:G,ledger!B:B,_xlpm.party,ledger!E:E,"&lt;&gt;*RD*",ledger!D:D, "Chamki")+SUMIFS(ledger!G:G, ledger!B:B, _xlpm.party, ledger!E:E, "&lt;&gt;*RD*", ledger!D:D, "Crinkle"))/1.0936))*L63)</f>
        <v>0</v>
      </c>
      <c r="H63" s="23" cm="1">
        <f t="array" ref="H63">(_xlfn.BYROW(B63,_xlfn.LAMBDA(_xlpm.party,SUMIFS(ledger!G:G,ledger!B:B,_xlpm.party,ledger!E:E,"&lt;&gt;*RD*",ledger!D:D, "Silky")/1.0936))* M63)</f>
        <v>0</v>
      </c>
      <c r="I63" s="44">
        <f t="shared" si="13"/>
        <v>0</v>
      </c>
      <c r="J63" s="23">
        <f>SUMIF(Table14[Party], B63, Table14[Credit])</f>
        <v>0</v>
      </c>
      <c r="K63" s="42">
        <f t="shared" si="11"/>
        <v>0</v>
      </c>
      <c r="L63" s="22">
        <v>10</v>
      </c>
      <c r="M63" s="22">
        <v>12</v>
      </c>
    </row>
    <row r="64" spans="1:13" x14ac:dyDescent="0.3">
      <c r="B64" t="str">
        <v>Haseeb Shamsi</v>
      </c>
      <c r="C64" s="23">
        <v>0</v>
      </c>
      <c r="D64" s="23">
        <v>0</v>
      </c>
      <c r="E64" s="68">
        <v>0</v>
      </c>
      <c r="F64" s="68">
        <v>0</v>
      </c>
      <c r="G64" s="23" cm="1">
        <f t="array" ref="G64">(_xlfn.BYROW(B81,_xlfn.LAMBDA(_xlpm.party,(SUMIFS(ledger!G:G,ledger!B:B,_xlpm.party,ledger!E:E,"&lt;&gt;*RD*",ledger!D:D, "Chamki")+SUMIFS(ledger!G:G, ledger!B:B, _xlpm.party, ledger!E:E, "&lt;&gt;*RD*", ledger!D:D, "Crinkle"))/1.0936))*L64)</f>
        <v>0</v>
      </c>
      <c r="H64" s="23" cm="1">
        <f t="array" ref="H64">(_xlfn.BYROW(B81,_xlfn.LAMBDA(_xlpm.party,SUMIFS(ledger!G:G,ledger!B:B,_xlpm.party,ledger!E:E,"&lt;&gt;*RD*",ledger!D:D, "Silky")/1.0936))* M64)</f>
        <v>0</v>
      </c>
      <c r="I64" s="44">
        <f t="shared" si="13"/>
        <v>0</v>
      </c>
      <c r="J64" s="23">
        <f>SUMIF(Table14[Party], B81, Table14[Credit])</f>
        <v>0</v>
      </c>
      <c r="K64" s="42">
        <f t="shared" si="11"/>
        <v>0</v>
      </c>
      <c r="L64" s="22">
        <v>10</v>
      </c>
      <c r="M64" s="22">
        <v>12</v>
      </c>
    </row>
    <row r="65" spans="2:13" x14ac:dyDescent="0.3">
      <c r="B65" t="str">
        <v>Faizan</v>
      </c>
      <c r="C65" s="23">
        <v>34960</v>
      </c>
      <c r="D65" s="23">
        <v>31967.812728602781</v>
      </c>
      <c r="E65" s="68">
        <v>0</v>
      </c>
      <c r="F65" s="68">
        <v>31967.812728602781</v>
      </c>
      <c r="G65" s="23" cm="1">
        <f t="array" ref="G65">(_xlfn.BYROW(B65,_xlfn.LAMBDA(_xlpm.party,(SUMIFS(ledger!G:G,ledger!B:B,_xlpm.party,ledger!E:E,"&lt;&gt;*RD*",ledger!D:D, "Chamki")+SUMIFS(ledger!G:G, ledger!B:B, _xlpm.party, ledger!E:E, "&lt;&gt;*RD*", ledger!D:D, "Crinkle"))/1.0936))*L65)</f>
        <v>0</v>
      </c>
      <c r="H65" s="23" cm="1">
        <f t="array" ref="H65">(_xlfn.BYROW(B65,_xlfn.LAMBDA(_xlpm.party,SUMIFS(ledger!G:G,ledger!B:B,_xlpm.party,ledger!E:E,"&lt;&gt;*RD*",ledger!D:D, "Silky")/1.0936))* M65)</f>
        <v>415581.56547183613</v>
      </c>
      <c r="I65" s="44">
        <f t="shared" si="13"/>
        <v>415581.56547183613</v>
      </c>
      <c r="J65" s="23">
        <f>SUMIF(Table14[Party], B65, Table14[Credit])</f>
        <v>415571</v>
      </c>
      <c r="K65" s="42">
        <f t="shared" si="11"/>
        <v>10.565471836132929</v>
      </c>
      <c r="L65" s="22">
        <v>10</v>
      </c>
      <c r="M65" s="22">
        <v>13</v>
      </c>
    </row>
    <row r="66" spans="2:13" x14ac:dyDescent="0.3">
      <c r="B66" t="str">
        <v>Shafique Ansari</v>
      </c>
      <c r="C66" s="23">
        <v>8274</v>
      </c>
      <c r="D66" s="23">
        <v>7565.8376005852242</v>
      </c>
      <c r="E66" s="68">
        <v>0</v>
      </c>
      <c r="F66" s="68">
        <v>7565.8376005852242</v>
      </c>
      <c r="G66" s="23" cm="1">
        <f t="array" ref="G66">(_xlfn.BYROW(B66,_xlfn.LAMBDA(_xlpm.party,(SUMIFS(ledger!G:G,ledger!B:B,_xlpm.party,ledger!E:E,"&lt;&gt;*RD*",ledger!D:D, "Chamki")+SUMIFS(ledger!G:G, ledger!B:B, _xlpm.party, ledger!E:E, "&lt;&gt;*RD*", ledger!D:D, "Crinkle"))/1.0936))*L66)</f>
        <v>0</v>
      </c>
      <c r="H66" s="23" cm="1">
        <f t="array" ref="H66">(_xlfn.BYROW(B66,_xlfn.LAMBDA(_xlpm.party,SUMIFS(ledger!G:G,ledger!B:B,_xlpm.party,ledger!E:E,"&lt;&gt;*RD*",ledger!D:D, "Silky")/1.0936))* M66)</f>
        <v>90790.051207022683</v>
      </c>
      <c r="I66" s="44">
        <f t="shared" si="13"/>
        <v>90790.051207022683</v>
      </c>
      <c r="J66" s="23">
        <f>SUMIF(Table14[Party], B66, Table14[Credit])</f>
        <v>0</v>
      </c>
      <c r="K66" s="42">
        <f t="shared" si="11"/>
        <v>90790.051207022683</v>
      </c>
      <c r="L66" s="22">
        <v>10</v>
      </c>
      <c r="M66" s="22">
        <v>12</v>
      </c>
    </row>
    <row r="67" spans="2:13" x14ac:dyDescent="0.3">
      <c r="B67" t="str">
        <v>Amjad sohail</v>
      </c>
      <c r="C67" s="23">
        <v>1662</v>
      </c>
      <c r="D67" s="23">
        <v>1519.751280175567</v>
      </c>
      <c r="E67" s="68">
        <v>0</v>
      </c>
      <c r="F67" s="68">
        <v>1519.751280175567</v>
      </c>
      <c r="G67" s="23" cm="1">
        <f t="array" ref="G67">(_xlfn.BYROW(B67,_xlfn.LAMBDA(_xlpm.party,(SUMIFS(ledger!G:G,ledger!B:B,_xlpm.party,ledger!E:E,"&lt;&gt;*RD*",ledger!D:D, "Chamki")+SUMIFS(ledger!G:G, ledger!B:B, _xlpm.party, ledger!E:E, "&lt;&gt;*RD*", ledger!D:D, "Crinkle"))/1.0936))*L67)</f>
        <v>0</v>
      </c>
      <c r="H67" s="23" cm="1">
        <f t="array" ref="H67">(_xlfn.BYROW(B67,_xlfn.LAMBDA(_xlpm.party,SUMIFS(ledger!G:G,ledger!B:B,_xlpm.party,ledger!E:E,"&lt;&gt;*RD*",ledger!D:D, "Silky")/1.0936))* M67)</f>
        <v>18237.015362106802</v>
      </c>
      <c r="I67" s="44">
        <f t="shared" si="13"/>
        <v>18237.015362106802</v>
      </c>
      <c r="J67" s="23">
        <f>SUMIF(Table14[Party], B67, Table14[Credit])</f>
        <v>0</v>
      </c>
      <c r="K67" s="42">
        <f t="shared" si="11"/>
        <v>18237.015362106802</v>
      </c>
      <c r="L67" s="22">
        <v>10</v>
      </c>
      <c r="M67" s="22">
        <v>12</v>
      </c>
    </row>
    <row r="68" spans="2:13" x14ac:dyDescent="0.3">
      <c r="C68" s="23"/>
      <c r="D68" s="23"/>
      <c r="E68" s="68"/>
      <c r="F68" s="68"/>
      <c r="G68" s="23" cm="1">
        <f t="array" ref="G68">(_xlfn.BYROW(B68,_xlfn.LAMBDA(_xlpm.party,(SUMIFS(ledger!G:G,ledger!B:B,_xlpm.party,ledger!E:E,"&lt;&gt;*RD*",ledger!D:D, "Chamki")+SUMIFS(ledger!G:G, ledger!B:B, _xlpm.party, ledger!E:E, "&lt;&gt;*RD*", ledger!D:D, "Crinkle"))/1.0936))*L68)</f>
        <v>0</v>
      </c>
      <c r="H68" s="23" cm="1">
        <f t="array" ref="H68">(_xlfn.BYROW(B68,_xlfn.LAMBDA(_xlpm.party,SUMIFS(ledger!G:G,ledger!B:B,_xlpm.party,ledger!E:E,"&lt;&gt;*RD*",ledger!D:D, "Silky")/1.0936))* M68)</f>
        <v>0</v>
      </c>
      <c r="I68" s="44">
        <f t="shared" si="13"/>
        <v>0</v>
      </c>
      <c r="J68" s="23">
        <f>SUMIF(Table14[Party], B68, Table14[Credit])</f>
        <v>0</v>
      </c>
      <c r="K68" s="42">
        <f t="shared" si="11"/>
        <v>0</v>
      </c>
      <c r="L68" s="22">
        <v>10</v>
      </c>
      <c r="M68" s="22">
        <v>12</v>
      </c>
    </row>
    <row r="69" spans="2:13" x14ac:dyDescent="0.3">
      <c r="C69" s="23"/>
      <c r="D69" s="23"/>
      <c r="E69" s="68"/>
      <c r="F69" s="22"/>
      <c r="G69" s="23" cm="1">
        <f t="array" ref="G69">(_xlfn.BYROW(B69,_xlfn.LAMBDA(_xlpm.party,(SUMIFS(ledger!G:G,ledger!B:B,_xlpm.party,ledger!E:E,"&lt;&gt;*RD*",ledger!D:D, "Chamki")+SUMIFS(ledger!G:G, ledger!B:B, _xlpm.party, ledger!E:E, "&lt;&gt;*RD*", ledger!D:D, "Crinkle"))/1.0936))*L69)</f>
        <v>0</v>
      </c>
      <c r="H69" s="23" cm="1">
        <f t="array" ref="H69">(_xlfn.BYROW(B69,_xlfn.LAMBDA(_xlpm.party,SUMIFS(ledger!G:G,ledger!B:B,_xlpm.party,ledger!E:E,"&lt;&gt;*RD*",ledger!D:D, "Silky")/1.0936))* M69)</f>
        <v>0</v>
      </c>
      <c r="I69" s="44">
        <f t="shared" si="13"/>
        <v>0</v>
      </c>
      <c r="J69" s="23">
        <f>SUMIF(Table14[Party], B69, Table14[Credit])</f>
        <v>0</v>
      </c>
      <c r="K69" s="42">
        <f t="shared" si="11"/>
        <v>0</v>
      </c>
      <c r="L69" s="22">
        <v>10</v>
      </c>
      <c r="M69" s="22">
        <v>12</v>
      </c>
    </row>
    <row r="81" spans="2:13" x14ac:dyDescent="0.3">
      <c r="B81" t="s">
        <v>157</v>
      </c>
    </row>
    <row r="83" spans="2:13" x14ac:dyDescent="0.3">
      <c r="B83" t="s">
        <v>33</v>
      </c>
      <c r="C83" s="24" t="s">
        <v>10</v>
      </c>
      <c r="D83" s="24" t="s">
        <v>11</v>
      </c>
      <c r="E83" s="24" t="s">
        <v>12</v>
      </c>
      <c r="F83" s="24" t="s">
        <v>13</v>
      </c>
      <c r="G83" s="24" t="s">
        <v>14</v>
      </c>
      <c r="H83" s="24" t="s">
        <v>15</v>
      </c>
      <c r="I83" s="24" t="s">
        <v>16</v>
      </c>
      <c r="J83" s="24" t="s">
        <v>17</v>
      </c>
      <c r="K83" s="24" t="s">
        <v>18</v>
      </c>
      <c r="L83" s="24" t="s">
        <v>19</v>
      </c>
      <c r="M83" s="24" t="s">
        <v>20</v>
      </c>
    </row>
    <row r="84" spans="2:13" x14ac:dyDescent="0.3">
      <c r="B84" s="25" t="str" cm="1">
        <f t="array" ref="B84:B102">_xlfn.UNIQUE(Table1[Party Name])</f>
        <v>BSC</v>
      </c>
      <c r="C84" s="23">
        <f>_xlfn.XLOOKUP($B49,[1]Billing!$O$5:$O$29,[1]Billing!$P$5:$P$29)</f>
        <v>1665929</v>
      </c>
      <c r="D84" s="23">
        <f>_xlfn.XLOOKUP($B49,[1]Billing!$O$5:$O$29,[1]Billing!$Q$5:$Q$29)</f>
        <v>1523344.0014630579</v>
      </c>
      <c r="E84" s="23">
        <f>_xlfn.XLOOKUP($B49,[1]Billing!$O$5:$O$29,[1]Billing!$R$5:$R$29)</f>
        <v>1493155.6327724946</v>
      </c>
      <c r="F84" s="23">
        <f>_xlfn.XLOOKUP($B49,[1]Billing!$O$5:$O$29,[1]Billing!$S$5:$S$29)</f>
        <v>30188.368690563279</v>
      </c>
      <c r="G84" s="23">
        <f>_xlfn.XLOOKUP($B49,[1]Billing!$O$5:$O$29,[1]Billing!$T$5:$T$29)</f>
        <v>14931556.327724949</v>
      </c>
      <c r="H84" s="23">
        <f>_xlfn.XLOOKUP($B49,[1]Billing!$O$5:$O$29,[1]Billing!$U$5:$U$29)</f>
        <v>362260.42428675934</v>
      </c>
      <c r="I84" s="44">
        <f t="shared" ref="I84:I99" si="14">G84+H84</f>
        <v>15293816.752011707</v>
      </c>
      <c r="J84" s="23">
        <f>_xlfn.XLOOKUP($B49,[1]Billing!$O$5:$O$29,[1]Billing!$W$5:$W$29)</f>
        <v>12854653</v>
      </c>
      <c r="K84" s="42">
        <f>I84-J84</f>
        <v>2439163.7520117071</v>
      </c>
      <c r="L84" s="22">
        <v>10</v>
      </c>
      <c r="M84" s="22">
        <v>12</v>
      </c>
    </row>
    <row r="85" spans="2:13" x14ac:dyDescent="0.3">
      <c r="B85" s="25" t="str">
        <v>Ejaz Sahab</v>
      </c>
      <c r="C85" s="23">
        <f>_xlfn.XLOOKUP($B50,[1]Billing!$O$5:$O$29,[1]Billing!$P$5:$P$29)</f>
        <v>159072</v>
      </c>
      <c r="D85" s="23">
        <f>_xlfn.XLOOKUP($B50,[1]Billing!$O$5:$O$29,[1]Billing!$Q$5:$Q$29)</f>
        <v>145457.20555961962</v>
      </c>
      <c r="E85" s="23">
        <f>_xlfn.XLOOKUP($B50,[1]Billing!$O$5:$O$29,[1]Billing!$R$5:$R$29)</f>
        <v>130559.6196049744</v>
      </c>
      <c r="F85" s="23">
        <f>_xlfn.XLOOKUP($B50,[1]Billing!$O$5:$O$29,[1]Billing!$S$5:$S$29)</f>
        <v>14897.58595464521</v>
      </c>
      <c r="G85" s="23">
        <f>_xlfn.XLOOKUP($B50,[1]Billing!$O$5:$O$29,[1]Billing!$T$5:$T$29)</f>
        <v>1305596.196049744</v>
      </c>
      <c r="H85" s="23">
        <f>_xlfn.XLOOKUP($B50,[1]Billing!$O$5:$O$29,[1]Billing!$U$5:$U$29)</f>
        <v>178771.03145574252</v>
      </c>
      <c r="I85" s="44">
        <f t="shared" si="14"/>
        <v>1484367.2275054865</v>
      </c>
      <c r="J85" s="23">
        <f>_xlfn.XLOOKUP($B50,[1]Billing!$O$5:$O$29,[1]Billing!$W$5:$W$29)</f>
        <v>859904</v>
      </c>
      <c r="K85" s="42">
        <f>I85-J85</f>
        <v>624463.22750548646</v>
      </c>
      <c r="L85" s="22">
        <v>10</v>
      </c>
      <c r="M85" s="22">
        <v>12</v>
      </c>
    </row>
    <row r="86" spans="2:13" x14ac:dyDescent="0.3">
      <c r="B86" s="25" t="str">
        <v>Arshad</v>
      </c>
      <c r="C86" s="23">
        <f>_xlfn.XLOOKUP($B51,[1]Billing!$O$5:$O$29,[1]Billing!$P$5:$P$29)</f>
        <v>259748</v>
      </c>
      <c r="D86" s="23">
        <f>_xlfn.XLOOKUP($B51,[1]Billing!$O$5:$O$29,[1]Billing!$Q$5:$Q$29)</f>
        <v>237516.45940014633</v>
      </c>
      <c r="E86" s="23">
        <f>_xlfn.XLOOKUP($B51,[1]Billing!$O$5:$O$29,[1]Billing!$R$5:$R$29)</f>
        <v>222722.20190197515</v>
      </c>
      <c r="F86" s="23">
        <f>_xlfn.XLOOKUP($B51,[1]Billing!$O$5:$O$29,[1]Billing!$S$5:$S$29)</f>
        <v>14794.257498171179</v>
      </c>
      <c r="G86" s="23">
        <f>_xlfn.XLOOKUP($B51,[1]Billing!$O$5:$O$29,[1]Billing!$T$5:$T$29)</f>
        <v>2227222.0190197513</v>
      </c>
      <c r="H86" s="23">
        <f>_xlfn.XLOOKUP($B51,[1]Billing!$O$5:$O$29,[1]Billing!$U$5:$U$29)</f>
        <v>177531.08997805414</v>
      </c>
      <c r="I86" s="44">
        <f t="shared" si="14"/>
        <v>2404753.1089978055</v>
      </c>
      <c r="J86" s="23">
        <f>_xlfn.XLOOKUP($B51,[1]Billing!$O$5:$O$29,[1]Billing!$W$5:$W$29)</f>
        <v>2306701</v>
      </c>
      <c r="K86" s="42">
        <f>I86-J86</f>
        <v>98052.10899780551</v>
      </c>
      <c r="L86" s="22">
        <v>10</v>
      </c>
      <c r="M86" s="22">
        <v>12</v>
      </c>
    </row>
    <row r="87" spans="2:13" x14ac:dyDescent="0.3">
      <c r="B87" s="25" t="str">
        <v>Shehzad Kamoki</v>
      </c>
      <c r="C87" s="23">
        <f>_xlfn.XLOOKUP($B52,[1]Billing!$O$5:$O$29,[1]Billing!$P$5:$P$29)</f>
        <v>134607</v>
      </c>
      <c r="D87" s="23">
        <f>_xlfn.XLOOKUP($B52,[1]Billing!$O$5:$O$29,[1]Billing!$Q$5:$Q$29)</f>
        <v>123086.13752743235</v>
      </c>
      <c r="E87" s="23">
        <f>_xlfn.XLOOKUP($B52,[1]Billing!$O$5:$O$29,[1]Billing!$R$5:$R$29)</f>
        <v>123086.13752743235</v>
      </c>
      <c r="F87" s="23">
        <f>_xlfn.XLOOKUP($B52,[1]Billing!$O$5:$O$29,[1]Billing!$S$5:$S$29)</f>
        <v>0</v>
      </c>
      <c r="G87" s="23">
        <f>_xlfn.XLOOKUP($B52,[1]Billing!$O$5:$O$29,[1]Billing!$T$5:$T$29)</f>
        <v>1269270.3440380397</v>
      </c>
      <c r="H87" s="23">
        <f>_xlfn.XLOOKUP($B52,[1]Billing!$O$5:$O$29,[1]Billing!$U$5:$U$29)</f>
        <v>0</v>
      </c>
      <c r="I87" s="44">
        <f t="shared" si="14"/>
        <v>1269270.3440380397</v>
      </c>
      <c r="J87" s="23">
        <f>_xlfn.XLOOKUP($B52,[1]Billing!$O$5:$O$29,[1]Billing!$W$5:$W$29)</f>
        <v>1268740</v>
      </c>
      <c r="K87" s="42">
        <f t="shared" ref="K87:K99" si="15">I87-J87</f>
        <v>530.34403803967871</v>
      </c>
      <c r="L87" s="22">
        <v>10.5</v>
      </c>
      <c r="M87" s="22">
        <v>13</v>
      </c>
    </row>
    <row r="88" spans="2:13" x14ac:dyDescent="0.3">
      <c r="B88" s="25" t="str">
        <v>Sufi Nawaz Sahab</v>
      </c>
      <c r="C88" s="23">
        <f>_xlfn.XLOOKUP($B53,[1]Billing!$O$5:$O$29,[1]Billing!$P$5:$P$29)</f>
        <v>1186725</v>
      </c>
      <c r="D88" s="23">
        <f>_xlfn.XLOOKUP($B53,[1]Billing!$O$5:$O$29,[1]Billing!$Q$5:$Q$29)</f>
        <v>1085154.5354791514</v>
      </c>
      <c r="E88" s="23">
        <f>_xlfn.XLOOKUP($B53,[1]Billing!$O$5:$O$29,[1]Billing!$R$5:$R$29)</f>
        <v>599330.65106071695</v>
      </c>
      <c r="F88" s="23">
        <f>_xlfn.XLOOKUP($B53,[1]Billing!$O$5:$O$29,[1]Billing!$S$5:$S$29)</f>
        <v>485823.88441843458</v>
      </c>
      <c r="G88" s="23">
        <f>_xlfn.XLOOKUP($B53,[1]Billing!$O$5:$O$29,[1]Billing!$T$5:$T$29)</f>
        <v>5393975.8595464528</v>
      </c>
      <c r="H88" s="23">
        <f>_xlfn.XLOOKUP($B53,[1]Billing!$O$5:$O$29,[1]Billing!$U$5:$U$29)</f>
        <v>5829886.6130212145</v>
      </c>
      <c r="I88" s="44">
        <f t="shared" si="14"/>
        <v>11223862.472567666</v>
      </c>
      <c r="J88" s="23">
        <f>_xlfn.XLOOKUP($B53,[1]Billing!$O$5:$O$29,[1]Billing!$W$5:$W$29)</f>
        <v>8629100</v>
      </c>
      <c r="K88" s="42">
        <f t="shared" si="15"/>
        <v>2594762.4725676663</v>
      </c>
      <c r="L88" s="22">
        <v>10</v>
      </c>
      <c r="M88" s="22">
        <v>12</v>
      </c>
    </row>
    <row r="89" spans="2:13" x14ac:dyDescent="0.3">
      <c r="B89" s="25" t="str">
        <v>Sajad Khan</v>
      </c>
      <c r="C89" s="23">
        <f>_xlfn.XLOOKUP($B54,[1]Billing!$O$5:$O$29,[1]Billing!$P$5:$P$29)</f>
        <v>481660</v>
      </c>
      <c r="D89" s="23">
        <f>_xlfn.XLOOKUP($B54,[1]Billing!$O$5:$O$29,[1]Billing!$Q$5:$Q$29)</f>
        <v>440435.25969275786</v>
      </c>
      <c r="E89" s="23">
        <f>_xlfn.XLOOKUP($B54,[1]Billing!$O$5:$O$29,[1]Billing!$R$5:$R$29)</f>
        <v>440435.25969275786</v>
      </c>
      <c r="F89" s="23">
        <f>_xlfn.XLOOKUP($B54,[1]Billing!$O$5:$O$29,[1]Billing!$S$5:$S$29)</f>
        <v>0</v>
      </c>
      <c r="G89" s="23">
        <f>_xlfn.XLOOKUP($B54,[1]Billing!$O$5:$O$29,[1]Billing!$T$5:$T$29)</f>
        <v>4404352.5969275786</v>
      </c>
      <c r="H89" s="23">
        <f>_xlfn.XLOOKUP($B54,[1]Billing!$O$5:$O$29,[1]Billing!$U$5:$U$29)</f>
        <v>0</v>
      </c>
      <c r="I89" s="44">
        <f t="shared" si="14"/>
        <v>4404352.5969275786</v>
      </c>
      <c r="J89" s="23">
        <f>_xlfn.XLOOKUP($B54,[1]Billing!$O$5:$O$29,[1]Billing!$W$5:$W$29)</f>
        <v>3751266</v>
      </c>
      <c r="K89" s="42">
        <f t="shared" si="15"/>
        <v>653086.59692757856</v>
      </c>
      <c r="L89" s="22">
        <v>10</v>
      </c>
      <c r="M89" s="22">
        <v>12</v>
      </c>
    </row>
    <row r="90" spans="2:13" x14ac:dyDescent="0.3">
      <c r="B90" s="25" t="str">
        <v>Raaz Fabrics</v>
      </c>
      <c r="C90" s="23">
        <f>_xlfn.XLOOKUP($B55,[1]Billing!$O$5:$O$29,[1]Billing!$P$5:$P$29)</f>
        <v>75559</v>
      </c>
      <c r="D90" s="23">
        <f>_xlfn.XLOOKUP($B55,[1]Billing!$O$5:$O$29,[1]Billing!$Q$5:$Q$29)</f>
        <v>69091.989758595475</v>
      </c>
      <c r="E90" s="23">
        <f>_xlfn.XLOOKUP($B55,[1]Billing!$O$5:$O$29,[1]Billing!$R$5:$R$29)</f>
        <v>69091.989758595475</v>
      </c>
      <c r="F90" s="23">
        <f>_xlfn.XLOOKUP($B55,[1]Billing!$O$5:$O$29,[1]Billing!$S$5:$S$29)</f>
        <v>0</v>
      </c>
      <c r="G90" s="23">
        <f>_xlfn.XLOOKUP($B55,[1]Billing!$O$5:$O$29,[1]Billing!$T$5:$T$29)</f>
        <v>690919.89758595475</v>
      </c>
      <c r="H90" s="23">
        <f>_xlfn.XLOOKUP($B55,[1]Billing!$O$5:$O$29,[1]Billing!$U$5:$U$29)</f>
        <v>0</v>
      </c>
      <c r="I90" s="44">
        <f t="shared" si="14"/>
        <v>690919.89758595475</v>
      </c>
      <c r="J90" s="23">
        <f>_xlfn.XLOOKUP($B55,[1]Billing!$O$5:$O$29,[1]Billing!$W$5:$W$29)</f>
        <v>600000</v>
      </c>
      <c r="K90" s="42">
        <f t="shared" si="15"/>
        <v>90919.89758595475</v>
      </c>
      <c r="L90" s="22">
        <v>10</v>
      </c>
      <c r="M90" s="22">
        <v>12</v>
      </c>
    </row>
    <row r="91" spans="2:13" x14ac:dyDescent="0.3">
      <c r="B91" s="25" t="str">
        <v>Azam</v>
      </c>
      <c r="C91" s="23">
        <f>_xlfn.XLOOKUP($B56,[1]Billing!$O$5:$O$29,[1]Billing!$P$5:$P$29)</f>
        <v>176954</v>
      </c>
      <c r="D91" s="23">
        <f>_xlfn.XLOOKUP($B56,[1]Billing!$O$5:$O$29,[1]Billing!$Q$5:$Q$29)</f>
        <v>161808.70519385519</v>
      </c>
      <c r="E91" s="23">
        <f>_xlfn.XLOOKUP($B56,[1]Billing!$O$5:$O$29,[1]Billing!$R$5:$R$29)</f>
        <v>161808.70519385519</v>
      </c>
      <c r="F91" s="23">
        <f>_xlfn.XLOOKUP($B56,[1]Billing!$O$5:$O$29,[1]Billing!$S$5:$S$29)</f>
        <v>0</v>
      </c>
      <c r="G91" s="23">
        <f>_xlfn.XLOOKUP($B56,[1]Billing!$O$5:$O$29,[1]Billing!$T$5:$T$29)</f>
        <v>1618087.0519385519</v>
      </c>
      <c r="H91" s="23">
        <f>_xlfn.XLOOKUP($B56,[1]Billing!$O$5:$O$29,[1]Billing!$U$5:$U$29)</f>
        <v>0</v>
      </c>
      <c r="I91" s="44">
        <f t="shared" si="14"/>
        <v>1618087.0519385519</v>
      </c>
      <c r="J91" s="23">
        <f>_xlfn.XLOOKUP($B56,[1]Billing!$O$5:$O$29,[1]Billing!$W$5:$W$29)</f>
        <v>1617620</v>
      </c>
      <c r="K91" s="42">
        <f t="shared" si="15"/>
        <v>467.05193855194375</v>
      </c>
      <c r="L91" s="22">
        <v>10</v>
      </c>
      <c r="M91" s="22">
        <v>12</v>
      </c>
    </row>
    <row r="92" spans="2:13" x14ac:dyDescent="0.3">
      <c r="B92" s="22" t="str">
        <v>Ubaidullah</v>
      </c>
      <c r="C92" s="23">
        <f>_xlfn.XLOOKUP($B57,[1]Billing!$O$5:$O$29,[1]Billing!$P$5:$P$29)</f>
        <v>65752</v>
      </c>
      <c r="D92" s="23">
        <f>_xlfn.XLOOKUP($B57,[1]Billing!$O$5:$O$29,[1]Billing!$Q$5:$Q$29)</f>
        <v>60124.35991221654</v>
      </c>
      <c r="E92" s="23">
        <f>_xlfn.XLOOKUP($B57,[1]Billing!$O$5:$O$29,[1]Billing!$R$5:$R$29)</f>
        <v>45128.931967812736</v>
      </c>
      <c r="F92" s="23">
        <f>_xlfn.XLOOKUP($B57,[1]Billing!$O$5:$O$29,[1]Billing!$S$5:$S$29)</f>
        <v>14995.427944403806</v>
      </c>
      <c r="G92" s="23">
        <f>_xlfn.XLOOKUP($B57,[1]Billing!$O$5:$O$29,[1]Billing!$T$5:$T$29)</f>
        <v>451289.31967812736</v>
      </c>
      <c r="H92" s="23">
        <f>_xlfn.XLOOKUP($B57,[1]Billing!$O$5:$O$29,[1]Billing!$U$5:$U$29)</f>
        <v>179945.13533284568</v>
      </c>
      <c r="I92" s="44">
        <f t="shared" si="14"/>
        <v>631234.45501097303</v>
      </c>
      <c r="J92" s="23">
        <f>_xlfn.XLOOKUP($B57,[1]Billing!$O$5:$O$29,[1]Billing!$W$5:$W$29)</f>
        <v>451150</v>
      </c>
      <c r="K92" s="42">
        <f t="shared" si="15"/>
        <v>180084.45501097303</v>
      </c>
      <c r="L92" s="22">
        <v>10</v>
      </c>
      <c r="M92" s="22">
        <v>12</v>
      </c>
    </row>
    <row r="93" spans="2:13" x14ac:dyDescent="0.3">
      <c r="B93" s="22" t="str">
        <v>Ashraf Zia</v>
      </c>
      <c r="C93" s="23">
        <f>_xlfn.XLOOKUP($B58,[1]Billing!$O$5:$O$29,[1]Billing!$P$5:$P$29)</f>
        <v>23305</v>
      </c>
      <c r="D93" s="23">
        <f>_xlfn.XLOOKUP($B58,[1]Billing!$O$5:$O$29,[1]Billing!$Q$5:$Q$29)</f>
        <v>21310.35113386979</v>
      </c>
      <c r="E93" s="23">
        <f>_xlfn.XLOOKUP($B58,[1]Billing!$O$5:$O$29,[1]Billing!$R$5:$R$29)</f>
        <v>21310.35113386979</v>
      </c>
      <c r="F93" s="23">
        <f>_xlfn.XLOOKUP($B58,[1]Billing!$O$5:$O$29,[1]Billing!$S$5:$S$29)</f>
        <v>0</v>
      </c>
      <c r="G93" s="23">
        <f>_xlfn.XLOOKUP($B58,[1]Billing!$O$5:$O$29,[1]Billing!$T$5:$T$29)</f>
        <v>255724.21360643749</v>
      </c>
      <c r="H93" s="23">
        <f>_xlfn.XLOOKUP($B58,[1]Billing!$O$5:$O$29,[1]Billing!$U$5:$U$29)</f>
        <v>0</v>
      </c>
      <c r="I93" s="44">
        <f t="shared" si="14"/>
        <v>255724.21360643749</v>
      </c>
      <c r="J93" s="23">
        <f>_xlfn.XLOOKUP($B58,[1]Billing!$O$5:$O$29,[1]Billing!$W$5:$W$29)</f>
        <v>0</v>
      </c>
      <c r="K93" s="42">
        <f t="shared" si="15"/>
        <v>255724.21360643749</v>
      </c>
      <c r="L93" s="22">
        <v>12</v>
      </c>
      <c r="M93" s="22">
        <v>12</v>
      </c>
    </row>
    <row r="94" spans="2:13" x14ac:dyDescent="0.3">
      <c r="B94" s="22" t="str">
        <v>Hafiz Qureshi</v>
      </c>
      <c r="C94" s="23">
        <f>_xlfn.XLOOKUP($B59,[1]Billing!$O$5:$O$29,[1]Billing!$P$5:$P$29)</f>
        <v>48871</v>
      </c>
      <c r="D94" s="23">
        <f>_xlfn.XLOOKUP($B59,[1]Billing!$O$5:$O$29,[1]Billing!$Q$5:$Q$29)</f>
        <v>44688.185808339433</v>
      </c>
      <c r="E94" s="23">
        <f>_xlfn.XLOOKUP($B59,[1]Billing!$O$5:$O$29,[1]Billing!$R$5:$R$29)</f>
        <v>44688.185808339433</v>
      </c>
      <c r="F94" s="23">
        <f>_xlfn.XLOOKUP($B59,[1]Billing!$O$5:$O$29,[1]Billing!$S$5:$S$29)</f>
        <v>0</v>
      </c>
      <c r="G94" s="23">
        <f>_xlfn.XLOOKUP($B59,[1]Billing!$O$5:$O$29,[1]Billing!$T$5:$T$29)</f>
        <v>446881.85808339436</v>
      </c>
      <c r="H94" s="23">
        <f>_xlfn.XLOOKUP($B59,[1]Billing!$O$5:$O$29,[1]Billing!$U$5:$U$29)</f>
        <v>0</v>
      </c>
      <c r="I94" s="44">
        <f t="shared" si="14"/>
        <v>446881.85808339436</v>
      </c>
      <c r="J94" s="23">
        <f>_xlfn.XLOOKUP($B59,[1]Billing!$O$5:$O$29,[1]Billing!$W$5:$W$29)</f>
        <v>400000</v>
      </c>
      <c r="K94" s="42">
        <f t="shared" si="15"/>
        <v>46881.858083394356</v>
      </c>
      <c r="L94" s="22">
        <v>10</v>
      </c>
      <c r="M94" s="22">
        <v>12</v>
      </c>
    </row>
    <row r="95" spans="2:13" x14ac:dyDescent="0.3">
      <c r="B95" s="22" t="str">
        <v>Badshah Fabrics</v>
      </c>
      <c r="C95" s="23">
        <f>_xlfn.XLOOKUP($B60,[1]Billing!$O$5:$O$29,[1]Billing!$P$5:$P$29)</f>
        <v>276597</v>
      </c>
      <c r="D95" s="23">
        <f>_xlfn.XLOOKUP($B60,[1]Billing!$O$5:$O$29,[1]Billing!$Q$5:$Q$29)</f>
        <v>252923.37234820778</v>
      </c>
      <c r="E95" s="23">
        <f>_xlfn.XLOOKUP($B60,[1]Billing!$O$5:$O$29,[1]Billing!$R$5:$R$29)</f>
        <v>189768.65398683251</v>
      </c>
      <c r="F95" s="23">
        <f>_xlfn.XLOOKUP($B60,[1]Billing!$O$5:$O$29,[1]Billing!$S$5:$S$29)</f>
        <v>63154.718361375279</v>
      </c>
      <c r="G95" s="23">
        <f>_xlfn.XLOOKUP($B60,[1]Billing!$O$5:$O$29,[1]Billing!$T$5:$T$29)</f>
        <v>1897686.539868325</v>
      </c>
      <c r="H95" s="23">
        <f>_xlfn.XLOOKUP($B60,[1]Billing!$O$5:$O$29,[1]Billing!$U$5:$U$29)</f>
        <v>757856.62033650337</v>
      </c>
      <c r="I95" s="44">
        <f t="shared" si="14"/>
        <v>2655543.1602048283</v>
      </c>
      <c r="J95" s="23">
        <f>_xlfn.XLOOKUP($B60,[1]Billing!$O$5:$O$29,[1]Billing!$W$5:$W$29)</f>
        <v>1370000</v>
      </c>
      <c r="K95" s="42">
        <f t="shared" si="15"/>
        <v>1285543.1602048283</v>
      </c>
      <c r="L95" s="22">
        <v>10</v>
      </c>
      <c r="M95" s="22">
        <v>12</v>
      </c>
    </row>
    <row r="96" spans="2:13" x14ac:dyDescent="0.3">
      <c r="B96" s="22" t="str">
        <v>Reject</v>
      </c>
      <c r="C96" s="23">
        <f>_xlfn.XLOOKUP($B61,[1]Billing!$O$5:$O$29,[1]Billing!$P$5:$P$29)</f>
        <v>0</v>
      </c>
      <c r="D96" s="23">
        <f>_xlfn.XLOOKUP($B61,[1]Billing!$O$5:$O$29,[1]Billing!$Q$5:$Q$29)</f>
        <v>0</v>
      </c>
      <c r="E96" s="23">
        <f>_xlfn.XLOOKUP($B61,[1]Billing!$O$5:$O$29,[1]Billing!$R$5:$R$29)</f>
        <v>0</v>
      </c>
      <c r="F96" s="23">
        <f>_xlfn.XLOOKUP($B61,[1]Billing!$O$5:$O$29,[1]Billing!$S$5:$S$29)</f>
        <v>0</v>
      </c>
      <c r="G96" s="23">
        <f>_xlfn.XLOOKUP($B61,[1]Billing!$O$5:$O$29,[1]Billing!$T$5:$T$29)</f>
        <v>0</v>
      </c>
      <c r="H96" s="23">
        <f>_xlfn.XLOOKUP($B61,[1]Billing!$O$5:$O$29,[1]Billing!$U$5:$U$29)</f>
        <v>0</v>
      </c>
      <c r="I96" s="44">
        <f t="shared" si="14"/>
        <v>0</v>
      </c>
      <c r="J96" s="23">
        <f>_xlfn.XLOOKUP($B61,[1]Billing!$O$5:$O$29,[1]Billing!$W$5:$W$29)</f>
        <v>0</v>
      </c>
      <c r="K96" s="42">
        <f t="shared" si="15"/>
        <v>0</v>
      </c>
      <c r="L96" s="22">
        <v>10</v>
      </c>
      <c r="M96" s="22">
        <v>12</v>
      </c>
    </row>
    <row r="97" spans="2:13" x14ac:dyDescent="0.3">
      <c r="B97" s="22" t="str">
        <v>Amjad 7up</v>
      </c>
      <c r="C97" s="23">
        <f>_xlfn.XLOOKUP($B62,[1]Billing!$O$5:$O$29,[1]Billing!$P$5:$P$29)</f>
        <v>52914</v>
      </c>
      <c r="D97" s="23">
        <f>_xlfn.XLOOKUP($B62,[1]Billing!$O$5:$O$29,[1]Billing!$Q$5:$Q$29)</f>
        <v>48385.149963423559</v>
      </c>
      <c r="E97" s="23">
        <f>_xlfn.XLOOKUP($B62,[1]Billing!$O$5:$O$29,[1]Billing!$R$5:$R$29)</f>
        <v>48385.149963423559</v>
      </c>
      <c r="F97" s="23">
        <f>_xlfn.XLOOKUP($B62,[1]Billing!$O$5:$O$29,[1]Billing!$S$5:$S$29)</f>
        <v>0</v>
      </c>
      <c r="G97" s="23">
        <f>_xlfn.XLOOKUP($B62,[1]Billing!$O$5:$O$29,[1]Billing!$T$5:$T$29)</f>
        <v>483851.49963423557</v>
      </c>
      <c r="H97" s="23">
        <f>_xlfn.XLOOKUP($B62,[1]Billing!$O$5:$O$29,[1]Billing!$U$5:$U$29)</f>
        <v>0</v>
      </c>
      <c r="I97" s="44">
        <f t="shared" si="14"/>
        <v>483851.49963423557</v>
      </c>
      <c r="J97" s="23">
        <f>_xlfn.XLOOKUP($B62,[1]Billing!$O$5:$O$29,[1]Billing!$W$5:$W$29)</f>
        <v>0</v>
      </c>
      <c r="K97" s="42">
        <f t="shared" si="15"/>
        <v>483851.49963423557</v>
      </c>
      <c r="L97" s="22">
        <v>10</v>
      </c>
      <c r="M97" s="22">
        <v>12</v>
      </c>
    </row>
    <row r="98" spans="2:13" x14ac:dyDescent="0.3">
      <c r="B98" s="22" t="str">
        <v>Hazrat Khan</v>
      </c>
      <c r="C98" s="23">
        <f>_xlfn.XLOOKUP($B63,[1]Billing!$O$5:$O$29,[1]Billing!$P$5:$P$29)</f>
        <v>9750</v>
      </c>
      <c r="D98" s="23">
        <f>_xlfn.XLOOKUP($B63,[1]Billing!$O$5:$O$29,[1]Billing!$Q$5:$Q$29)</f>
        <v>8915.5084125822978</v>
      </c>
      <c r="E98" s="23">
        <f>_xlfn.XLOOKUP($B63,[1]Billing!$O$5:$O$29,[1]Billing!$R$5:$R$29)</f>
        <v>8915.5084125822978</v>
      </c>
      <c r="F98" s="23">
        <f>_xlfn.XLOOKUP($B63,[1]Billing!$O$5:$O$29,[1]Billing!$S$5:$S$29)</f>
        <v>0</v>
      </c>
      <c r="G98" s="23">
        <f>_xlfn.XLOOKUP($B63,[1]Billing!$O$5:$O$29,[1]Billing!$T$5:$T$29)</f>
        <v>89155.084125822978</v>
      </c>
      <c r="H98" s="23">
        <f>_xlfn.XLOOKUP($B63,[1]Billing!$O$5:$O$29,[1]Billing!$U$5:$U$29)</f>
        <v>0</v>
      </c>
      <c r="I98" s="44">
        <f t="shared" si="14"/>
        <v>89155.084125822978</v>
      </c>
      <c r="J98" s="23">
        <f>_xlfn.XLOOKUP($B63,[1]Billing!$O$5:$O$29,[1]Billing!$W$5:$W$29)</f>
        <v>0</v>
      </c>
      <c r="K98" s="42">
        <f t="shared" si="15"/>
        <v>89155.084125822978</v>
      </c>
      <c r="L98" s="22">
        <v>10</v>
      </c>
      <c r="M98" s="22">
        <v>12</v>
      </c>
    </row>
    <row r="99" spans="2:13" x14ac:dyDescent="0.3">
      <c r="B99" s="22" t="str">
        <v>Haseeb Shamsi</v>
      </c>
      <c r="C99" s="23">
        <f>_xlfn.XLOOKUP($B64,[1]Billing!$O$5:$O$29,[1]Billing!$P$5:$P$29)</f>
        <v>28026</v>
      </c>
      <c r="D99" s="23">
        <f>_xlfn.XLOOKUP($B64,[1]Billing!$O$5:$O$29,[1]Billing!$Q$5:$Q$29)</f>
        <v>25627.286027798102</v>
      </c>
      <c r="E99" s="23">
        <f>_xlfn.XLOOKUP($B64,[1]Billing!$O$5:$O$29,[1]Billing!$R$5:$R$29)</f>
        <v>25627.286027798102</v>
      </c>
      <c r="F99" s="23">
        <f>_xlfn.XLOOKUP($B64,[1]Billing!$O$5:$O$29,[1]Billing!$S$5:$S$29)</f>
        <v>0</v>
      </c>
      <c r="G99" s="23">
        <f>_xlfn.XLOOKUP($B64,[1]Billing!$O$5:$O$29,[1]Billing!$T$5:$T$29)</f>
        <v>256272.86027798103</v>
      </c>
      <c r="H99" s="23">
        <f>_xlfn.XLOOKUP($B64,[1]Billing!$O$5:$O$29,[1]Billing!$U$5:$U$29)</f>
        <v>0</v>
      </c>
      <c r="I99" s="44">
        <f t="shared" si="14"/>
        <v>256272.86027798103</v>
      </c>
      <c r="J99" s="23">
        <f>_xlfn.XLOOKUP($B64,[1]Billing!$O$5:$O$29,[1]Billing!$W$5:$W$29)</f>
        <v>0</v>
      </c>
      <c r="K99" s="42">
        <f t="shared" si="15"/>
        <v>256272.86027798103</v>
      </c>
      <c r="L99" s="22">
        <v>10</v>
      </c>
      <c r="M99" s="22">
        <v>12</v>
      </c>
    </row>
    <row r="100" spans="2:13" x14ac:dyDescent="0.3">
      <c r="B100" t="str">
        <v>Faizan</v>
      </c>
    </row>
    <row r="101" spans="2:13" x14ac:dyDescent="0.3">
      <c r="B101" t="str">
        <v>Shafique Ansari</v>
      </c>
    </row>
    <row r="102" spans="2:13" x14ac:dyDescent="0.3">
      <c r="B102" t="str">
        <v>Amjad sohail</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2"/>
  <sheetViews>
    <sheetView topLeftCell="A5" zoomScale="105" workbookViewId="0">
      <selection activeCell="B7" sqref="B7"/>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67"/>
      <c r="D4" s="67"/>
      <c r="I4" t="s">
        <v>34</v>
      </c>
      <c r="J4" t="str" cm="1">
        <f t="array" ref="J4:J22">_xlfn.UNIQUE(Table1[Party Name])</f>
        <v>BSC</v>
      </c>
    </row>
    <row r="5" spans="2:10" x14ac:dyDescent="0.3">
      <c r="J5" t="str">
        <v>Ejaz Sahab</v>
      </c>
    </row>
    <row r="6" spans="2:10" ht="21" x14ac:dyDescent="0.4">
      <c r="B6" s="69" t="s">
        <v>227</v>
      </c>
      <c r="J6" t="str">
        <v>Arshad</v>
      </c>
    </row>
    <row r="7" spans="2:10" ht="15.6" x14ac:dyDescent="0.3">
      <c r="B7" s="67" t="s">
        <v>36</v>
      </c>
      <c r="C7" s="67" t="s">
        <v>4</v>
      </c>
      <c r="D7" s="67" t="s">
        <v>153</v>
      </c>
      <c r="E7" s="67" t="s">
        <v>154</v>
      </c>
      <c r="J7" t="str">
        <v>Shehzad Kamoki</v>
      </c>
    </row>
    <row r="8" spans="2:10" ht="18" x14ac:dyDescent="0.35">
      <c r="B8" s="60" t="s">
        <v>37</v>
      </c>
      <c r="C8" s="71"/>
      <c r="D8" s="73" cm="1">
        <f t="array" ref="D8">_xlfn.XLOOKUP($B$6,_xlfn.ANCHORARRAY( Billing!O5), INDEX(Billing!P5:P25, _xlfn.SEQUENCE(ROWS(_xlfn.ANCHORARRAY(Billing!$O$5)))), "Not Found")</f>
        <v>8274</v>
      </c>
      <c r="E8" s="71"/>
      <c r="J8" t="str">
        <v>Sufi Nawaz Sahab</v>
      </c>
    </row>
    <row r="9" spans="2:10" ht="18" x14ac:dyDescent="0.35">
      <c r="B9" s="60"/>
      <c r="C9" s="71"/>
      <c r="D9" s="71"/>
      <c r="E9" s="71"/>
      <c r="J9" t="str">
        <v>Sajad Khan</v>
      </c>
    </row>
    <row r="10" spans="2:10" ht="18" x14ac:dyDescent="0.35">
      <c r="B10" s="60" t="s">
        <v>38</v>
      </c>
      <c r="C10" s="71"/>
      <c r="D10" s="73" t="e" cm="1">
        <f t="array" ref="D10">_xlfn.XLOOKUP($B$6,_xlfn.ANCHORARRAY( Billing!$O$5), INDEX(Billing!Q5:Q21, _xlfn.SEQUENCE(ROWS(_xlfn.ANCHORARRAY(Billing!$O$5)))), "Not Found")</f>
        <v>#REF!</v>
      </c>
      <c r="E10" s="71"/>
      <c r="J10" t="str">
        <v>Raaz Fabrics</v>
      </c>
    </row>
    <row r="11" spans="2:10" ht="18.600000000000001" thickBot="1" x14ac:dyDescent="0.4">
      <c r="B11" s="60"/>
      <c r="C11" s="71"/>
      <c r="D11" s="71"/>
      <c r="E11" s="71"/>
      <c r="J11" t="str">
        <v>Azam</v>
      </c>
    </row>
    <row r="12" spans="2:10" ht="18.600000000000001" thickBot="1" x14ac:dyDescent="0.4">
      <c r="B12" s="60" t="s">
        <v>39</v>
      </c>
      <c r="C12" s="71" cm="1">
        <f t="array" aca="1" ref="C12" ca="1">_xlfn.XLOOKUP($B$6,_xlfn.ANCHORARRAY( Billing!$B$49), OFFSET(Billing!L49, 0, 0, ROWS(_xlfn.ANCHORARRAY(Billing!$B$49))), "Not Found")</f>
        <v>10</v>
      </c>
      <c r="D12" s="71" cm="1">
        <f t="array" ref="D12">_xlfn.XLOOKUP($B$6,_xlfn.ANCHORARRAY( Billing!$O$5), INDEX(Billing!R5:R25, _xlfn.SEQUENCE(ROWS(_xlfn.ANCHORARRAY(Billing!$O$5)))), "Not Found")</f>
        <v>0</v>
      </c>
      <c r="E12" s="97">
        <f ca="1">Table21[[#This Row],[gazana]]*Table21[[#This Row],[Rate]]</f>
        <v>0</v>
      </c>
      <c r="J12" t="str">
        <v>Ubaidullah</v>
      </c>
    </row>
    <row r="13" spans="2:10" ht="18" x14ac:dyDescent="0.35">
      <c r="B13" s="70"/>
      <c r="C13" s="72"/>
      <c r="D13" s="72"/>
      <c r="E13" s="71"/>
      <c r="J13" t="str">
        <v>Ashraf Zia</v>
      </c>
    </row>
    <row r="14" spans="2:10" ht="18" x14ac:dyDescent="0.35">
      <c r="B14" s="60" t="s">
        <v>40</v>
      </c>
      <c r="C14" s="71" cm="1">
        <f t="array" aca="1" ref="C14" ca="1">_xlfn.XLOOKUP($B$6,_xlfn.ANCHORARRAY( Billing!$B$49), OFFSET(Billing!M49, 0, 0, ROWS(_xlfn.ANCHORARRAY(Billing!$B$49))), "Not Found")</f>
        <v>12</v>
      </c>
      <c r="D14" s="71" cm="1">
        <f t="array" ref="D14">_xlfn.XLOOKUP($B$6,_xlfn.ANCHORARRAY( Billing!$O$5), INDEX(Billing!S5:S25, _xlfn.SEQUENCE(ROWS(_xlfn.ANCHORARRAY(Billing!$O$5)))), "Not Found")</f>
        <v>7565.8376005852242</v>
      </c>
      <c r="E14" s="71">
        <f ca="1">Table21[[#This Row],[gazana]]*Table21[[#This Row],[Rate]]</f>
        <v>90790.051207022683</v>
      </c>
      <c r="J14" t="str">
        <v>Hafiz Qureshi</v>
      </c>
    </row>
    <row r="15" spans="2:10" ht="18.600000000000001" thickBot="1" x14ac:dyDescent="0.4">
      <c r="B15" s="70"/>
      <c r="C15" s="72"/>
      <c r="D15" s="72"/>
      <c r="E15" s="71"/>
      <c r="J15" t="str">
        <v>Badshah Fabrics</v>
      </c>
    </row>
    <row r="16" spans="2:10" ht="18.600000000000001" thickBot="1" x14ac:dyDescent="0.4">
      <c r="B16" s="60" t="s">
        <v>41</v>
      </c>
      <c r="C16" s="71"/>
      <c r="D16" s="96"/>
      <c r="E16" s="98">
        <f ca="1">E12+E14</f>
        <v>90790.051207022683</v>
      </c>
      <c r="J16" t="str">
        <v>Reject</v>
      </c>
    </row>
    <row r="17" spans="2:10" ht="18.600000000000001" thickBot="1" x14ac:dyDescent="0.4">
      <c r="B17" s="70"/>
      <c r="C17" s="72"/>
      <c r="D17" s="74"/>
      <c r="E17" s="71"/>
      <c r="J17" t="str">
        <v>Amjad 7up</v>
      </c>
    </row>
    <row r="18" spans="2:10" ht="18.600000000000001" thickBot="1" x14ac:dyDescent="0.4">
      <c r="B18" s="60" t="s">
        <v>42</v>
      </c>
      <c r="C18" s="71"/>
      <c r="D18" s="96"/>
      <c r="E18" s="98" cm="1">
        <f t="array" aca="1" ref="E18" ca="1">_xlfn.XLOOKUP($B$6,_xlfn.ANCHORARRAY( Billing!O5), OFFSET(Billing!W5, 0, 0, ROWS(_xlfn.ANCHORARRAY(Billing!O5))), "Not Found")</f>
        <v>0</v>
      </c>
      <c r="J18" t="str">
        <v>Hazrat Khan</v>
      </c>
    </row>
    <row r="19" spans="2:10" ht="18.600000000000001" thickBot="1" x14ac:dyDescent="0.4">
      <c r="B19" s="60"/>
      <c r="C19" s="71"/>
      <c r="D19" s="73"/>
      <c r="E19" s="71"/>
      <c r="J19" t="str">
        <v>Haseeb Shamsi</v>
      </c>
    </row>
    <row r="20" spans="2:10" ht="18.600000000000001" thickBot="1" x14ac:dyDescent="0.4">
      <c r="B20" s="60" t="s">
        <v>43</v>
      </c>
      <c r="C20" s="71"/>
      <c r="D20" s="96"/>
      <c r="E20" s="99" cm="1">
        <f t="array" aca="1" ref="E20" ca="1">_xlfn.XLOOKUP($B$6,_xlfn.ANCHORARRAY( Billing!O5), OFFSET(Billing!X5, 0, 0, ROWS(_xlfn.ANCHORARRAY(Billing!O5))), "Not Found")</f>
        <v>90790.051207022683</v>
      </c>
      <c r="J20" t="str">
        <v>Faizan</v>
      </c>
    </row>
    <row r="21" spans="2:10" x14ac:dyDescent="0.3">
      <c r="J21" t="str">
        <v>Shafique Ansari</v>
      </c>
    </row>
    <row r="22" spans="2:10" x14ac:dyDescent="0.3">
      <c r="J22" t="str">
        <v>Amjad sohail</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topLeftCell="A8" zoomScale="150" workbookViewId="0">
      <selection activeCell="C14" sqref="C14"/>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Wood!K6+((317*775)+ (100*650))</f>
        <v>2338785</v>
      </c>
      <c r="D4" t="s">
        <v>228</v>
      </c>
    </row>
    <row r="5" spans="1:4" x14ac:dyDescent="0.3">
      <c r="B5" t="s">
        <v>48</v>
      </c>
      <c r="C5" s="11">
        <f>SUM(Table8[Price])+Table2325[[#Totals],[total]]</f>
        <v>179750</v>
      </c>
    </row>
    <row r="6" spans="1:4" x14ac:dyDescent="0.3">
      <c r="B6" t="s">
        <v>49</v>
      </c>
      <c r="C6" s="11">
        <f>SUM(Table2[Price])+Finish!B30</f>
        <v>659916.66666666663</v>
      </c>
      <c r="D6" t="s">
        <v>229</v>
      </c>
    </row>
    <row r="7" spans="1:4" x14ac:dyDescent="0.3">
      <c r="B7" t="s">
        <v>50</v>
      </c>
      <c r="C7" s="11">
        <f>SUMIFS(Table14[Debit], Table14[Party],Table12[[#This Row],[Type]])</f>
        <v>8890</v>
      </c>
    </row>
    <row r="8" spans="1:4" x14ac:dyDescent="0.3">
      <c r="B8" t="s">
        <v>51</v>
      </c>
      <c r="C8" s="11">
        <f>Electricity!E3</f>
        <v>0</v>
      </c>
    </row>
    <row r="9" spans="1:4" x14ac:dyDescent="0.3">
      <c r="B9" t="s">
        <v>52</v>
      </c>
      <c r="C9" s="11">
        <f>Table11[[#Totals],[Amount]]+'Salary Acc'!I36</f>
        <v>13750</v>
      </c>
    </row>
    <row r="10" spans="1:4" x14ac:dyDescent="0.3">
      <c r="B10" t="s">
        <v>53</v>
      </c>
      <c r="C10" s="11">
        <f>Table5[[#Totals],[Amount]]</f>
        <v>18245</v>
      </c>
    </row>
    <row r="11" spans="1:4" x14ac:dyDescent="0.3">
      <c r="B11" t="s">
        <v>54</v>
      </c>
      <c r="C11" s="11">
        <f>Table13[[#Totals],[Debit]]</f>
        <v>0</v>
      </c>
    </row>
    <row r="12" spans="1:4" x14ac:dyDescent="0.3">
      <c r="B12" t="s">
        <v>55</v>
      </c>
      <c r="C12" s="11">
        <f>Table15[[#Totals],[Amount]]</f>
        <v>103530</v>
      </c>
    </row>
    <row r="13" spans="1:4" x14ac:dyDescent="0.3">
      <c r="C13" s="11"/>
    </row>
    <row r="14" spans="1:4" x14ac:dyDescent="0.3">
      <c r="C14" s="14">
        <f>SUM(Table12[Amount])</f>
        <v>3322866.6666666665</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topLeftCell="A5" zoomScale="111" workbookViewId="0">
      <selection activeCell="D4" sqref="D4"/>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3" x14ac:dyDescent="0.3">
      <c r="B2" s="11" t="s">
        <v>66</v>
      </c>
      <c r="C2" s="11" t="s">
        <v>67</v>
      </c>
    </row>
    <row r="3" spans="1:3" x14ac:dyDescent="0.3">
      <c r="B3" s="11" t="s">
        <v>0</v>
      </c>
      <c r="C3" s="11">
        <f ca="1">Billing!C23 + SUMIFS(Table14[Credit], Table14[Party], "Transport")</f>
        <v>2332662.7651792248</v>
      </c>
    </row>
    <row r="4" spans="1:3" x14ac:dyDescent="0.3">
      <c r="B4" s="11" t="s">
        <v>44</v>
      </c>
      <c r="C4" s="11">
        <f>Table12[[#Totals],[Amount]]</f>
        <v>3322866.6666666665</v>
      </c>
    </row>
    <row r="5" spans="1:3" x14ac:dyDescent="0.3">
      <c r="A5" s="6"/>
      <c r="B5" s="15" t="s">
        <v>68</v>
      </c>
      <c r="C5" s="15">
        <f ca="1">C3-C4</f>
        <v>-990203.90148744173</v>
      </c>
    </row>
    <row r="10" spans="1:3" ht="15" thickBot="1" x14ac:dyDescent="0.35">
      <c r="B10" t="s">
        <v>66</v>
      </c>
      <c r="C10" s="14" t="s">
        <v>67</v>
      </c>
    </row>
    <row r="11" spans="1:3" x14ac:dyDescent="0.3">
      <c r="B11" s="61" t="s">
        <v>0</v>
      </c>
      <c r="C11" s="62">
        <f ca="1">C3</f>
        <v>2332662.7651792248</v>
      </c>
    </row>
    <row r="12" spans="1:3" x14ac:dyDescent="0.3">
      <c r="B12" s="63" t="s">
        <v>69</v>
      </c>
      <c r="C12" s="64">
        <f>SUM(Table14[Credit])</f>
        <v>5288666</v>
      </c>
    </row>
    <row r="13" spans="1:3" ht="15" thickBot="1" x14ac:dyDescent="0.35">
      <c r="B13" s="79" t="s">
        <v>96</v>
      </c>
      <c r="C13" s="78">
        <f ca="1">(C11-C12)</f>
        <v>-2956003.2348207752</v>
      </c>
    </row>
    <row r="14" spans="1:3" ht="15" thickBot="1" x14ac:dyDescent="0.35">
      <c r="B14" s="63"/>
      <c r="C14" s="64"/>
    </row>
    <row r="15" spans="1:3" x14ac:dyDescent="0.3">
      <c r="B15" s="61" t="s">
        <v>44</v>
      </c>
      <c r="C15" s="62">
        <f>C4</f>
        <v>3322866.6666666665</v>
      </c>
    </row>
    <row r="16" spans="1:3" x14ac:dyDescent="0.3">
      <c r="B16" s="63" t="s">
        <v>70</v>
      </c>
      <c r="C16" s="64">
        <f>SUM(Table14[Debit])</f>
        <v>5226139</v>
      </c>
    </row>
    <row r="17" spans="2:6" ht="15" thickBot="1" x14ac:dyDescent="0.35">
      <c r="B17" s="79" t="s">
        <v>71</v>
      </c>
      <c r="C17" s="78">
        <f>C15-C16</f>
        <v>-1903272.3333333335</v>
      </c>
    </row>
    <row r="18" spans="2:6" ht="15" thickBot="1" x14ac:dyDescent="0.35">
      <c r="B18" s="63"/>
      <c r="C18" s="64"/>
    </row>
    <row r="19" spans="2:6" ht="15" thickBot="1" x14ac:dyDescent="0.35">
      <c r="B19" s="80" t="s">
        <v>72</v>
      </c>
      <c r="C19" s="81">
        <f>Table18[[#Totals],[amount]]</f>
        <v>62527</v>
      </c>
    </row>
    <row r="20" spans="2:6" ht="15" thickBot="1" x14ac:dyDescent="0.35">
      <c r="B20" s="76"/>
      <c r="C20" s="77"/>
    </row>
    <row r="21" spans="2:6" ht="15" thickBot="1" x14ac:dyDescent="0.35">
      <c r="B21" s="65" t="s">
        <v>73</v>
      </c>
      <c r="C21" s="66">
        <f ca="1">(C13-C17)+C19</f>
        <v>-990203.90148744173</v>
      </c>
      <c r="E21" s="84" t="s">
        <v>74</v>
      </c>
      <c r="F21" s="85">
        <f ca="1">C5*0.05</f>
        <v>-49510.195074372088</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75</v>
      </c>
      <c r="C2" t="s">
        <v>45</v>
      </c>
      <c r="D2" t="s">
        <v>70</v>
      </c>
      <c r="E2" t="s">
        <v>69</v>
      </c>
      <c r="F2" t="s">
        <v>76</v>
      </c>
    </row>
    <row r="3" spans="2:6" x14ac:dyDescent="0.3">
      <c r="B3" s="1">
        <v>45916</v>
      </c>
      <c r="D3">
        <f>SUMIFS(Table14[Debit], Table14[Date], Table13[[#This Row],[Date]], Table14[Party], "Transport")</f>
        <v>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0</v>
      </c>
      <c r="E5">
        <f>SUMIFS(Table14[Credit], Table14[Date], Table13[[#This Row],[Date]], Table14[Party], "Transport")</f>
        <v>0</v>
      </c>
    </row>
    <row r="6" spans="2:6" x14ac:dyDescent="0.3">
      <c r="B6" s="1">
        <v>45919</v>
      </c>
      <c r="D6">
        <f>SUMIFS(Table14[Debit], Table14[Date], Table13[[#This Row],[Date]], Table14[Party], "Transport")</f>
        <v>0</v>
      </c>
      <c r="E6">
        <f>SUMIFS(Table14[Credit], Table14[Date], Table13[[#This Row],[Date]], Table14[Party], "Transport")</f>
        <v>0</v>
      </c>
    </row>
    <row r="7" spans="2:6" x14ac:dyDescent="0.3">
      <c r="B7" s="1">
        <v>45920</v>
      </c>
      <c r="D7">
        <f>SUMIFS(Table14[Debit], Table14[Date], Table13[[#This Row],[Date]], Table14[Party], "Transport")</f>
        <v>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0</v>
      </c>
      <c r="E9">
        <f>SUMIFS(Table14[Credit], Table14[Date], Table13[[#This Row],[Date]], Table14[Party], "Transport")</f>
        <v>0</v>
      </c>
    </row>
    <row r="10" spans="2:6" x14ac:dyDescent="0.3">
      <c r="B10" s="1">
        <v>45923</v>
      </c>
      <c r="D10">
        <f>SUMIFS(Table14[Debit], Table14[Date], Table13[[#This Row],[Date]], Table14[Party], "Transport")</f>
        <v>0</v>
      </c>
      <c r="E10">
        <f>SUMIFS(Table14[Credit], Table14[Date], Table13[[#This Row],[Date]], Table14[Party], "Transport")</f>
        <v>0</v>
      </c>
    </row>
    <row r="11" spans="2:6" x14ac:dyDescent="0.3">
      <c r="B11" s="1">
        <v>45924</v>
      </c>
      <c r="D11">
        <f>SUMIFS(Table14[Debit], Table14[Date], Table13[[#This Row],[Date]], Table14[Party], "Transport")</f>
        <v>0</v>
      </c>
      <c r="E11">
        <f>SUMIFS(Table14[Credit], Table14[Date], Table13[[#This Row],[Date]], Table14[Party], "Transport")</f>
        <v>0</v>
      </c>
    </row>
    <row r="12" spans="2:6" x14ac:dyDescent="0.3">
      <c r="B12" s="1">
        <v>45925</v>
      </c>
      <c r="D12">
        <f>SUMIFS(Table14[Debit], Table14[Date], Table13[[#This Row],[Date]], Table14[Party], "Transport")</f>
        <v>0</v>
      </c>
      <c r="E12">
        <f>SUMIFS(Table14[Credit], Table14[Date], Table13[[#This Row],[Date]], Table14[Party], "Transport")</f>
        <v>0</v>
      </c>
    </row>
    <row r="13" spans="2:6" x14ac:dyDescent="0.3">
      <c r="B13" s="1">
        <v>45926</v>
      </c>
      <c r="D13">
        <f>SUMIFS(Table14[Debit], Table14[Date], Table13[[#This Row],[Date]], Table14[Party], "Transport")</f>
        <v>0</v>
      </c>
      <c r="E13">
        <f>SUMIFS(Table14[Credit], Table14[Date], Table13[[#This Row],[Date]], Table14[Party], "Transport")</f>
        <v>0</v>
      </c>
    </row>
    <row r="14" spans="2:6" x14ac:dyDescent="0.3">
      <c r="B14" s="1">
        <v>45927</v>
      </c>
      <c r="D14">
        <f>SUMIFS(Table14[Debit], Table14[Date], Table13[[#This Row],[Date]], Table14[Party], "Transport")</f>
        <v>0</v>
      </c>
      <c r="E14">
        <f>SUMIFS(Table14[Credit], Table14[Date], Table13[[#This Row],[Date]], Table14[Party], "Transport")</f>
        <v>0</v>
      </c>
    </row>
    <row r="15" spans="2:6" x14ac:dyDescent="0.3">
      <c r="B15" s="1">
        <v>45928</v>
      </c>
      <c r="D15">
        <f>SUMIFS(Table14[Debit], Table14[Date], Table13[[#This Row],[Date]], Table14[Party], "Transport")</f>
        <v>0</v>
      </c>
      <c r="E15">
        <f>SUMIFS(Table14[Credit], Table14[Date], Table13[[#This Row],[Date]], Table14[Party], "Transport")</f>
        <v>0</v>
      </c>
    </row>
    <row r="16" spans="2:6" x14ac:dyDescent="0.3">
      <c r="B16" s="1">
        <v>45929</v>
      </c>
      <c r="D16">
        <f>SUMIFS(Table14[Debit], Table14[Date], Table13[[#This Row],[Date]], Table14[Party], "Transport")</f>
        <v>0</v>
      </c>
      <c r="E16">
        <f>SUMIFS(Table14[Credit], Table14[Date], Table13[[#This Row],[Date]], Table14[Party], "Transport")</f>
        <v>0</v>
      </c>
    </row>
    <row r="17" spans="2:5" x14ac:dyDescent="0.3">
      <c r="B17" s="1">
        <v>45930</v>
      </c>
      <c r="D17">
        <f>SUMIFS(Table14[Debit], Table14[Date], Table13[[#This Row],[Date]], Table14[Party], "Transport")</f>
        <v>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0</v>
      </c>
      <c r="E35">
        <f>SUBTOTAL(109,Table13[Credit])</f>
        <v>0</v>
      </c>
      <c r="F35">
        <f>Table13[[#Totals],[Debit]]-Table13[[#Totals],[Credit]]</f>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15"/>
  <sheetViews>
    <sheetView tabSelected="1" topLeftCell="D38" zoomScale="140" zoomScaleNormal="126" workbookViewId="0">
      <selection activeCell="G54" sqref="G54"/>
    </sheetView>
  </sheetViews>
  <sheetFormatPr defaultColWidth="8.88671875" defaultRowHeight="14.4" x14ac:dyDescent="0.3"/>
  <cols>
    <col min="1" max="1" width="16.5546875" style="10" bestFit="1" customWidth="1"/>
    <col min="2" max="2" width="16.109375" style="10" bestFit="1" customWidth="1"/>
    <col min="3" max="3" width="20.6640625" style="10" customWidth="1"/>
    <col min="4" max="4" width="20.6640625" style="10" bestFit="1" customWidth="1"/>
    <col min="5" max="5" width="16.109375" style="10" bestFit="1" customWidth="1"/>
    <col min="6" max="6" width="18" style="10" bestFit="1" customWidth="1"/>
    <col min="7" max="7" width="12.6640625" style="10" bestFit="1" customWidth="1"/>
    <col min="8" max="8" width="18" style="10" bestFit="1" customWidth="1"/>
    <col min="9" max="9" width="12.44140625" style="10" bestFit="1" customWidth="1"/>
    <col min="10" max="10" width="18"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75</v>
      </c>
      <c r="B1" s="30" t="s">
        <v>2</v>
      </c>
      <c r="C1" s="30" t="s">
        <v>77</v>
      </c>
      <c r="D1" s="30" t="s">
        <v>78</v>
      </c>
      <c r="E1" s="30" t="s">
        <v>79</v>
      </c>
      <c r="F1" s="30" t="s">
        <v>80</v>
      </c>
      <c r="G1" s="30" t="s">
        <v>81</v>
      </c>
      <c r="H1" s="31" t="s">
        <v>82</v>
      </c>
      <c r="I1" s="31" t="s">
        <v>83</v>
      </c>
      <c r="J1" s="31" t="s">
        <v>84</v>
      </c>
      <c r="K1" s="31" t="s">
        <v>41</v>
      </c>
    </row>
    <row r="2" spans="1:28" x14ac:dyDescent="0.3">
      <c r="A2" s="28">
        <v>45947</v>
      </c>
      <c r="B2" s="25" t="s">
        <v>21</v>
      </c>
      <c r="C2" s="29" t="s">
        <v>184</v>
      </c>
      <c r="D2" s="29" t="s">
        <v>85</v>
      </c>
      <c r="E2" s="21"/>
      <c r="F2" s="11"/>
      <c r="G2" s="11"/>
      <c r="H2" s="32" t="e">
        <f>_xlfn.XLOOKUP(Table1[[#This Row],[Shipment Number]], 'pivot '!A:A,'pivot '!G:G, "NF")</f>
        <v>#DIV/0!</v>
      </c>
      <c r="I2" s="32">
        <f>_xlfn.XLOOKUP(Table1[[#This Row],[Party Name]],
[1]Billing!$O$5:$O$20,
[1]Billing!$R$5:$R$20)</f>
        <v>1493155.6327724946</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14931556.327724945</v>
      </c>
      <c r="K2" s="29"/>
    </row>
    <row r="3" spans="1:28" x14ac:dyDescent="0.3">
      <c r="A3" s="28">
        <v>45947</v>
      </c>
      <c r="B3" s="25" t="s">
        <v>22</v>
      </c>
      <c r="C3" s="29" t="s">
        <v>184</v>
      </c>
      <c r="D3" s="29" t="s">
        <v>85</v>
      </c>
      <c r="E3" s="21"/>
      <c r="F3" s="11"/>
      <c r="G3" s="11"/>
      <c r="H3" s="32" t="e">
        <f>_xlfn.XLOOKUP(Table1[[#This Row],[Shipment Number]], 'pivot '!A:A,'pivot '!G:G, "NF")</f>
        <v>#DIV/0!</v>
      </c>
      <c r="I3" s="32">
        <f>_xlfn.XLOOKUP(Table1[[#This Row],[Party Name]],
[1]Billing!$O$5:$O$20,
[1]Billing!$R$5:$R$20)</f>
        <v>130559.6196049744</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1305596.196049744</v>
      </c>
      <c r="K3" s="29"/>
    </row>
    <row r="4" spans="1:28" x14ac:dyDescent="0.3">
      <c r="A4" s="28">
        <v>45947</v>
      </c>
      <c r="B4" s="25" t="s">
        <v>9</v>
      </c>
      <c r="C4" s="29" t="s">
        <v>184</v>
      </c>
      <c r="D4" s="29" t="s">
        <v>85</v>
      </c>
      <c r="E4" s="21"/>
      <c r="F4" s="11"/>
      <c r="G4" s="11"/>
      <c r="H4" s="32" t="e">
        <f>_xlfn.XLOOKUP(Table1[[#This Row],[Shipment Number]], 'pivot '!A:A,'pivot '!G:G, "NF")</f>
        <v>#DIV/0!</v>
      </c>
      <c r="I4" s="32">
        <f>_xlfn.XLOOKUP(Table1[[#This Row],[Party Name]],
[1]Billing!$O$5:$O$20,
[1]Billing!$R$5:$R$20)</f>
        <v>222722.20190197515</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2227222.0190197513</v>
      </c>
      <c r="K4" s="29"/>
    </row>
    <row r="5" spans="1:28" x14ac:dyDescent="0.3">
      <c r="A5" s="28">
        <v>45947</v>
      </c>
      <c r="B5" s="25" t="s">
        <v>23</v>
      </c>
      <c r="C5" s="29" t="s">
        <v>184</v>
      </c>
      <c r="D5" s="29" t="s">
        <v>85</v>
      </c>
      <c r="E5" s="21"/>
      <c r="F5" s="11"/>
      <c r="G5" s="11"/>
      <c r="H5" s="32" t="e">
        <f>_xlfn.XLOOKUP(Table1[[#This Row],[Shipment Number]], 'pivot '!A:A,'pivot '!G:G, "NF")</f>
        <v>#DIV/0!</v>
      </c>
      <c r="I5" s="32">
        <f>_xlfn.XLOOKUP(Table1[[#This Row],[Party Name]],
[1]Billing!$O$5:$O$20,
[1]Billing!$R$5:$R$20)</f>
        <v>123086.13752743235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1269270.3440380397</v>
      </c>
      <c r="K5" s="29"/>
    </row>
    <row r="6" spans="1:28" x14ac:dyDescent="0.3">
      <c r="A6" s="28">
        <v>45947</v>
      </c>
      <c r="B6" s="25" t="s">
        <v>24</v>
      </c>
      <c r="C6" s="29" t="s">
        <v>184</v>
      </c>
      <c r="D6" s="29" t="s">
        <v>85</v>
      </c>
      <c r="E6" s="21"/>
      <c r="F6" s="11"/>
      <c r="G6" s="11"/>
      <c r="H6" s="32" t="e">
        <f>_xlfn.XLOOKUP(Table1[[#This Row],[Shipment Number]], 'pivot '!A:A,'pivot '!G:G, "NF")</f>
        <v>#DIV/0!</v>
      </c>
      <c r="I6" s="32">
        <f>_xlfn.XLOOKUP(Table1[[#This Row],[Party Name]],
[1]Billing!$O$5:$O$20,
[1]Billing!$R$5:$R$20)</f>
        <v>599330.65106071695</v>
      </c>
      <c r="J6" s="100">
        <f>Billing!G88</f>
        <v>5393975.8595464528</v>
      </c>
      <c r="K6" s="29"/>
      <c r="X6"/>
      <c r="Y6"/>
      <c r="Z6"/>
      <c r="AA6"/>
      <c r="AB6"/>
    </row>
    <row r="7" spans="1:28" x14ac:dyDescent="0.3">
      <c r="A7" s="28">
        <v>45947</v>
      </c>
      <c r="B7" s="25" t="s">
        <v>25</v>
      </c>
      <c r="C7" s="29" t="s">
        <v>184</v>
      </c>
      <c r="D7" s="29" t="s">
        <v>85</v>
      </c>
      <c r="E7" s="21"/>
      <c r="F7" s="11"/>
      <c r="G7" s="11"/>
      <c r="H7" s="32" t="e">
        <f>_xlfn.XLOOKUP(Table1[[#This Row],[Shipment Number]], 'pivot '!A:A,'pivot '!G:G, "NF")</f>
        <v>#DIV/0!</v>
      </c>
      <c r="I7" s="32">
        <f>_xlfn.XLOOKUP(Table1[[#This Row],[Party Name]],
[1]Billing!$O$5:$O$20,
[1]Billing!$R$5:$R$20)</f>
        <v>440435.25969275786</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4404352.5969275786</v>
      </c>
      <c r="K7" s="29"/>
      <c r="X7"/>
      <c r="Y7"/>
      <c r="Z7"/>
      <c r="AA7"/>
      <c r="AB7"/>
    </row>
    <row r="8" spans="1:28" x14ac:dyDescent="0.3">
      <c r="A8" s="28">
        <v>45947</v>
      </c>
      <c r="B8" s="25" t="s">
        <v>26</v>
      </c>
      <c r="C8" s="29" t="s">
        <v>184</v>
      </c>
      <c r="D8" s="29" t="s">
        <v>85</v>
      </c>
      <c r="E8" s="21"/>
      <c r="F8" s="11"/>
      <c r="G8" s="11"/>
      <c r="H8" s="32" t="e">
        <f>_xlfn.XLOOKUP(Table1[[#This Row],[Shipment Number]], 'pivot '!A:A,'pivot '!G:G, "NF")</f>
        <v>#DIV/0!</v>
      </c>
      <c r="I8" s="32">
        <f>_xlfn.XLOOKUP(Table1[[#This Row],[Party Name]],
[1]Billing!$O$5:$O$20,
[1]Billing!$R$5:$R$20)</f>
        <v>69091.989758595475</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690919.89758595475</v>
      </c>
      <c r="K8" s="29"/>
      <c r="X8"/>
      <c r="Y8"/>
      <c r="Z8"/>
      <c r="AA8"/>
      <c r="AB8"/>
    </row>
    <row r="9" spans="1:28" x14ac:dyDescent="0.3">
      <c r="A9" s="28">
        <v>45947</v>
      </c>
      <c r="B9" s="25" t="s">
        <v>155</v>
      </c>
      <c r="C9" s="29" t="s">
        <v>184</v>
      </c>
      <c r="D9" s="29" t="s">
        <v>85</v>
      </c>
      <c r="E9" s="21"/>
      <c r="F9" s="11"/>
      <c r="G9" s="11"/>
      <c r="H9" s="32" t="e">
        <f>_xlfn.XLOOKUP(Table1[[#This Row],[Shipment Number]], 'pivot '!A:A,'pivot '!G:G, "NF")</f>
        <v>#DIV/0!</v>
      </c>
      <c r="I9" s="32">
        <f>_xlfn.XLOOKUP(Table1[[#This Row],[Party Name]],
[1]Billing!$O$5:$O$20,
[1]Billing!$R$5:$R$20)</f>
        <v>161808.70519385519</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1618087.0519385519</v>
      </c>
      <c r="K9" s="29"/>
      <c r="X9"/>
      <c r="Y9"/>
      <c r="Z9"/>
      <c r="AA9"/>
      <c r="AB9"/>
    </row>
    <row r="10" spans="1:28" x14ac:dyDescent="0.3">
      <c r="A10" s="28">
        <v>45947</v>
      </c>
      <c r="B10" s="25" t="s">
        <v>35</v>
      </c>
      <c r="C10" s="29" t="s">
        <v>184</v>
      </c>
      <c r="D10" s="29" t="s">
        <v>85</v>
      </c>
      <c r="E10" s="21"/>
      <c r="F10" s="11"/>
      <c r="G10" s="11"/>
      <c r="H10" s="32" t="e">
        <f>_xlfn.XLOOKUP(Table1[[#This Row],[Shipment Number]], 'pivot '!A:A,'pivot '!G:G, "NF")</f>
        <v>#DIV/0!</v>
      </c>
      <c r="I10" s="32">
        <f>_xlfn.XLOOKUP(Table1[[#This Row],[Party Name]],
[1]Billing!$O$5:$O$20,
[1]Billing!$R$5:$R$20)</f>
        <v>45128.931967812736</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451289.31967812736</v>
      </c>
      <c r="K10" s="29"/>
      <c r="X10"/>
      <c r="Y10"/>
    </row>
    <row r="11" spans="1:28" x14ac:dyDescent="0.3">
      <c r="A11" s="28">
        <v>45947</v>
      </c>
      <c r="B11" s="25" t="s">
        <v>151</v>
      </c>
      <c r="C11" s="29" t="s">
        <v>184</v>
      </c>
      <c r="D11" s="29" t="s">
        <v>86</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45947</v>
      </c>
      <c r="B12" s="25" t="s">
        <v>27</v>
      </c>
      <c r="C12" s="29" t="s">
        <v>184</v>
      </c>
      <c r="D12" s="29" t="s">
        <v>85</v>
      </c>
      <c r="E12" s="21"/>
      <c r="F12" s="11"/>
      <c r="G12" s="11"/>
      <c r="H12" s="32" t="e">
        <f>_xlfn.XLOOKUP(Table1[[#This Row],[Shipment Number]], 'pivot '!A:A,'pivot '!G:G, "NF")</f>
        <v>#DIV/0!</v>
      </c>
      <c r="I12" s="32">
        <f>_xlfn.XLOOKUP(Table1[[#This Row],[Party Name]],
[1]Billing!$O$5:$O$20,
[1]Billing!$R$5:$R$20)</f>
        <v>44688.185808339433</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446881.85808339436</v>
      </c>
      <c r="K12" s="29"/>
      <c r="P12"/>
      <c r="Q12"/>
      <c r="R12"/>
      <c r="S12"/>
      <c r="T12"/>
      <c r="U12"/>
      <c r="V12"/>
      <c r="W12"/>
      <c r="X12"/>
      <c r="Y12"/>
    </row>
    <row r="13" spans="1:28" x14ac:dyDescent="0.3">
      <c r="A13" s="28">
        <v>45947</v>
      </c>
      <c r="B13" s="25" t="s">
        <v>170</v>
      </c>
      <c r="C13" s="29" t="s">
        <v>184</v>
      </c>
      <c r="D13" s="29" t="s">
        <v>85</v>
      </c>
      <c r="E13" s="11"/>
      <c r="F13" s="11"/>
      <c r="G13" s="11"/>
      <c r="H13" s="32" t="e">
        <f>_xlfn.XLOOKUP(Table1[[#This Row],[Shipment Number]], 'pivot '!A:A,'pivot '!G:G, "NF")</f>
        <v>#DIV/0!</v>
      </c>
      <c r="I13" s="32">
        <f>_xlfn.XLOOKUP(Table1[[#This Row],[Party Name]],
[1]Billing!$O$5:$O$20,
[1]Billing!$R$5:$R$20)</f>
        <v>189768.65398683251</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1897686.539868325</v>
      </c>
      <c r="K13" s="29"/>
      <c r="P13"/>
      <c r="Q13"/>
      <c r="R13"/>
      <c r="S13"/>
      <c r="T13"/>
      <c r="U13"/>
      <c r="V13"/>
      <c r="W13"/>
      <c r="X13"/>
      <c r="Y13"/>
    </row>
    <row r="14" spans="1:28" x14ac:dyDescent="0.3">
      <c r="A14" s="28">
        <v>45947</v>
      </c>
      <c r="B14" s="25" t="s">
        <v>173</v>
      </c>
      <c r="C14" s="29" t="s">
        <v>184</v>
      </c>
      <c r="D14" s="29" t="s">
        <v>85</v>
      </c>
      <c r="E14" s="11"/>
      <c r="F14" s="11"/>
      <c r="G14" s="11"/>
      <c r="H14" s="32" t="e">
        <f>_xlfn.XLOOKUP(Table1[[#This Row],[Shipment Number]], 'pivot '!A:A,'pivot '!G:G, "NF")</f>
        <v>#DIV/0!</v>
      </c>
      <c r="I14" s="32">
        <f>_xlfn.XLOOKUP(Table1[[#This Row],[Party Name]],
[1]Billing!$O$5:$O$20,
[1]Billing!$R$5:$R$20)</f>
        <v>0</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14" s="29"/>
      <c r="P14"/>
      <c r="Q14"/>
      <c r="R14"/>
      <c r="S14"/>
      <c r="T14"/>
      <c r="U14"/>
      <c r="V14"/>
      <c r="W14"/>
      <c r="X14"/>
      <c r="Y14"/>
    </row>
    <row r="15" spans="1:28" x14ac:dyDescent="0.3">
      <c r="A15" s="28">
        <v>45947</v>
      </c>
      <c r="B15" s="25" t="s">
        <v>180</v>
      </c>
      <c r="C15" s="29" t="s">
        <v>184</v>
      </c>
      <c r="D15" s="29" t="s">
        <v>85</v>
      </c>
      <c r="E15" s="11"/>
      <c r="F15" s="11"/>
      <c r="G15" s="11"/>
      <c r="H15" s="32" t="e">
        <f>_xlfn.XLOOKUP(Table1[[#This Row],[Shipment Number]], 'pivot '!A:A,'pivot '!G:G, "NF")</f>
        <v>#DIV/0!</v>
      </c>
      <c r="I15" s="32">
        <f>_xlfn.XLOOKUP(Table1[[#This Row],[Party Name]],
[1]Billing!$O$5:$O$20,
[1]Billing!$R$5:$R$20)</f>
        <v>48385.149963423559</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483851.49963423557</v>
      </c>
      <c r="K15" s="29"/>
      <c r="P15"/>
      <c r="Q15"/>
      <c r="R15"/>
      <c r="S15"/>
      <c r="T15"/>
      <c r="U15"/>
      <c r="V15"/>
      <c r="W15"/>
      <c r="X15"/>
      <c r="Y15"/>
    </row>
    <row r="16" spans="1:28" x14ac:dyDescent="0.3">
      <c r="A16" s="28">
        <v>45947</v>
      </c>
      <c r="B16" s="25" t="s">
        <v>181</v>
      </c>
      <c r="C16" s="29" t="s">
        <v>184</v>
      </c>
      <c r="D16" s="29" t="s">
        <v>85</v>
      </c>
      <c r="E16" s="11"/>
      <c r="F16" s="11"/>
      <c r="G16" s="11"/>
      <c r="H16" s="32" t="e">
        <f>_xlfn.XLOOKUP(Table1[[#This Row],[Shipment Number]], 'pivot '!A:A,'pivot '!G:G, "NF")</f>
        <v>#DIV/0!</v>
      </c>
      <c r="I16" s="32">
        <f>_xlfn.XLOOKUP(Table1[[#This Row],[Party Name]],
[1]Billing!$O$5:$O$20,
[1]Billing!$R$5:$R$20)</f>
        <v>8915.5084125822978</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89155.084125822978</v>
      </c>
      <c r="K16" s="29"/>
      <c r="P16"/>
      <c r="Q16"/>
      <c r="R16"/>
      <c r="S16"/>
      <c r="T16"/>
      <c r="U16"/>
      <c r="V16"/>
      <c r="W16"/>
      <c r="X16"/>
      <c r="Y16"/>
    </row>
    <row r="17" spans="1:25" x14ac:dyDescent="0.3">
      <c r="A17" s="28">
        <v>45947</v>
      </c>
      <c r="B17" s="106" t="s">
        <v>183</v>
      </c>
      <c r="C17" s="29" t="s">
        <v>184</v>
      </c>
      <c r="D17" s="29" t="s">
        <v>85</v>
      </c>
      <c r="E17" s="11"/>
      <c r="F17" s="11"/>
      <c r="G17" s="11"/>
      <c r="H17" s="32" t="e">
        <f>_xlfn.XLOOKUP(Table1[[#This Row],[Shipment Number]], 'pivot '!A:A,'pivot '!G:G, "NF")</f>
        <v>#DIV/0!</v>
      </c>
      <c r="I17" s="32">
        <f>_xlfn.XLOOKUP(Table1[[#This Row],[Party Name]],
[1]Billing!$O$5:$O$20,
[1]Billing!$R$5:$R$20)</f>
        <v>25627.286027798102</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256272.86027798103</v>
      </c>
      <c r="K17" s="29"/>
      <c r="P17"/>
      <c r="Q17"/>
      <c r="R17"/>
      <c r="S17"/>
      <c r="T17"/>
      <c r="U17"/>
      <c r="V17"/>
      <c r="W17"/>
      <c r="X17"/>
      <c r="Y17"/>
    </row>
    <row r="18" spans="1:25" x14ac:dyDescent="0.3">
      <c r="A18" s="107">
        <v>45947</v>
      </c>
      <c r="B18" s="25" t="s">
        <v>21</v>
      </c>
      <c r="C18" s="108" t="s">
        <v>184</v>
      </c>
      <c r="D18" s="108" t="s">
        <v>87</v>
      </c>
      <c r="E18" s="109"/>
      <c r="F18" s="109"/>
      <c r="G18" s="109"/>
      <c r="H18" s="110" t="e">
        <f>_xlfn.XLOOKUP(Table1[[#This Row],[Shipment Number]], 'pivot '!A:A,'pivot '!G:G, "NF")</f>
        <v>#DIV/0!</v>
      </c>
      <c r="I18" s="110">
        <f>_xlfn.XLOOKUP(Table1[[#This Row],[Party Name]],
[1]Billing!$O$5:$O$20,
[1]Billing!$S$5:$S$20)</f>
        <v>30188.368690563279</v>
      </c>
      <c r="J18" s="110"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362260.42428675934</v>
      </c>
      <c r="K18" s="108"/>
      <c r="P18"/>
      <c r="Q18"/>
      <c r="R18"/>
      <c r="S18"/>
      <c r="T18"/>
      <c r="U18"/>
      <c r="V18"/>
      <c r="W18"/>
      <c r="X18"/>
      <c r="Y18"/>
    </row>
    <row r="19" spans="1:25" x14ac:dyDescent="0.3">
      <c r="A19" s="28">
        <v>45947</v>
      </c>
      <c r="B19" s="25" t="s">
        <v>22</v>
      </c>
      <c r="C19" s="29" t="s">
        <v>184</v>
      </c>
      <c r="D19" s="29" t="s">
        <v>87</v>
      </c>
      <c r="E19" s="11"/>
      <c r="F19" s="11"/>
      <c r="G19" s="11"/>
      <c r="H19" s="32" t="e">
        <f>_xlfn.XLOOKUP(Table1[[#This Row],[Shipment Number]], 'pivot '!A:A,'pivot '!G:G, "NF")</f>
        <v>#DIV/0!</v>
      </c>
      <c r="I19" s="32">
        <f>_xlfn.XLOOKUP(Table1[[#This Row],[Party Name]],
[1]Billing!$O$5:$O$20,
[1]Billing!$S$5:$S$20)</f>
        <v>14897.58595464521</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178771.03145574252</v>
      </c>
      <c r="K19" s="29"/>
      <c r="P19"/>
      <c r="Q19"/>
      <c r="R19"/>
      <c r="S19"/>
      <c r="T19"/>
      <c r="U19"/>
      <c r="V19"/>
      <c r="W19"/>
      <c r="X19"/>
      <c r="Y19"/>
    </row>
    <row r="20" spans="1:25" x14ac:dyDescent="0.3">
      <c r="A20" s="28">
        <v>45947</v>
      </c>
      <c r="B20" s="25" t="s">
        <v>9</v>
      </c>
      <c r="C20" s="29" t="s">
        <v>184</v>
      </c>
      <c r="D20" s="29" t="s">
        <v>87</v>
      </c>
      <c r="E20" s="11"/>
      <c r="F20" s="11"/>
      <c r="G20" s="11"/>
      <c r="H20" s="32" t="e">
        <f>_xlfn.XLOOKUP(Table1[[#This Row],[Shipment Number]], 'pivot '!A:A,'pivot '!G:G, "NF")</f>
        <v>#DIV/0!</v>
      </c>
      <c r="I20" s="32">
        <f>_xlfn.XLOOKUP(Table1[[#This Row],[Party Name]],
[1]Billing!$O$5:$O$20,
[1]Billing!$S$5:$S$20)</f>
        <v>14794.257498171179</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177531.08997805414</v>
      </c>
      <c r="K20" s="29"/>
      <c r="P20"/>
      <c r="Q20"/>
      <c r="R20"/>
      <c r="S20"/>
      <c r="T20"/>
      <c r="U20"/>
      <c r="V20"/>
      <c r="W20"/>
      <c r="X20"/>
      <c r="Y20"/>
    </row>
    <row r="21" spans="1:25" x14ac:dyDescent="0.3">
      <c r="A21" s="28">
        <v>45947</v>
      </c>
      <c r="B21" s="25" t="s">
        <v>23</v>
      </c>
      <c r="C21" s="29" t="s">
        <v>184</v>
      </c>
      <c r="D21" s="29" t="s">
        <v>87</v>
      </c>
      <c r="E21" s="11"/>
      <c r="F21" s="11"/>
      <c r="G21" s="11"/>
      <c r="H21" s="32" t="e">
        <f>_xlfn.XLOOKUP(Table1[[#This Row],[Shipment Number]], 'pivot '!A:A,'pivot '!G:G, "NF")</f>
        <v>#DIV/0!</v>
      </c>
      <c r="I21" s="32">
        <f>_xlfn.XLOOKUP(Table1[[#This Row],[Party Name]],
[1]Billing!$O$5:$O$20,
[1]Billing!$S$5:$S$20)</f>
        <v>0</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1" s="29"/>
      <c r="P21"/>
      <c r="Q21"/>
      <c r="R21"/>
      <c r="S21"/>
      <c r="T21"/>
      <c r="U21"/>
      <c r="V21"/>
      <c r="W21"/>
      <c r="X21"/>
      <c r="Y21"/>
    </row>
    <row r="22" spans="1:25" x14ac:dyDescent="0.3">
      <c r="A22" s="28">
        <v>45947</v>
      </c>
      <c r="B22" s="25" t="s">
        <v>24</v>
      </c>
      <c r="C22" s="29" t="s">
        <v>184</v>
      </c>
      <c r="D22" s="29" t="s">
        <v>87</v>
      </c>
      <c r="E22" s="11"/>
      <c r="F22" s="11"/>
      <c r="G22" s="11"/>
      <c r="H22" s="32" t="e">
        <f>_xlfn.XLOOKUP(Table1[[#This Row],[Shipment Number]], 'pivot '!A:A,'pivot '!G:G, "NF")</f>
        <v>#DIV/0!</v>
      </c>
      <c r="I22" s="32">
        <f>_xlfn.XLOOKUP(Table1[[#This Row],[Party Name]],
[1]Billing!$O$5:$O$20,
[1]Billing!$S$5:$S$20)</f>
        <v>485823.88441843458</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5829886.6130212154</v>
      </c>
      <c r="K22" s="29"/>
      <c r="P22"/>
      <c r="Q22"/>
      <c r="R22"/>
      <c r="S22"/>
      <c r="T22"/>
      <c r="U22"/>
      <c r="V22"/>
      <c r="W22"/>
      <c r="X22"/>
      <c r="Y22"/>
    </row>
    <row r="23" spans="1:25" x14ac:dyDescent="0.3">
      <c r="A23" s="28">
        <v>45947</v>
      </c>
      <c r="B23" s="25" t="s">
        <v>25</v>
      </c>
      <c r="C23" s="29" t="s">
        <v>184</v>
      </c>
      <c r="D23" s="29" t="s">
        <v>87</v>
      </c>
      <c r="E23" s="11"/>
      <c r="F23" s="11"/>
      <c r="G23" s="11"/>
      <c r="H23" s="32" t="e">
        <f>_xlfn.XLOOKUP(Table1[[#This Row],[Shipment Number]], 'pivot '!A:A,'pivot '!G:G, "NF")</f>
        <v>#DIV/0!</v>
      </c>
      <c r="I23" s="32">
        <f>_xlfn.XLOOKUP(Table1[[#This Row],[Party Name]],
[1]Billing!$O$5:$O$20,
[1]Billing!$S$5:$S$20)</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x14ac:dyDescent="0.3">
      <c r="A24" s="28">
        <v>45947</v>
      </c>
      <c r="B24" s="25" t="s">
        <v>26</v>
      </c>
      <c r="C24" s="29" t="s">
        <v>184</v>
      </c>
      <c r="D24" s="29" t="s">
        <v>87</v>
      </c>
      <c r="E24" s="11"/>
      <c r="F24" s="11"/>
      <c r="G24" s="11"/>
      <c r="H24" s="32" t="e">
        <f>_xlfn.XLOOKUP(Table1[[#This Row],[Shipment Number]], 'pivot '!A:A,'pivot '!G:G, "NF")</f>
        <v>#DIV/0!</v>
      </c>
      <c r="I24" s="32">
        <f>_xlfn.XLOOKUP(Table1[[#This Row],[Party Name]],
[1]Billing!$O$5:$O$20,
[1]Billing!$S$5:$S$20)</f>
        <v>0</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4" s="29"/>
      <c r="P24"/>
      <c r="Q24"/>
      <c r="R24"/>
      <c r="S24"/>
      <c r="T24"/>
      <c r="U24"/>
      <c r="V24"/>
      <c r="W24"/>
      <c r="X24"/>
      <c r="Y24"/>
    </row>
    <row r="25" spans="1:25" x14ac:dyDescent="0.3">
      <c r="A25" s="28">
        <v>45947</v>
      </c>
      <c r="B25" s="25" t="s">
        <v>155</v>
      </c>
      <c r="C25" s="29" t="s">
        <v>184</v>
      </c>
      <c r="D25" s="29" t="s">
        <v>87</v>
      </c>
      <c r="E25" s="11"/>
      <c r="F25" s="11"/>
      <c r="G25" s="11"/>
      <c r="H25" s="32" t="e">
        <f>_xlfn.XLOOKUP(Table1[[#This Row],[Shipment Number]], 'pivot '!A:A,'pivot '!G:G, "NF")</f>
        <v>#DIV/0!</v>
      </c>
      <c r="I25" s="32">
        <f>_xlfn.XLOOKUP(Table1[[#This Row],[Party Name]],
[1]Billing!$O$5:$O$20,
[1]Billing!$S$5:$S$20)</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29"/>
      <c r="P25"/>
      <c r="Q25"/>
      <c r="R25"/>
      <c r="S25"/>
      <c r="T25"/>
      <c r="U25"/>
      <c r="V25"/>
      <c r="W25"/>
      <c r="X25"/>
      <c r="Y25"/>
    </row>
    <row r="26" spans="1:25" x14ac:dyDescent="0.3">
      <c r="A26" s="28">
        <v>45947</v>
      </c>
      <c r="B26" s="25" t="s">
        <v>35</v>
      </c>
      <c r="C26" s="29" t="s">
        <v>184</v>
      </c>
      <c r="D26" s="29" t="s">
        <v>87</v>
      </c>
      <c r="E26" s="11"/>
      <c r="F26" s="11"/>
      <c r="G26" s="11"/>
      <c r="H26" s="32" t="e">
        <f>_xlfn.XLOOKUP(Table1[[#This Row],[Shipment Number]], 'pivot '!A:A,'pivot '!G:G, "NF")</f>
        <v>#DIV/0!</v>
      </c>
      <c r="I26" s="32">
        <f>_xlfn.XLOOKUP(Table1[[#This Row],[Party Name]],
[1]Billing!$O$5:$O$20,
[1]Billing!$S$5:$S$20)</f>
        <v>14995.427944403806</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179945.13533284568</v>
      </c>
      <c r="K26" s="29"/>
      <c r="P26"/>
      <c r="Q26"/>
      <c r="R26"/>
      <c r="S26"/>
      <c r="T26"/>
      <c r="U26"/>
      <c r="V26"/>
      <c r="W26"/>
      <c r="X26"/>
      <c r="Y26"/>
    </row>
    <row r="27" spans="1:25" x14ac:dyDescent="0.3">
      <c r="A27" s="28">
        <v>45947</v>
      </c>
      <c r="B27" s="25" t="s">
        <v>151</v>
      </c>
      <c r="C27" s="29" t="s">
        <v>184</v>
      </c>
      <c r="D27" s="29" t="s">
        <v>87</v>
      </c>
      <c r="E27" s="11"/>
      <c r="F27" s="11"/>
      <c r="G27" s="11"/>
      <c r="H27" s="32" t="e">
        <f>_xlfn.XLOOKUP(Table1[[#This Row],[Shipment Number]], 'pivot '!A:A,'pivot '!G:G, "NF")</f>
        <v>#DIV/0!</v>
      </c>
      <c r="I27" s="32">
        <f>_xlfn.XLOOKUP(Table1[[#This Row],[Party Name]],
[1]Billing!$O$5:$O$20,
[1]Billing!$S$5:$S$20)</f>
        <v>0</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7" s="29"/>
      <c r="P27"/>
      <c r="Q27"/>
      <c r="R27"/>
      <c r="S27"/>
      <c r="T27"/>
      <c r="U27"/>
      <c r="V27"/>
      <c r="W27"/>
      <c r="X27"/>
      <c r="Y27"/>
    </row>
    <row r="28" spans="1:25" x14ac:dyDescent="0.3">
      <c r="A28" s="28">
        <v>45947</v>
      </c>
      <c r="B28" s="25" t="s">
        <v>27</v>
      </c>
      <c r="C28" s="29" t="s">
        <v>184</v>
      </c>
      <c r="D28" s="29" t="s">
        <v>87</v>
      </c>
      <c r="E28" s="11"/>
      <c r="F28" s="11"/>
      <c r="G28" s="11"/>
      <c r="H28" s="32" t="e">
        <f>_xlfn.XLOOKUP(Table1[[#This Row],[Shipment Number]], 'pivot '!A:A,'pivot '!G:G, "NF")</f>
        <v>#DIV/0!</v>
      </c>
      <c r="I28" s="32">
        <f>_xlfn.XLOOKUP(Table1[[#This Row],[Party Name]],
[1]Billing!$O$5:$O$20,
[1]Billing!$S$5:$S$20)</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45947</v>
      </c>
      <c r="B29" s="25" t="s">
        <v>170</v>
      </c>
      <c r="C29" s="29" t="s">
        <v>184</v>
      </c>
      <c r="D29" s="29" t="s">
        <v>87</v>
      </c>
      <c r="E29" s="11"/>
      <c r="F29" s="11"/>
      <c r="G29" s="11"/>
      <c r="H29" s="32" t="e">
        <f>_xlfn.XLOOKUP(Table1[[#This Row],[Shipment Number]], 'pivot '!A:A,'pivot '!G:G, "NF")</f>
        <v>#DIV/0!</v>
      </c>
      <c r="I29" s="32">
        <f>_xlfn.XLOOKUP(Table1[[#This Row],[Party Name]],
[1]Billing!$O$5:$O$20,
[1]Billing!$S$5:$S$20)</f>
        <v>63154.718361375279</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757856.62033650337</v>
      </c>
      <c r="K29" s="29"/>
      <c r="P29"/>
      <c r="Q29"/>
      <c r="R29"/>
      <c r="S29"/>
      <c r="T29"/>
      <c r="U29"/>
      <c r="V29"/>
      <c r="W29"/>
      <c r="X29"/>
      <c r="Y29"/>
    </row>
    <row r="30" spans="1:25" x14ac:dyDescent="0.3">
      <c r="A30" s="28">
        <v>45947</v>
      </c>
      <c r="B30" s="25" t="s">
        <v>173</v>
      </c>
      <c r="C30" s="29" t="s">
        <v>184</v>
      </c>
      <c r="D30" s="29" t="s">
        <v>87</v>
      </c>
      <c r="E30" s="11"/>
      <c r="F30" s="11"/>
      <c r="G30" s="11"/>
      <c r="H30" s="32" t="e">
        <f>_xlfn.XLOOKUP(Table1[[#This Row],[Shipment Number]], 'pivot '!A:A,'pivot '!G:G, "NF")</f>
        <v>#DIV/0!</v>
      </c>
      <c r="I30" s="32">
        <f>_xlfn.XLOOKUP(Table1[[#This Row],[Party Name]],
[1]Billing!$O$5:$O$20,
[1]Billing!$S$5:$S$20)</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28">
        <v>45947</v>
      </c>
      <c r="B31" s="25" t="s">
        <v>180</v>
      </c>
      <c r="C31" s="29" t="s">
        <v>184</v>
      </c>
      <c r="D31" s="29" t="s">
        <v>87</v>
      </c>
      <c r="E31" s="11"/>
      <c r="F31" s="11"/>
      <c r="G31" s="11"/>
      <c r="H31" s="32" t="e">
        <f>_xlfn.XLOOKUP(Table1[[#This Row],[Shipment Number]], 'pivot '!A:A,'pivot '!G:G, "NF")</f>
        <v>#DIV/0!</v>
      </c>
      <c r="I31" s="32">
        <f>_xlfn.XLOOKUP(Table1[[#This Row],[Party Name]],
[1]Billing!$O$5:$O$20,
[1]Billing!$S$5:$S$20)</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45947</v>
      </c>
      <c r="B32" s="25" t="s">
        <v>181</v>
      </c>
      <c r="C32" s="29" t="s">
        <v>184</v>
      </c>
      <c r="D32" s="29" t="s">
        <v>87</v>
      </c>
      <c r="E32" s="11"/>
      <c r="F32" s="11"/>
      <c r="G32" s="11"/>
      <c r="H32" s="32" t="e">
        <f>_xlfn.XLOOKUP(Table1[[#This Row],[Shipment Number]], 'pivot '!A:A,'pivot '!G:G, "NF")</f>
        <v>#DIV/0!</v>
      </c>
      <c r="I32" s="32">
        <f>_xlfn.XLOOKUP(Table1[[#This Row],[Party Name]],
[1]Billing!$O$5:$O$20,
[1]Billing!$S$5:$S$20)</f>
        <v>0</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2" s="29"/>
      <c r="P32"/>
      <c r="Q32"/>
      <c r="R32"/>
      <c r="S32"/>
      <c r="T32"/>
      <c r="U32"/>
      <c r="V32"/>
      <c r="W32"/>
      <c r="X32"/>
      <c r="Y32"/>
    </row>
    <row r="33" spans="1:25" x14ac:dyDescent="0.3">
      <c r="A33" s="111">
        <v>45947</v>
      </c>
      <c r="B33" s="25" t="s">
        <v>183</v>
      </c>
      <c r="C33" s="112" t="s">
        <v>184</v>
      </c>
      <c r="D33" s="112" t="s">
        <v>87</v>
      </c>
      <c r="E33" s="113"/>
      <c r="F33" s="113"/>
      <c r="G33" s="113"/>
      <c r="H33" s="114" t="e">
        <f>_xlfn.XLOOKUP(Table1[[#This Row],[Shipment Number]], 'pivot '!A:A,'pivot '!G:G, "NF")</f>
        <v>#DIV/0!</v>
      </c>
      <c r="I33" s="114">
        <f>_xlfn.XLOOKUP(Table1[[#This Row],[Party Name]],
[1]Billing!$O$5:$O$20,
[1]Billing!$S$5:$S$20)</f>
        <v>0</v>
      </c>
      <c r="J33" s="114"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3" s="112"/>
      <c r="P33"/>
      <c r="Q33"/>
      <c r="R33"/>
      <c r="S33"/>
      <c r="T33"/>
      <c r="U33"/>
      <c r="V33"/>
      <c r="W33"/>
      <c r="X33"/>
      <c r="Y33"/>
    </row>
    <row r="34" spans="1:25" x14ac:dyDescent="0.3">
      <c r="A34" s="119">
        <v>45948</v>
      </c>
      <c r="B34" s="122" t="s">
        <v>21</v>
      </c>
      <c r="C34" s="120">
        <v>985</v>
      </c>
      <c r="D34" s="120" t="s">
        <v>87</v>
      </c>
      <c r="E34" s="117">
        <v>1818</v>
      </c>
      <c r="F34" s="117">
        <v>15182</v>
      </c>
      <c r="G34" s="117">
        <v>3532</v>
      </c>
      <c r="H34" s="121">
        <f>_xlfn.XLOOKUP(Table1[[#This Row],[Shipment Number]], 'pivot '!A:A,'pivot '!G:G, "NF")</f>
        <v>52.490614487163164</v>
      </c>
      <c r="I34" s="121">
        <f>Table1[[#This Row],[Tiyaar/gaz]]/1.0936</f>
        <v>3229.7000731528897</v>
      </c>
      <c r="J34" s="121" cm="1">
        <f t="array" ref="J3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38756.400877834676</v>
      </c>
      <c r="K34" s="120"/>
      <c r="P34"/>
      <c r="Q34"/>
      <c r="R34"/>
      <c r="S34"/>
      <c r="T34"/>
      <c r="U34"/>
      <c r="V34"/>
      <c r="W34"/>
      <c r="X34"/>
      <c r="Y34"/>
    </row>
    <row r="35" spans="1:25" x14ac:dyDescent="0.3">
      <c r="A35" s="119">
        <v>45948</v>
      </c>
      <c r="B35" s="29" t="s">
        <v>21</v>
      </c>
      <c r="C35" s="29">
        <v>986</v>
      </c>
      <c r="D35" s="29" t="s">
        <v>87</v>
      </c>
      <c r="E35" s="11">
        <v>1818</v>
      </c>
      <c r="F35" s="11">
        <v>15182</v>
      </c>
      <c r="G35" s="11">
        <v>4356</v>
      </c>
      <c r="H35" s="32">
        <f>_xlfn.XLOOKUP(Table1[[#This Row],[Shipment Number]], 'pivot '!A:A,'pivot '!G:G, "NF")</f>
        <v>52.490614487163164</v>
      </c>
      <c r="I35" s="121">
        <f>Table1[[#This Row],[Tiyaar/gaz]]/1.0936</f>
        <v>3983.1748354059987</v>
      </c>
      <c r="J35" s="121" cm="1">
        <f t="array" ref="J3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47798.098024871986</v>
      </c>
      <c r="K35" s="29"/>
      <c r="P35"/>
      <c r="Q35"/>
      <c r="R35"/>
      <c r="S35"/>
      <c r="T35"/>
      <c r="U35"/>
      <c r="V35"/>
      <c r="W35"/>
      <c r="X35"/>
      <c r="Y35"/>
    </row>
    <row r="36" spans="1:25" x14ac:dyDescent="0.3">
      <c r="A36" s="119">
        <v>45948</v>
      </c>
      <c r="B36" s="29" t="s">
        <v>21</v>
      </c>
      <c r="C36" s="29">
        <v>987</v>
      </c>
      <c r="D36" s="29" t="s">
        <v>87</v>
      </c>
      <c r="E36" s="11">
        <v>1780</v>
      </c>
      <c r="F36" s="11">
        <v>10086</v>
      </c>
      <c r="G36" s="11">
        <v>7867</v>
      </c>
      <c r="H36" s="32">
        <f>_xlfn.XLOOKUP(Table1[[#This Row],[Shipment Number]], 'pivot '!A:A,'pivot '!G:G, "NF")</f>
        <v>0.46282294143081515</v>
      </c>
      <c r="I36" s="121">
        <f>Table1[[#This Row],[Tiyaar/gaz]]/1.0936</f>
        <v>7193.6722750548652</v>
      </c>
      <c r="J36" s="121" cm="1">
        <f t="array" ref="J3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86324.067300658382</v>
      </c>
      <c r="K36" s="29"/>
      <c r="P36"/>
      <c r="Q36"/>
      <c r="R36"/>
      <c r="S36"/>
      <c r="T36"/>
      <c r="U36"/>
      <c r="V36"/>
      <c r="W36"/>
      <c r="X36"/>
      <c r="Y36"/>
    </row>
    <row r="37" spans="1:25" x14ac:dyDescent="0.3">
      <c r="A37" s="119">
        <v>45948</v>
      </c>
      <c r="B37" s="29" t="s">
        <v>21</v>
      </c>
      <c r="C37" s="29">
        <v>988</v>
      </c>
      <c r="D37" s="29" t="s">
        <v>87</v>
      </c>
      <c r="E37" s="11">
        <v>1780</v>
      </c>
      <c r="F37" s="11">
        <v>10086</v>
      </c>
      <c r="G37" s="11">
        <v>3112</v>
      </c>
      <c r="H37" s="32">
        <f>_xlfn.XLOOKUP(Table1[[#This Row],[Shipment Number]], 'pivot '!A:A,'pivot '!G:G, "NF")</f>
        <v>0.46282294143081515</v>
      </c>
      <c r="I37" s="121">
        <f>Table1[[#This Row],[Tiyaar/gaz]]/1.0936</f>
        <v>2845.6474030724216</v>
      </c>
      <c r="J37" s="121" cm="1">
        <f t="array" ref="J3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34147.768836869058</v>
      </c>
      <c r="K37" s="29"/>
      <c r="P37"/>
      <c r="Q37"/>
      <c r="R37"/>
      <c r="S37"/>
      <c r="T37"/>
      <c r="U37"/>
      <c r="V37"/>
      <c r="W37"/>
      <c r="X37"/>
      <c r="Y37"/>
    </row>
    <row r="38" spans="1:25" x14ac:dyDescent="0.3">
      <c r="A38" s="119">
        <v>45948</v>
      </c>
      <c r="B38" s="29" t="s">
        <v>198</v>
      </c>
      <c r="C38" s="29">
        <v>989</v>
      </c>
      <c r="D38" s="29" t="s">
        <v>87</v>
      </c>
      <c r="E38" s="11">
        <v>1800</v>
      </c>
      <c r="F38" s="11">
        <v>32917</v>
      </c>
      <c r="G38" s="11">
        <v>34960</v>
      </c>
      <c r="H38" s="32">
        <f>_xlfn.XLOOKUP(Table1[[#This Row],[Shipment Number]], 'pivot '!A:A,'pivot '!G:G, "NF")</f>
        <v>2.8835776996604068</v>
      </c>
      <c r="I38" s="121">
        <f>Table1[[#This Row],[Tiyaar/gaz]]/1.0936</f>
        <v>31967.812728602781</v>
      </c>
      <c r="J38" s="121" cm="1">
        <f t="array" ref="J3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415581.56547183613</v>
      </c>
      <c r="K38" s="29"/>
      <c r="P38"/>
      <c r="Q38"/>
      <c r="R38"/>
      <c r="S38"/>
      <c r="T38"/>
      <c r="U38"/>
      <c r="V38"/>
      <c r="W38"/>
      <c r="X38"/>
      <c r="Y38"/>
    </row>
    <row r="39" spans="1:25" x14ac:dyDescent="0.3">
      <c r="A39" s="119">
        <v>45948</v>
      </c>
      <c r="B39" s="29" t="s">
        <v>21</v>
      </c>
      <c r="C39" s="29">
        <v>990</v>
      </c>
      <c r="D39" s="29" t="s">
        <v>87</v>
      </c>
      <c r="E39" s="11">
        <v>1826</v>
      </c>
      <c r="F39" s="11">
        <v>22518</v>
      </c>
      <c r="G39" s="11">
        <v>3397</v>
      </c>
      <c r="H39" s="32">
        <f>_xlfn.XLOOKUP(Table1[[#This Row],[Shipment Number]], 'pivot '!A:A,'pivot '!G:G, "NF")</f>
        <v>4.5102697001952947</v>
      </c>
      <c r="I39" s="121">
        <f>Table1[[#This Row],[Tiyaar/gaz]]/1.0936</f>
        <v>3106.2545720555963</v>
      </c>
      <c r="J39" s="121" cm="1">
        <f t="array" ref="J3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37275.054864667152</v>
      </c>
      <c r="K39" s="29"/>
      <c r="P39"/>
      <c r="Q39"/>
      <c r="R39"/>
      <c r="S39"/>
      <c r="T39"/>
      <c r="U39"/>
      <c r="V39"/>
      <c r="W39"/>
      <c r="X39"/>
      <c r="Y39"/>
    </row>
    <row r="40" spans="1:25" x14ac:dyDescent="0.3">
      <c r="A40" s="28">
        <v>45950</v>
      </c>
      <c r="B40" s="29" t="s">
        <v>21</v>
      </c>
      <c r="C40" s="29">
        <v>991</v>
      </c>
      <c r="D40" s="29" t="s">
        <v>87</v>
      </c>
      <c r="E40" s="11">
        <v>1826</v>
      </c>
      <c r="F40" s="11">
        <v>22518</v>
      </c>
      <c r="G40" s="11">
        <v>20118</v>
      </c>
      <c r="H40" s="32">
        <f>_xlfn.XLOOKUP(Table1[[#This Row],[Shipment Number]], 'pivot '!A:A,'pivot '!G:G, "NF")</f>
        <v>4.5102697001952947</v>
      </c>
      <c r="I40" s="121">
        <f>Table1[[#This Row],[Tiyaar/gaz]]/1.0936</f>
        <v>18396.122896854427</v>
      </c>
      <c r="J40" s="121" cm="1">
        <f t="array" ref="J4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220753.47476225311</v>
      </c>
      <c r="K40" s="29"/>
      <c r="P40"/>
      <c r="Q40"/>
      <c r="R40"/>
      <c r="S40"/>
      <c r="T40"/>
      <c r="U40"/>
      <c r="V40"/>
      <c r="W40"/>
      <c r="X40"/>
      <c r="Y40"/>
    </row>
    <row r="41" spans="1:25" x14ac:dyDescent="0.3">
      <c r="A41" s="28">
        <v>45950</v>
      </c>
      <c r="B41" s="29" t="s">
        <v>22</v>
      </c>
      <c r="C41" s="29">
        <v>992</v>
      </c>
      <c r="D41" s="29" t="s">
        <v>87</v>
      </c>
      <c r="E41" s="11">
        <v>1803</v>
      </c>
      <c r="F41" s="11">
        <v>20021</v>
      </c>
      <c r="G41" s="11">
        <v>21555</v>
      </c>
      <c r="H41" s="32">
        <f>_xlfn.XLOOKUP(Table1[[#This Row],[Shipment Number]], 'pivot '!A:A,'pivot '!G:G, "NF")</f>
        <v>1.5527112771531364</v>
      </c>
      <c r="I41" s="121">
        <f>Table1[[#This Row],[Tiyaar/gaz]]/1.0936</f>
        <v>19710.131675201173</v>
      </c>
      <c r="J41" s="121" cm="1">
        <f t="array" ref="J4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236521.58010241407</v>
      </c>
      <c r="K41" s="29"/>
      <c r="P41"/>
      <c r="Q41"/>
      <c r="R41"/>
      <c r="S41"/>
      <c r="T41"/>
      <c r="U41"/>
      <c r="V41"/>
      <c r="W41"/>
      <c r="X41"/>
      <c r="Y41"/>
    </row>
    <row r="42" spans="1:25" x14ac:dyDescent="0.3">
      <c r="A42" s="28">
        <v>45950</v>
      </c>
      <c r="B42" s="29" t="s">
        <v>21</v>
      </c>
      <c r="C42" s="29">
        <v>993</v>
      </c>
      <c r="D42" s="29" t="s">
        <v>87</v>
      </c>
      <c r="E42" s="11">
        <v>1829</v>
      </c>
      <c r="F42" s="11">
        <v>20054</v>
      </c>
      <c r="G42" s="11">
        <v>1563</v>
      </c>
      <c r="H42" s="32">
        <f>_xlfn.XLOOKUP(Table1[[#This Row],[Shipment Number]], 'pivot '!A:A,'pivot '!G:G, "NF")</f>
        <v>3.1966287950113212</v>
      </c>
      <c r="I42" s="121">
        <f>Table1[[#This Row],[Tiyaar/gaz]]/1.0936</f>
        <v>1429.2245793708853</v>
      </c>
      <c r="J42" s="121" cm="1">
        <f t="array" ref="J4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17150.694952450624</v>
      </c>
      <c r="K42" s="29"/>
      <c r="P42"/>
      <c r="Q42"/>
      <c r="R42"/>
      <c r="S42"/>
      <c r="T42"/>
      <c r="U42"/>
      <c r="V42"/>
      <c r="W42"/>
      <c r="X42"/>
      <c r="Y42"/>
    </row>
    <row r="43" spans="1:25" x14ac:dyDescent="0.3">
      <c r="A43" s="28">
        <v>45950</v>
      </c>
      <c r="B43" s="29" t="s">
        <v>227</v>
      </c>
      <c r="C43" s="29">
        <v>994</v>
      </c>
      <c r="D43" s="29" t="s">
        <v>87</v>
      </c>
      <c r="E43" s="11">
        <v>1813</v>
      </c>
      <c r="F43" s="11">
        <v>7734</v>
      </c>
      <c r="G43" s="11">
        <v>8274</v>
      </c>
      <c r="H43" s="32">
        <f>_xlfn.XLOOKUP(Table1[[#This Row],[Shipment Number]], 'pivot '!A:A,'pivot '!G:G, "NF")</f>
        <v>2.1743263436097209</v>
      </c>
      <c r="I43" s="121">
        <f>Table1[[#This Row],[Tiyaar/gaz]]/1.0936</f>
        <v>7565.8376005852242</v>
      </c>
      <c r="J43" s="121" cm="1">
        <f t="array" ref="J4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90790.051207022683</v>
      </c>
      <c r="K43" s="29"/>
      <c r="P43"/>
      <c r="Q43"/>
      <c r="R43"/>
      <c r="S43"/>
      <c r="T43"/>
      <c r="U43"/>
      <c r="V43"/>
      <c r="W43"/>
      <c r="X43"/>
      <c r="Y43"/>
    </row>
    <row r="44" spans="1:25" x14ac:dyDescent="0.3">
      <c r="A44" s="28">
        <v>45951</v>
      </c>
      <c r="B44" s="29" t="s">
        <v>21</v>
      </c>
      <c r="C44" s="29">
        <v>995</v>
      </c>
      <c r="D44" s="29" t="s">
        <v>87</v>
      </c>
      <c r="E44" s="11">
        <v>1829</v>
      </c>
      <c r="F44" s="11">
        <v>20054</v>
      </c>
      <c r="G44" s="11">
        <v>19667</v>
      </c>
      <c r="H44" s="32">
        <f>_xlfn.XLOOKUP(Table1[[#This Row],[Shipment Number]], 'pivot '!A:A,'pivot '!G:G, "NF")</f>
        <v>3.1966287950113212</v>
      </c>
      <c r="I44" s="121">
        <f>Table1[[#This Row],[Tiyaar/gaz]]/1.0936</f>
        <v>17983.723482077545</v>
      </c>
      <c r="J44" s="121" cm="1">
        <f t="array" ref="J4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215804.68178493052</v>
      </c>
      <c r="K44" s="29"/>
      <c r="P44"/>
      <c r="Q44"/>
      <c r="R44"/>
      <c r="S44"/>
      <c r="T44"/>
      <c r="U44"/>
      <c r="V44"/>
      <c r="W44"/>
      <c r="X44"/>
      <c r="Y44"/>
    </row>
    <row r="45" spans="1:25" x14ac:dyDescent="0.3">
      <c r="A45" s="28">
        <v>45951</v>
      </c>
      <c r="B45" s="29" t="s">
        <v>22</v>
      </c>
      <c r="C45" s="29">
        <v>996</v>
      </c>
      <c r="D45" s="29" t="s">
        <v>87</v>
      </c>
      <c r="E45" s="11">
        <v>1827</v>
      </c>
      <c r="F45" s="11">
        <v>25039</v>
      </c>
      <c r="G45" s="11">
        <v>17569</v>
      </c>
      <c r="H45" s="32">
        <f>_xlfn.XLOOKUP(Table1[[#This Row],[Shipment Number]], 'pivot '!A:A,'pivot '!G:G, "NF")</f>
        <v>2.0072943705989843</v>
      </c>
      <c r="I45" s="121">
        <f>Table1[[#This Row],[Tiyaar/gaz]]/1.0936</f>
        <v>16065.288953913681</v>
      </c>
      <c r="J45" s="121" cm="1">
        <f t="array" ref="J4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192783.46744696418</v>
      </c>
      <c r="K45" s="29"/>
      <c r="P45"/>
      <c r="Q45"/>
      <c r="R45"/>
      <c r="S45"/>
      <c r="T45"/>
      <c r="U45"/>
      <c r="V45"/>
      <c r="W45"/>
      <c r="X45"/>
      <c r="Y45"/>
    </row>
    <row r="46" spans="1:25" x14ac:dyDescent="0.3">
      <c r="A46" s="28">
        <v>45951</v>
      </c>
      <c r="B46" s="29" t="s">
        <v>22</v>
      </c>
      <c r="C46" s="29">
        <v>997</v>
      </c>
      <c r="D46" s="29" t="s">
        <v>87</v>
      </c>
      <c r="E46" s="11">
        <v>1827</v>
      </c>
      <c r="F46" s="11">
        <v>25039</v>
      </c>
      <c r="G46" s="11">
        <v>9264</v>
      </c>
      <c r="H46" s="32">
        <f>_xlfn.XLOOKUP(Table1[[#This Row],[Shipment Number]], 'pivot '!A:A,'pivot '!G:G, "NF")</f>
        <v>2.0072943705989843</v>
      </c>
      <c r="I46" s="121">
        <f>Table1[[#This Row],[Tiyaar/gaz]]/1.0936</f>
        <v>8471.1046086320421</v>
      </c>
      <c r="J46" s="121" cm="1">
        <f t="array" ref="J4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101653.2553035845</v>
      </c>
      <c r="K46" s="29"/>
      <c r="P46"/>
      <c r="Q46"/>
      <c r="R46"/>
      <c r="S46"/>
      <c r="T46"/>
      <c r="U46"/>
      <c r="V46"/>
      <c r="W46"/>
      <c r="X46"/>
      <c r="Y46"/>
    </row>
    <row r="47" spans="1:25" x14ac:dyDescent="0.3">
      <c r="A47" s="28">
        <v>45951</v>
      </c>
      <c r="B47" s="29" t="s">
        <v>9</v>
      </c>
      <c r="C47" s="29">
        <v>998</v>
      </c>
      <c r="D47" s="29" t="s">
        <v>85</v>
      </c>
      <c r="E47" s="11">
        <v>1761</v>
      </c>
      <c r="F47" s="11">
        <v>35598</v>
      </c>
      <c r="G47" s="11">
        <v>38020</v>
      </c>
      <c r="H47" s="32">
        <f>_xlfn.XLOOKUP(Table1[[#This Row],[Shipment Number]], 'pivot '!A:A,'pivot '!G:G, "NF")</f>
        <v>2.3374606621867287</v>
      </c>
      <c r="I47" s="121">
        <f>Table1[[#This Row],[Tiyaar/gaz]]/1.0936</f>
        <v>34765.910753474767</v>
      </c>
      <c r="J47" s="121" cm="1">
        <f t="array" ref="J4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347659.10753474769</v>
      </c>
      <c r="K47" s="29"/>
      <c r="P47"/>
      <c r="Q47"/>
      <c r="R47"/>
      <c r="S47"/>
      <c r="T47"/>
      <c r="U47"/>
      <c r="V47"/>
      <c r="W47"/>
      <c r="X47"/>
      <c r="Y47"/>
    </row>
    <row r="48" spans="1:25" x14ac:dyDescent="0.3">
      <c r="A48" s="28">
        <v>45952</v>
      </c>
      <c r="B48" s="29" t="s">
        <v>9</v>
      </c>
      <c r="C48" s="29">
        <v>999</v>
      </c>
      <c r="D48" s="29" t="s">
        <v>85</v>
      </c>
      <c r="E48" s="11">
        <v>1786</v>
      </c>
      <c r="F48" s="11">
        <v>34719</v>
      </c>
      <c r="G48" s="11">
        <v>37349</v>
      </c>
      <c r="H48" s="32">
        <f>_xlfn.XLOOKUP(Table1[[#This Row],[Shipment Number]], 'pivot '!A:A,'pivot '!G:G, "NF")</f>
        <v>1.6321296913354217</v>
      </c>
      <c r="I48" s="121">
        <f>Table1[[#This Row],[Tiyaar/gaz]]/1.0936</f>
        <v>34152.340892465254</v>
      </c>
      <c r="J48" s="121" cm="1">
        <f t="array" ref="J4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341523.40892465255</v>
      </c>
      <c r="K48" s="29"/>
      <c r="P48"/>
      <c r="Q48"/>
      <c r="R48"/>
      <c r="S48"/>
      <c r="T48"/>
      <c r="U48"/>
      <c r="V48"/>
      <c r="W48"/>
      <c r="X48"/>
      <c r="Y48"/>
    </row>
    <row r="49" spans="1:25" x14ac:dyDescent="0.3">
      <c r="A49" s="28">
        <v>45952</v>
      </c>
      <c r="B49" s="29" t="s">
        <v>249</v>
      </c>
      <c r="C49" s="29">
        <v>1000</v>
      </c>
      <c r="D49" s="29" t="s">
        <v>87</v>
      </c>
      <c r="E49" s="11">
        <v>1834</v>
      </c>
      <c r="F49" s="11">
        <v>18060</v>
      </c>
      <c r="G49" s="11">
        <v>1662</v>
      </c>
      <c r="H49" s="32">
        <f>_xlfn.XLOOKUP(Table1[[#This Row],[Shipment Number]], 'pivot '!A:A,'pivot '!G:G, "NF")</f>
        <v>91.584987374443145</v>
      </c>
      <c r="I49" s="121">
        <f>Table1[[#This Row],[Tiyaar/gaz]]/1.0936</f>
        <v>1519.751280175567</v>
      </c>
      <c r="J49" s="121" cm="1">
        <f t="array" ref="J4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19756.766642282371</v>
      </c>
      <c r="K49" s="29"/>
      <c r="P49"/>
      <c r="Q49"/>
      <c r="R49"/>
      <c r="S49"/>
      <c r="T49"/>
      <c r="U49"/>
      <c r="V49"/>
      <c r="W49"/>
      <c r="X49"/>
      <c r="Y49"/>
    </row>
    <row r="50" spans="1:25" x14ac:dyDescent="0.3">
      <c r="A50" s="28">
        <v>45952</v>
      </c>
      <c r="B50" s="29" t="s">
        <v>25</v>
      </c>
      <c r="C50" s="29">
        <v>1001</v>
      </c>
      <c r="D50" s="29" t="s">
        <v>85</v>
      </c>
      <c r="E50" s="11">
        <v>1796</v>
      </c>
      <c r="F50" s="11">
        <v>42632</v>
      </c>
      <c r="G50" s="11">
        <v>45331</v>
      </c>
      <c r="H50" s="32">
        <f>_xlfn.XLOOKUP(Table1[[#This Row],[Shipment Number]], 'pivot '!A:A,'pivot '!G:G, "NF")</f>
        <v>2.7698197451852451</v>
      </c>
      <c r="I50" s="121">
        <f>Table1[[#This Row],[Tiyaar/gaz]]/1.0936</f>
        <v>41451.170446232631</v>
      </c>
      <c r="J50" s="121" cm="1">
        <f t="array" ref="J5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414511.70446232631</v>
      </c>
      <c r="K50" s="29"/>
      <c r="P50"/>
      <c r="Q50"/>
      <c r="R50"/>
      <c r="S50"/>
      <c r="T50"/>
      <c r="U50"/>
      <c r="V50"/>
      <c r="W50"/>
      <c r="X50"/>
      <c r="Y50"/>
    </row>
    <row r="51" spans="1:25" x14ac:dyDescent="0.3">
      <c r="A51"/>
      <c r="B51"/>
      <c r="C51"/>
      <c r="D51"/>
      <c r="E51" s="14"/>
      <c r="F51" s="14"/>
      <c r="G51" s="14"/>
      <c r="H51" s="48"/>
      <c r="I51" s="103" cm="1">
        <f t="array" aca="1" ref="I51" ca="1">SUMPRODUCT( SUBTOTAL(109, OFFSET(Table1[tiyar/meters], ROW(Table1[tiyar/meters])-MIN(ROW(Table1[tiyar/meters])), 0, 1)), --(Table1[Bill Number]&lt;&gt;"September Closing CF") )</f>
        <v>253836.86905632779</v>
      </c>
      <c r="J51" s="48" cm="1">
        <f t="array" aca="1" ref="J51" ca="1">SUMPRODUCT( SUBTOTAL(109, OFFSET(Table1[billing], ROW(Table1[billing])-MIN(ROW(Table1[billing])), 0, 1)), --(Table1[Bill Number]&lt;&gt;"September Closing CF") )</f>
        <v>2858791.1485003657</v>
      </c>
      <c r="K51" s="14">
        <f>SUMIFS(Table1[billing], Table1[Bill Number], "&lt;&gt;September Closing CF")</f>
        <v>2858791.1485003657</v>
      </c>
      <c r="P51"/>
      <c r="Q51"/>
      <c r="R51"/>
      <c r="S51"/>
      <c r="T51"/>
      <c r="U51"/>
      <c r="V51"/>
      <c r="W51"/>
      <c r="X51"/>
      <c r="Y51"/>
    </row>
    <row r="52" spans="1:25" x14ac:dyDescent="0.3">
      <c r="P52"/>
      <c r="Q52"/>
      <c r="R52"/>
      <c r="S52"/>
      <c r="T52"/>
      <c r="U52"/>
      <c r="V52"/>
      <c r="W52"/>
      <c r="X52"/>
      <c r="Y52"/>
    </row>
    <row r="53" spans="1:25" x14ac:dyDescent="0.3">
      <c r="P53"/>
      <c r="Q53"/>
      <c r="R53"/>
      <c r="S53"/>
      <c r="T53"/>
      <c r="U53"/>
      <c r="V53"/>
      <c r="W53"/>
      <c r="X53"/>
      <c r="Y53"/>
    </row>
    <row r="54" spans="1:25" x14ac:dyDescent="0.3">
      <c r="P54"/>
      <c r="Q54"/>
      <c r="R54"/>
      <c r="S54"/>
      <c r="T54"/>
      <c r="U54"/>
      <c r="V54"/>
      <c r="W54"/>
      <c r="X54"/>
      <c r="Y54"/>
    </row>
    <row r="55" spans="1:25" x14ac:dyDescent="0.3">
      <c r="P55"/>
      <c r="Q55"/>
      <c r="R55"/>
      <c r="S55"/>
      <c r="T55"/>
      <c r="U55"/>
      <c r="V55"/>
      <c r="W55"/>
      <c r="X55"/>
      <c r="Y55"/>
    </row>
    <row r="56" spans="1:25" x14ac:dyDescent="0.3">
      <c r="D56" s="3" t="s">
        <v>2</v>
      </c>
      <c r="E56" t="s">
        <v>88</v>
      </c>
      <c r="P56"/>
      <c r="Q56"/>
      <c r="R56"/>
      <c r="S56"/>
      <c r="T56"/>
      <c r="U56"/>
      <c r="V56"/>
      <c r="W56"/>
      <c r="X56"/>
      <c r="Y56"/>
    </row>
    <row r="57" spans="1:25" x14ac:dyDescent="0.3">
      <c r="D57" s="3" t="s">
        <v>75</v>
      </c>
      <c r="E57" t="s">
        <v>88</v>
      </c>
      <c r="P57"/>
      <c r="Q57"/>
      <c r="R57"/>
      <c r="S57"/>
      <c r="T57"/>
      <c r="U57"/>
      <c r="V57"/>
      <c r="W57"/>
      <c r="X57"/>
      <c r="Y57"/>
    </row>
    <row r="58" spans="1:25" x14ac:dyDescent="0.3">
      <c r="D58" s="3" t="s">
        <v>79</v>
      </c>
      <c r="E58" t="s">
        <v>88</v>
      </c>
      <c r="P58"/>
      <c r="Q58"/>
      <c r="R58"/>
      <c r="S58"/>
      <c r="T58"/>
      <c r="U58"/>
      <c r="V58"/>
      <c r="W58"/>
    </row>
    <row r="59" spans="1:25" x14ac:dyDescent="0.3">
      <c r="P59"/>
      <c r="Q59"/>
      <c r="R59"/>
      <c r="S59"/>
      <c r="T59"/>
      <c r="U59"/>
    </row>
    <row r="60" spans="1:25" x14ac:dyDescent="0.3">
      <c r="D60" s="3" t="s">
        <v>6</v>
      </c>
      <c r="E60" t="s">
        <v>89</v>
      </c>
      <c r="F60" t="s">
        <v>90</v>
      </c>
      <c r="G60" t="s">
        <v>91</v>
      </c>
      <c r="I60" s="3" t="s">
        <v>6</v>
      </c>
      <c r="J60" t="s">
        <v>90</v>
      </c>
      <c r="K60" t="s">
        <v>91</v>
      </c>
      <c r="M60"/>
      <c r="P60"/>
      <c r="Q60"/>
      <c r="R60"/>
      <c r="S60"/>
      <c r="T60"/>
      <c r="U60"/>
    </row>
    <row r="61" spans="1:25" x14ac:dyDescent="0.3">
      <c r="D61" s="16" t="s">
        <v>184</v>
      </c>
      <c r="E61" s="125"/>
      <c r="F61" s="33">
        <v>4247868.5076810541</v>
      </c>
      <c r="G61" s="125">
        <v>43208092.582516462</v>
      </c>
      <c r="I61" s="27">
        <v>45947</v>
      </c>
      <c r="J61" s="48">
        <v>4247868.5076810541</v>
      </c>
      <c r="K61" s="14">
        <v>43208092.582516462</v>
      </c>
      <c r="M61"/>
      <c r="P61"/>
      <c r="Q61"/>
      <c r="R61"/>
      <c r="S61"/>
    </row>
    <row r="62" spans="1:25" x14ac:dyDescent="0.3">
      <c r="D62" s="16">
        <v>985</v>
      </c>
      <c r="E62" s="125">
        <v>3532</v>
      </c>
      <c r="F62" s="33">
        <v>3229.7000731528897</v>
      </c>
      <c r="G62" s="125">
        <v>38756.400877834676</v>
      </c>
      <c r="I62" s="27">
        <v>45948</v>
      </c>
      <c r="J62" s="48">
        <v>52326.261887344546</v>
      </c>
      <c r="K62" s="14">
        <v>659882.95537673729</v>
      </c>
      <c r="M62"/>
      <c r="P62"/>
      <c r="Q62"/>
      <c r="R62"/>
      <c r="S62"/>
    </row>
    <row r="63" spans="1:25" x14ac:dyDescent="0.3">
      <c r="D63" s="16">
        <v>986</v>
      </c>
      <c r="E63" s="125">
        <v>4356</v>
      </c>
      <c r="F63" s="33">
        <v>3983.1748354059987</v>
      </c>
      <c r="G63" s="125">
        <v>47798.098024871986</v>
      </c>
      <c r="I63" s="27">
        <v>45950</v>
      </c>
      <c r="J63" s="48">
        <v>47101.316752011713</v>
      </c>
      <c r="K63" s="14">
        <v>565215.80102414056</v>
      </c>
      <c r="M63"/>
      <c r="P63"/>
      <c r="Q63"/>
      <c r="R63"/>
      <c r="S63"/>
    </row>
    <row r="64" spans="1:25" x14ac:dyDescent="0.3">
      <c r="D64" s="16">
        <v>987</v>
      </c>
      <c r="E64" s="125">
        <v>7867</v>
      </c>
      <c r="F64" s="33">
        <v>7193.6722750548652</v>
      </c>
      <c r="G64" s="125">
        <v>86324.067300658382</v>
      </c>
      <c r="I64" s="27">
        <v>45951</v>
      </c>
      <c r="J64" s="48">
        <v>77286.027798098046</v>
      </c>
      <c r="K64" s="14">
        <v>857900.51207022695</v>
      </c>
      <c r="M64"/>
      <c r="P64"/>
      <c r="Q64"/>
      <c r="R64"/>
      <c r="S64"/>
    </row>
    <row r="65" spans="4:19" x14ac:dyDescent="0.3">
      <c r="D65" s="16">
        <v>988</v>
      </c>
      <c r="E65" s="125">
        <v>3112</v>
      </c>
      <c r="F65" s="33">
        <v>2845.6474030724216</v>
      </c>
      <c r="G65" s="125">
        <v>34147.768836869058</v>
      </c>
      <c r="I65" s="27">
        <v>45952</v>
      </c>
      <c r="J65" s="48">
        <v>77123.262618873443</v>
      </c>
      <c r="K65" s="14">
        <v>775791.88002926123</v>
      </c>
      <c r="M65"/>
      <c r="P65"/>
      <c r="Q65"/>
      <c r="R65"/>
      <c r="S65"/>
    </row>
    <row r="66" spans="4:19" x14ac:dyDescent="0.3">
      <c r="D66" s="16">
        <v>989</v>
      </c>
      <c r="E66" s="125">
        <v>34960</v>
      </c>
      <c r="F66" s="33">
        <v>31967.812728602781</v>
      </c>
      <c r="G66" s="125">
        <v>415581.56547183613</v>
      </c>
      <c r="I66" s="27" t="s">
        <v>28</v>
      </c>
      <c r="J66" s="48">
        <v>4501705.3767373823</v>
      </c>
      <c r="K66" s="14">
        <v>46066883.731016822</v>
      </c>
      <c r="M66"/>
      <c r="P66"/>
      <c r="Q66"/>
      <c r="R66"/>
      <c r="S66"/>
    </row>
    <row r="67" spans="4:19" x14ac:dyDescent="0.3">
      <c r="D67" s="16">
        <v>990</v>
      </c>
      <c r="E67" s="125">
        <v>3397</v>
      </c>
      <c r="F67" s="33">
        <v>3106.2545720555963</v>
      </c>
      <c r="G67" s="125">
        <v>37275.054864667152</v>
      </c>
      <c r="I67"/>
      <c r="J67"/>
      <c r="K67"/>
      <c r="M67"/>
      <c r="P67"/>
      <c r="Q67"/>
      <c r="R67"/>
      <c r="S67"/>
    </row>
    <row r="68" spans="4:19" x14ac:dyDescent="0.3">
      <c r="D68" s="16">
        <v>991</v>
      </c>
      <c r="E68" s="125">
        <v>20118</v>
      </c>
      <c r="F68" s="33">
        <v>18396.122896854427</v>
      </c>
      <c r="G68" s="125">
        <v>220753.47476225311</v>
      </c>
      <c r="I68"/>
      <c r="J68"/>
      <c r="K68"/>
      <c r="M68"/>
      <c r="P68"/>
      <c r="Q68"/>
      <c r="R68"/>
      <c r="S68"/>
    </row>
    <row r="69" spans="4:19" x14ac:dyDescent="0.3">
      <c r="D69" s="16">
        <v>992</v>
      </c>
      <c r="E69" s="125">
        <v>21555</v>
      </c>
      <c r="F69" s="33">
        <v>19710.131675201173</v>
      </c>
      <c r="G69" s="125">
        <v>236521.58010241407</v>
      </c>
      <c r="I69"/>
      <c r="J69"/>
      <c r="K69"/>
      <c r="M69"/>
      <c r="P69"/>
      <c r="Q69"/>
      <c r="R69"/>
      <c r="S69"/>
    </row>
    <row r="70" spans="4:19" x14ac:dyDescent="0.3">
      <c r="D70" s="16">
        <v>993</v>
      </c>
      <c r="E70" s="125">
        <v>1563</v>
      </c>
      <c r="F70" s="33">
        <v>1429.2245793708853</v>
      </c>
      <c r="G70" s="125">
        <v>17150.694952450624</v>
      </c>
      <c r="I70"/>
      <c r="J70"/>
      <c r="K70"/>
      <c r="P70"/>
      <c r="Q70"/>
      <c r="R70"/>
      <c r="S70"/>
    </row>
    <row r="71" spans="4:19" x14ac:dyDescent="0.3">
      <c r="D71" s="16">
        <v>994</v>
      </c>
      <c r="E71" s="125">
        <v>8274</v>
      </c>
      <c r="F71" s="33">
        <v>7565.8376005852242</v>
      </c>
      <c r="G71" s="125">
        <v>90790.051207022683</v>
      </c>
      <c r="I71"/>
      <c r="J71"/>
      <c r="K71"/>
      <c r="L71"/>
      <c r="P71"/>
      <c r="Q71"/>
      <c r="R71"/>
      <c r="S71"/>
    </row>
    <row r="72" spans="4:19" x14ac:dyDescent="0.3">
      <c r="D72" s="16">
        <v>995</v>
      </c>
      <c r="E72" s="125">
        <v>19667</v>
      </c>
      <c r="F72" s="33">
        <v>17983.723482077545</v>
      </c>
      <c r="G72" s="125">
        <v>215804.68178493052</v>
      </c>
      <c r="I72"/>
      <c r="J72"/>
      <c r="K72"/>
      <c r="L72"/>
      <c r="P72"/>
      <c r="Q72"/>
      <c r="R72"/>
      <c r="S72"/>
    </row>
    <row r="73" spans="4:19" x14ac:dyDescent="0.3">
      <c r="D73" s="16">
        <v>996</v>
      </c>
      <c r="E73" s="125">
        <v>17569</v>
      </c>
      <c r="F73" s="33">
        <v>16065.288953913681</v>
      </c>
      <c r="G73" s="125">
        <v>192783.46744696418</v>
      </c>
      <c r="I73"/>
      <c r="J73"/>
      <c r="K73"/>
      <c r="L73"/>
      <c r="O73"/>
      <c r="P73"/>
      <c r="Q73"/>
    </row>
    <row r="74" spans="4:19" x14ac:dyDescent="0.3">
      <c r="D74" s="16">
        <v>997</v>
      </c>
      <c r="E74" s="125">
        <v>9264</v>
      </c>
      <c r="F74" s="33">
        <v>8471.1046086320421</v>
      </c>
      <c r="G74" s="125">
        <v>101653.2553035845</v>
      </c>
      <c r="I74"/>
      <c r="J74"/>
      <c r="K74"/>
      <c r="L74"/>
      <c r="O74"/>
      <c r="P74"/>
      <c r="Q74"/>
    </row>
    <row r="75" spans="4:19" x14ac:dyDescent="0.3">
      <c r="D75" s="16">
        <v>998</v>
      </c>
      <c r="E75" s="125">
        <v>38020</v>
      </c>
      <c r="F75" s="33">
        <v>34765.910753474767</v>
      </c>
      <c r="G75" s="125">
        <v>347659.10753474769</v>
      </c>
      <c r="I75"/>
      <c r="J75"/>
      <c r="K75"/>
      <c r="L75"/>
      <c r="O75"/>
      <c r="P75"/>
      <c r="Q75"/>
    </row>
    <row r="76" spans="4:19" x14ac:dyDescent="0.3">
      <c r="D76" s="16">
        <v>999</v>
      </c>
      <c r="E76" s="125">
        <v>37349</v>
      </c>
      <c r="F76" s="33">
        <v>34152.340892465254</v>
      </c>
      <c r="G76" s="125">
        <v>341523.40892465255</v>
      </c>
      <c r="I76"/>
      <c r="J76"/>
      <c r="K76"/>
      <c r="L76"/>
      <c r="O76"/>
      <c r="P76"/>
      <c r="Q76"/>
    </row>
    <row r="77" spans="4:19" x14ac:dyDescent="0.3">
      <c r="D77" s="16">
        <v>1000</v>
      </c>
      <c r="E77" s="125">
        <v>1662</v>
      </c>
      <c r="F77" s="33">
        <v>1519.751280175567</v>
      </c>
      <c r="G77" s="125">
        <v>19756.766642282371</v>
      </c>
      <c r="I77"/>
      <c r="J77"/>
      <c r="K77"/>
      <c r="O77"/>
      <c r="P77"/>
      <c r="Q77"/>
    </row>
    <row r="78" spans="4:19" x14ac:dyDescent="0.3">
      <c r="D78" s="16">
        <v>1001</v>
      </c>
      <c r="E78" s="125">
        <v>45331</v>
      </c>
      <c r="F78" s="33">
        <v>41451.170446232631</v>
      </c>
      <c r="G78" s="125">
        <v>414511.70446232631</v>
      </c>
      <c r="I78"/>
      <c r="J78"/>
      <c r="K78"/>
      <c r="O78"/>
      <c r="P78"/>
      <c r="Q78"/>
    </row>
    <row r="79" spans="4:19" x14ac:dyDescent="0.3">
      <c r="D79" s="16" t="s">
        <v>28</v>
      </c>
      <c r="E79" s="125">
        <v>277596</v>
      </c>
      <c r="F79" s="33">
        <v>4501705.3767373813</v>
      </c>
      <c r="G79" s="125">
        <v>46066883.731016822</v>
      </c>
      <c r="I79"/>
      <c r="J79"/>
      <c r="K79"/>
      <c r="O79"/>
      <c r="P79"/>
      <c r="Q79"/>
    </row>
    <row r="80" spans="4:19" x14ac:dyDescent="0.3">
      <c r="D80"/>
      <c r="E80"/>
      <c r="F80"/>
      <c r="G80"/>
      <c r="I80"/>
      <c r="J80"/>
      <c r="K80"/>
      <c r="O80"/>
      <c r="P80"/>
      <c r="Q80"/>
    </row>
    <row r="81" spans="4:17" x14ac:dyDescent="0.3">
      <c r="D81"/>
      <c r="E81"/>
      <c r="F81"/>
      <c r="G81"/>
      <c r="I81"/>
      <c r="J81"/>
      <c r="K81"/>
      <c r="O81"/>
      <c r="P81"/>
      <c r="Q81"/>
    </row>
    <row r="82" spans="4:17" x14ac:dyDescent="0.3">
      <c r="D82"/>
      <c r="E82"/>
      <c r="F82"/>
      <c r="G82"/>
      <c r="I82"/>
      <c r="J82"/>
      <c r="K82"/>
      <c r="O82"/>
      <c r="P82"/>
      <c r="Q82"/>
    </row>
    <row r="83" spans="4:17" x14ac:dyDescent="0.3">
      <c r="D83"/>
      <c r="E83"/>
      <c r="F83"/>
      <c r="G83"/>
      <c r="I83"/>
      <c r="J83"/>
      <c r="K83"/>
      <c r="O83"/>
      <c r="P83"/>
      <c r="Q83"/>
    </row>
    <row r="84" spans="4:17" x14ac:dyDescent="0.3">
      <c r="D84"/>
      <c r="E84"/>
      <c r="F84"/>
      <c r="G84"/>
      <c r="I84"/>
      <c r="J84"/>
      <c r="K84"/>
      <c r="P84"/>
      <c r="Q84"/>
    </row>
    <row r="85" spans="4:17" x14ac:dyDescent="0.3">
      <c r="D85"/>
      <c r="E85"/>
      <c r="F85"/>
      <c r="G85"/>
      <c r="I85"/>
      <c r="J85"/>
      <c r="K85"/>
      <c r="P85"/>
      <c r="Q85"/>
    </row>
    <row r="86" spans="4:17" x14ac:dyDescent="0.3">
      <c r="D86"/>
      <c r="E86"/>
      <c r="F86"/>
      <c r="G86"/>
      <c r="I86"/>
      <c r="J86"/>
      <c r="K86"/>
      <c r="P86"/>
      <c r="Q86"/>
    </row>
    <row r="87" spans="4:17" x14ac:dyDescent="0.3">
      <c r="D87"/>
      <c r="E87"/>
      <c r="F87"/>
      <c r="G87"/>
      <c r="P87"/>
      <c r="Q87"/>
    </row>
    <row r="88" spans="4:17" x14ac:dyDescent="0.3">
      <c r="D88"/>
      <c r="E88"/>
      <c r="F88"/>
      <c r="G88"/>
      <c r="P88"/>
      <c r="Q88"/>
    </row>
    <row r="89" spans="4:17" x14ac:dyDescent="0.3">
      <c r="D89"/>
      <c r="E89"/>
      <c r="F89"/>
      <c r="G89"/>
      <c r="P89"/>
      <c r="Q89"/>
    </row>
    <row r="90" spans="4:17" x14ac:dyDescent="0.3">
      <c r="D90"/>
      <c r="E90"/>
      <c r="F90"/>
      <c r="G90"/>
      <c r="P90"/>
      <c r="Q90"/>
    </row>
    <row r="91" spans="4:17" x14ac:dyDescent="0.3">
      <c r="D91"/>
      <c r="E91"/>
      <c r="F91"/>
      <c r="G91"/>
      <c r="P91"/>
      <c r="Q91"/>
    </row>
    <row r="92" spans="4:17" x14ac:dyDescent="0.3">
      <c r="D92"/>
      <c r="E92"/>
      <c r="F92"/>
      <c r="G92"/>
      <c r="P92"/>
      <c r="Q92"/>
    </row>
    <row r="93" spans="4:17" x14ac:dyDescent="0.3">
      <c r="D93"/>
      <c r="E93"/>
      <c r="F93"/>
      <c r="G93"/>
      <c r="P93"/>
      <c r="Q93"/>
    </row>
    <row r="94" spans="4:17" x14ac:dyDescent="0.3">
      <c r="D94"/>
      <c r="E94"/>
      <c r="F94"/>
      <c r="G94"/>
      <c r="P94"/>
      <c r="Q94"/>
    </row>
    <row r="95" spans="4:17" x14ac:dyDescent="0.3">
      <c r="D95"/>
      <c r="E95"/>
      <c r="F95"/>
      <c r="G95"/>
      <c r="O95"/>
      <c r="P95"/>
      <c r="Q95"/>
    </row>
    <row r="96" spans="4:17" x14ac:dyDescent="0.3">
      <c r="D96"/>
      <c r="E96"/>
      <c r="F96"/>
      <c r="G96"/>
      <c r="O96"/>
      <c r="P96"/>
      <c r="Q96"/>
    </row>
    <row r="97" spans="4:17" x14ac:dyDescent="0.3">
      <c r="D97"/>
      <c r="E97"/>
      <c r="F97"/>
      <c r="G97"/>
      <c r="O97"/>
      <c r="P97"/>
      <c r="Q97"/>
    </row>
    <row r="98" spans="4:17" x14ac:dyDescent="0.3">
      <c r="D98"/>
      <c r="E98"/>
      <c r="F98"/>
      <c r="G98"/>
      <c r="L98"/>
      <c r="M98"/>
      <c r="O98"/>
      <c r="P98"/>
      <c r="Q98"/>
    </row>
    <row r="99" spans="4:17" x14ac:dyDescent="0.3">
      <c r="D99"/>
      <c r="E99"/>
      <c r="F99"/>
      <c r="G99"/>
      <c r="L99"/>
      <c r="M99"/>
      <c r="O99"/>
      <c r="P99"/>
      <c r="Q99"/>
    </row>
    <row r="100" spans="4:17" x14ac:dyDescent="0.3">
      <c r="D100"/>
      <c r="E100"/>
      <c r="F100"/>
      <c r="G100"/>
      <c r="L100"/>
      <c r="M100"/>
      <c r="O100"/>
      <c r="P100"/>
      <c r="Q100"/>
    </row>
    <row r="101" spans="4:17" x14ac:dyDescent="0.3">
      <c r="D101"/>
      <c r="E101"/>
      <c r="F101"/>
      <c r="G101"/>
      <c r="L101"/>
      <c r="M101"/>
      <c r="N101"/>
      <c r="O101"/>
      <c r="P101"/>
      <c r="Q101"/>
    </row>
    <row r="102" spans="4:17" x14ac:dyDescent="0.3">
      <c r="D102"/>
      <c r="E102"/>
      <c r="F102"/>
      <c r="G102"/>
      <c r="L102"/>
      <c r="M102"/>
      <c r="N102"/>
      <c r="O102"/>
      <c r="P102"/>
      <c r="Q102"/>
    </row>
    <row r="103" spans="4:17" x14ac:dyDescent="0.3">
      <c r="D103"/>
      <c r="E103"/>
      <c r="F103"/>
      <c r="G103"/>
      <c r="L103"/>
      <c r="M103"/>
      <c r="N103"/>
      <c r="O103"/>
      <c r="P103"/>
      <c r="Q103"/>
    </row>
    <row r="104" spans="4:17" x14ac:dyDescent="0.3">
      <c r="D104"/>
      <c r="E104"/>
      <c r="F104"/>
      <c r="G104"/>
      <c r="L104"/>
      <c r="M104"/>
      <c r="N104"/>
      <c r="O104"/>
      <c r="P104"/>
      <c r="Q104"/>
    </row>
    <row r="105" spans="4:17" x14ac:dyDescent="0.3">
      <c r="D105"/>
      <c r="E105"/>
      <c r="F105"/>
      <c r="G105"/>
      <c r="L105"/>
      <c r="M105"/>
      <c r="N105"/>
      <c r="O105"/>
    </row>
    <row r="106" spans="4:17" x14ac:dyDescent="0.3">
      <c r="D106"/>
      <c r="E106"/>
      <c r="F106"/>
      <c r="G106"/>
      <c r="L106"/>
      <c r="M106"/>
      <c r="N106"/>
      <c r="O106"/>
    </row>
    <row r="107" spans="4:17" x14ac:dyDescent="0.3">
      <c r="D107"/>
      <c r="E107"/>
      <c r="F107"/>
      <c r="G107"/>
      <c r="L107"/>
      <c r="M107"/>
      <c r="N107"/>
      <c r="O107"/>
    </row>
    <row r="108" spans="4:17" x14ac:dyDescent="0.3">
      <c r="D108"/>
      <c r="E108"/>
      <c r="F108"/>
      <c r="G108"/>
      <c r="L108"/>
      <c r="M108"/>
      <c r="N108"/>
      <c r="O108"/>
    </row>
    <row r="109" spans="4:17" x14ac:dyDescent="0.3">
      <c r="D109"/>
      <c r="E109"/>
      <c r="F109"/>
      <c r="G109"/>
      <c r="L109"/>
      <c r="M109"/>
      <c r="N109"/>
      <c r="O109"/>
    </row>
    <row r="110" spans="4:17" x14ac:dyDescent="0.3">
      <c r="D110"/>
      <c r="E110"/>
      <c r="F110"/>
      <c r="G110"/>
      <c r="L110"/>
      <c r="M110"/>
      <c r="N110"/>
      <c r="O110"/>
    </row>
    <row r="111" spans="4:17" x14ac:dyDescent="0.3">
      <c r="D111"/>
      <c r="E111"/>
      <c r="F111"/>
      <c r="G111"/>
      <c r="L111"/>
      <c r="M111"/>
      <c r="N111"/>
      <c r="O111"/>
    </row>
    <row r="112" spans="4:17" x14ac:dyDescent="0.3">
      <c r="D112"/>
      <c r="E112"/>
      <c r="F112"/>
      <c r="G112"/>
      <c r="L112"/>
      <c r="M112"/>
      <c r="N112"/>
      <c r="O112"/>
    </row>
    <row r="113" spans="4:15" x14ac:dyDescent="0.3">
      <c r="D113"/>
      <c r="E113"/>
      <c r="F113"/>
      <c r="G113"/>
      <c r="L113"/>
      <c r="M113"/>
      <c r="N113"/>
      <c r="O113"/>
    </row>
    <row r="114" spans="4:15" x14ac:dyDescent="0.3">
      <c r="D114"/>
      <c r="E114"/>
      <c r="F114"/>
      <c r="G114"/>
      <c r="L114"/>
      <c r="M114"/>
      <c r="N114"/>
      <c r="O114"/>
    </row>
    <row r="115" spans="4:15" x14ac:dyDescent="0.3">
      <c r="D115"/>
      <c r="E115"/>
      <c r="F115"/>
      <c r="G115"/>
      <c r="L115"/>
      <c r="M115"/>
      <c r="N115"/>
      <c r="O115"/>
    </row>
    <row r="116" spans="4:15" x14ac:dyDescent="0.3">
      <c r="D116"/>
      <c r="E116"/>
      <c r="F116"/>
      <c r="G116"/>
      <c r="L116"/>
      <c r="M116"/>
      <c r="N116"/>
    </row>
    <row r="117" spans="4:15" x14ac:dyDescent="0.3">
      <c r="D117"/>
      <c r="E117"/>
      <c r="F117"/>
      <c r="G117"/>
      <c r="L117"/>
      <c r="M117"/>
      <c r="N117"/>
    </row>
    <row r="118" spans="4:15" x14ac:dyDescent="0.3">
      <c r="D118"/>
      <c r="E118"/>
      <c r="F118"/>
      <c r="G118"/>
      <c r="L118"/>
      <c r="M118"/>
      <c r="N118"/>
    </row>
    <row r="119" spans="4:15" x14ac:dyDescent="0.3">
      <c r="D119"/>
      <c r="E119"/>
      <c r="F119"/>
      <c r="G119"/>
      <c r="L119"/>
      <c r="M119"/>
      <c r="N119"/>
    </row>
    <row r="120" spans="4:15" x14ac:dyDescent="0.3">
      <c r="D120"/>
      <c r="E120"/>
      <c r="F120"/>
      <c r="G120"/>
      <c r="L120"/>
      <c r="M120"/>
      <c r="N120"/>
    </row>
    <row r="121" spans="4:15" x14ac:dyDescent="0.3">
      <c r="D121"/>
      <c r="E121"/>
      <c r="F121"/>
      <c r="G121"/>
      <c r="L121"/>
      <c r="M121"/>
      <c r="N121"/>
    </row>
    <row r="122" spans="4:15" x14ac:dyDescent="0.3">
      <c r="D122"/>
      <c r="E122"/>
      <c r="F122"/>
      <c r="G122"/>
      <c r="L122"/>
      <c r="M122"/>
      <c r="N122"/>
    </row>
    <row r="123" spans="4:15" x14ac:dyDescent="0.3">
      <c r="D123"/>
      <c r="E123"/>
      <c r="F123"/>
      <c r="G123"/>
      <c r="L123"/>
      <c r="M123"/>
      <c r="N123"/>
    </row>
    <row r="124" spans="4:15" x14ac:dyDescent="0.3">
      <c r="D124"/>
      <c r="E124"/>
      <c r="F124"/>
      <c r="G124"/>
      <c r="L124"/>
      <c r="M124"/>
      <c r="N124"/>
    </row>
    <row r="125" spans="4:15" x14ac:dyDescent="0.3">
      <c r="D125"/>
      <c r="E125"/>
      <c r="F125"/>
      <c r="G125"/>
      <c r="L125"/>
      <c r="M125"/>
      <c r="N125"/>
    </row>
    <row r="126" spans="4:15" x14ac:dyDescent="0.3">
      <c r="D126"/>
      <c r="E126"/>
      <c r="F126"/>
      <c r="G126"/>
      <c r="L126"/>
      <c r="M126"/>
      <c r="N126"/>
    </row>
    <row r="127" spans="4:15" x14ac:dyDescent="0.3">
      <c r="D127"/>
      <c r="E127"/>
      <c r="F127"/>
      <c r="G127"/>
      <c r="L127"/>
      <c r="M127"/>
      <c r="N127"/>
    </row>
    <row r="128" spans="4:15" x14ac:dyDescent="0.3">
      <c r="D128"/>
      <c r="E128"/>
      <c r="F128"/>
      <c r="G128"/>
      <c r="L128"/>
      <c r="M128"/>
      <c r="N128"/>
    </row>
    <row r="129" spans="4:14" x14ac:dyDescent="0.3">
      <c r="D129"/>
      <c r="E129"/>
      <c r="F129"/>
      <c r="G129"/>
      <c r="L129"/>
      <c r="M129"/>
      <c r="N129"/>
    </row>
    <row r="130" spans="4:14" x14ac:dyDescent="0.3">
      <c r="D130"/>
      <c r="E130"/>
      <c r="F130"/>
      <c r="G130"/>
      <c r="L130"/>
      <c r="M130"/>
      <c r="N130"/>
    </row>
    <row r="131" spans="4:14" x14ac:dyDescent="0.3">
      <c r="D131"/>
      <c r="E131"/>
      <c r="F131"/>
      <c r="G131"/>
      <c r="L131"/>
      <c r="M131"/>
      <c r="N131"/>
    </row>
    <row r="132" spans="4:14" x14ac:dyDescent="0.3">
      <c r="D132"/>
      <c r="E132"/>
      <c r="F132"/>
      <c r="G132"/>
      <c r="L132"/>
      <c r="M132"/>
      <c r="N132"/>
    </row>
    <row r="133" spans="4:14" x14ac:dyDescent="0.3">
      <c r="D133"/>
      <c r="E133"/>
      <c r="F133"/>
      <c r="G133"/>
    </row>
    <row r="134" spans="4:14" x14ac:dyDescent="0.3">
      <c r="D134"/>
      <c r="E134"/>
      <c r="F134"/>
      <c r="G134"/>
    </row>
    <row r="135" spans="4:14" x14ac:dyDescent="0.3">
      <c r="D135"/>
      <c r="E135"/>
      <c r="F135"/>
      <c r="G135"/>
    </row>
    <row r="136" spans="4:14" x14ac:dyDescent="0.3">
      <c r="D136"/>
      <c r="E136"/>
      <c r="F136"/>
      <c r="G136"/>
    </row>
    <row r="137" spans="4:14" x14ac:dyDescent="0.3">
      <c r="D137"/>
      <c r="E137"/>
      <c r="F137"/>
      <c r="G137"/>
    </row>
    <row r="138" spans="4:14" x14ac:dyDescent="0.3">
      <c r="D138"/>
      <c r="E138"/>
      <c r="F138"/>
      <c r="G138"/>
    </row>
    <row r="139" spans="4:14" x14ac:dyDescent="0.3">
      <c r="D139"/>
      <c r="E139"/>
      <c r="F139"/>
      <c r="G139"/>
    </row>
    <row r="140" spans="4:14" x14ac:dyDescent="0.3">
      <c r="D140"/>
      <c r="E140"/>
      <c r="F140"/>
      <c r="G140"/>
    </row>
    <row r="141" spans="4:14" x14ac:dyDescent="0.3">
      <c r="D141"/>
      <c r="E141"/>
      <c r="F141"/>
      <c r="G141"/>
    </row>
    <row r="142" spans="4:14" x14ac:dyDescent="0.3">
      <c r="D142"/>
      <c r="E142"/>
      <c r="F142"/>
      <c r="G142"/>
    </row>
    <row r="143" spans="4:14" x14ac:dyDescent="0.3">
      <c r="D143"/>
      <c r="E143"/>
      <c r="F143"/>
      <c r="G143"/>
    </row>
    <row r="144" spans="4:14" x14ac:dyDescent="0.3">
      <c r="D144"/>
      <c r="E144"/>
      <c r="F144"/>
      <c r="G144"/>
    </row>
    <row r="145" spans="4:7" x14ac:dyDescent="0.3">
      <c r="D145"/>
      <c r="E145"/>
      <c r="F145"/>
      <c r="G145"/>
    </row>
    <row r="146" spans="4:7" x14ac:dyDescent="0.3">
      <c r="D146"/>
      <c r="E146"/>
      <c r="F146"/>
      <c r="G146"/>
    </row>
    <row r="147" spans="4:7" x14ac:dyDescent="0.3">
      <c r="D147"/>
      <c r="E147"/>
      <c r="F147"/>
      <c r="G147"/>
    </row>
    <row r="148" spans="4:7" x14ac:dyDescent="0.3">
      <c r="D148"/>
      <c r="E148"/>
      <c r="F148"/>
      <c r="G148"/>
    </row>
    <row r="149" spans="4:7" x14ac:dyDescent="0.3">
      <c r="D149"/>
      <c r="E149"/>
      <c r="F149"/>
      <c r="G149"/>
    </row>
    <row r="150" spans="4:7" x14ac:dyDescent="0.3">
      <c r="D150"/>
      <c r="E150"/>
      <c r="F150"/>
      <c r="G150"/>
    </row>
    <row r="151" spans="4:7" x14ac:dyDescent="0.3">
      <c r="D151"/>
      <c r="E151"/>
      <c r="F151"/>
      <c r="G151"/>
    </row>
    <row r="152" spans="4:7" x14ac:dyDescent="0.3">
      <c r="D152"/>
      <c r="E152"/>
      <c r="F152"/>
      <c r="G152"/>
    </row>
    <row r="153" spans="4:7" x14ac:dyDescent="0.3">
      <c r="D153"/>
      <c r="E153"/>
      <c r="F153"/>
      <c r="G153"/>
    </row>
    <row r="154" spans="4:7" x14ac:dyDescent="0.3">
      <c r="D154"/>
      <c r="E154"/>
      <c r="F154"/>
      <c r="G154"/>
    </row>
    <row r="155" spans="4:7" x14ac:dyDescent="0.3">
      <c r="D155"/>
      <c r="E155"/>
      <c r="F155"/>
      <c r="G155"/>
    </row>
    <row r="156" spans="4:7" x14ac:dyDescent="0.3">
      <c r="D156"/>
      <c r="E156"/>
      <c r="F156"/>
      <c r="G156"/>
    </row>
    <row r="157" spans="4:7" x14ac:dyDescent="0.3">
      <c r="D157"/>
      <c r="E157"/>
      <c r="F157"/>
      <c r="G157"/>
    </row>
    <row r="158" spans="4:7" x14ac:dyDescent="0.3">
      <c r="D158"/>
      <c r="E158"/>
      <c r="F158"/>
      <c r="G158"/>
    </row>
    <row r="159" spans="4:7" x14ac:dyDescent="0.3">
      <c r="D159"/>
      <c r="E159"/>
      <c r="F159"/>
      <c r="G159"/>
    </row>
    <row r="160" spans="4:7" x14ac:dyDescent="0.3">
      <c r="D160"/>
      <c r="E160"/>
      <c r="F160"/>
      <c r="G160"/>
    </row>
    <row r="161" spans="4:7" x14ac:dyDescent="0.3">
      <c r="D161"/>
      <c r="E161"/>
      <c r="F161"/>
      <c r="G161"/>
    </row>
    <row r="162" spans="4:7" x14ac:dyDescent="0.3">
      <c r="D162"/>
      <c r="E162"/>
      <c r="F162"/>
      <c r="G162"/>
    </row>
    <row r="163" spans="4:7" x14ac:dyDescent="0.3">
      <c r="D163"/>
      <c r="E163"/>
      <c r="F163"/>
      <c r="G163"/>
    </row>
    <row r="164" spans="4:7" x14ac:dyDescent="0.3">
      <c r="D164"/>
      <c r="E164"/>
      <c r="F164"/>
      <c r="G164"/>
    </row>
    <row r="165" spans="4:7" x14ac:dyDescent="0.3">
      <c r="D165"/>
      <c r="E165"/>
      <c r="F165"/>
      <c r="G165"/>
    </row>
    <row r="166" spans="4:7" x14ac:dyDescent="0.3">
      <c r="D166"/>
      <c r="E166"/>
      <c r="F166"/>
      <c r="G166"/>
    </row>
    <row r="167" spans="4:7" x14ac:dyDescent="0.3">
      <c r="D167"/>
      <c r="E167"/>
      <c r="F167"/>
      <c r="G167"/>
    </row>
    <row r="168" spans="4:7" x14ac:dyDescent="0.3">
      <c r="D168"/>
      <c r="E168"/>
      <c r="F168"/>
      <c r="G168"/>
    </row>
    <row r="169" spans="4:7" x14ac:dyDescent="0.3">
      <c r="D169"/>
      <c r="E169"/>
      <c r="F169"/>
      <c r="G169"/>
    </row>
    <row r="170" spans="4:7" x14ac:dyDescent="0.3">
      <c r="D170"/>
      <c r="E170"/>
      <c r="F170"/>
      <c r="G170"/>
    </row>
    <row r="171" spans="4:7" x14ac:dyDescent="0.3">
      <c r="D171"/>
      <c r="E171"/>
      <c r="F171"/>
      <c r="G171"/>
    </row>
    <row r="172" spans="4:7" x14ac:dyDescent="0.3">
      <c r="D172"/>
      <c r="E172"/>
      <c r="F172"/>
      <c r="G172"/>
    </row>
    <row r="173" spans="4:7" x14ac:dyDescent="0.3">
      <c r="D173"/>
      <c r="E173"/>
      <c r="F173"/>
      <c r="G173"/>
    </row>
    <row r="174" spans="4:7" x14ac:dyDescent="0.3">
      <c r="D174"/>
      <c r="E174"/>
      <c r="F174"/>
      <c r="G174"/>
    </row>
    <row r="175" spans="4:7" x14ac:dyDescent="0.3">
      <c r="D175"/>
      <c r="E175"/>
      <c r="F175"/>
      <c r="G175"/>
    </row>
    <row r="176" spans="4:7" x14ac:dyDescent="0.3">
      <c r="D176"/>
      <c r="E176"/>
      <c r="F176"/>
      <c r="G176"/>
    </row>
    <row r="177" spans="4:7" x14ac:dyDescent="0.3">
      <c r="D177"/>
      <c r="E177"/>
      <c r="F177"/>
      <c r="G177"/>
    </row>
    <row r="178" spans="4:7" x14ac:dyDescent="0.3">
      <c r="D178"/>
      <c r="E178"/>
      <c r="F178"/>
      <c r="G178"/>
    </row>
    <row r="179" spans="4:7" x14ac:dyDescent="0.3">
      <c r="D179"/>
      <c r="E179"/>
      <c r="F179"/>
      <c r="G179"/>
    </row>
    <row r="180" spans="4:7" x14ac:dyDescent="0.3">
      <c r="D180"/>
      <c r="E180"/>
      <c r="F180"/>
      <c r="G180"/>
    </row>
    <row r="181" spans="4:7" x14ac:dyDescent="0.3">
      <c r="D181"/>
      <c r="E181"/>
      <c r="F181"/>
      <c r="G181"/>
    </row>
    <row r="182" spans="4:7" x14ac:dyDescent="0.3">
      <c r="D182"/>
      <c r="E182"/>
      <c r="F182"/>
      <c r="G182"/>
    </row>
    <row r="183" spans="4:7" x14ac:dyDescent="0.3">
      <c r="D183"/>
      <c r="E183"/>
      <c r="F183"/>
      <c r="G183"/>
    </row>
    <row r="184" spans="4:7" x14ac:dyDescent="0.3">
      <c r="D184"/>
      <c r="E184"/>
      <c r="F184"/>
      <c r="G184"/>
    </row>
    <row r="185" spans="4:7" x14ac:dyDescent="0.3">
      <c r="D185"/>
      <c r="E185"/>
      <c r="F185"/>
      <c r="G185"/>
    </row>
    <row r="186" spans="4:7" x14ac:dyDescent="0.3">
      <c r="D186"/>
      <c r="E186"/>
      <c r="F186"/>
      <c r="G186"/>
    </row>
    <row r="187" spans="4:7" x14ac:dyDescent="0.3">
      <c r="D187"/>
      <c r="E187"/>
      <c r="F187"/>
      <c r="G187"/>
    </row>
    <row r="188" spans="4:7" x14ac:dyDescent="0.3">
      <c r="D188"/>
      <c r="E188"/>
      <c r="F188"/>
      <c r="G188"/>
    </row>
    <row r="189" spans="4:7" x14ac:dyDescent="0.3">
      <c r="D189"/>
      <c r="E189"/>
      <c r="F189"/>
      <c r="G189"/>
    </row>
    <row r="190" spans="4:7" x14ac:dyDescent="0.3">
      <c r="D190"/>
      <c r="E190"/>
      <c r="F190"/>
      <c r="G190"/>
    </row>
    <row r="191" spans="4:7" x14ac:dyDescent="0.3">
      <c r="D191"/>
      <c r="E191"/>
      <c r="F191"/>
      <c r="G191"/>
    </row>
    <row r="192" spans="4:7" x14ac:dyDescent="0.3">
      <c r="D192"/>
      <c r="E192"/>
      <c r="F192"/>
      <c r="G192"/>
    </row>
    <row r="193" spans="4:7" x14ac:dyDescent="0.3">
      <c r="D193"/>
      <c r="E193"/>
      <c r="F193"/>
      <c r="G193"/>
    </row>
    <row r="194" spans="4:7" x14ac:dyDescent="0.3">
      <c r="D194"/>
      <c r="E194"/>
      <c r="F194"/>
      <c r="G194"/>
    </row>
    <row r="195" spans="4:7" x14ac:dyDescent="0.3">
      <c r="D195"/>
      <c r="E195"/>
      <c r="F195"/>
      <c r="G195"/>
    </row>
    <row r="196" spans="4:7" x14ac:dyDescent="0.3">
      <c r="D196"/>
      <c r="E196"/>
      <c r="F196"/>
      <c r="G196"/>
    </row>
    <row r="197" spans="4:7" x14ac:dyDescent="0.3">
      <c r="D197"/>
      <c r="E197"/>
      <c r="F197"/>
      <c r="G197"/>
    </row>
    <row r="198" spans="4:7" x14ac:dyDescent="0.3">
      <c r="D198"/>
      <c r="E198"/>
      <c r="F198"/>
      <c r="G198"/>
    </row>
    <row r="199" spans="4:7" x14ac:dyDescent="0.3">
      <c r="D199"/>
      <c r="E199"/>
      <c r="F199"/>
      <c r="G199"/>
    </row>
    <row r="200" spans="4:7" x14ac:dyDescent="0.3">
      <c r="D200"/>
      <c r="E200"/>
      <c r="F200"/>
      <c r="G200"/>
    </row>
    <row r="201" spans="4:7" x14ac:dyDescent="0.3">
      <c r="D201"/>
      <c r="E201"/>
      <c r="F201"/>
      <c r="G201"/>
    </row>
    <row r="202" spans="4:7" x14ac:dyDescent="0.3">
      <c r="D202"/>
      <c r="E202"/>
      <c r="F202"/>
      <c r="G202"/>
    </row>
    <row r="203" spans="4:7" x14ac:dyDescent="0.3">
      <c r="D203"/>
      <c r="E203"/>
      <c r="F203"/>
      <c r="G203"/>
    </row>
    <row r="204" spans="4:7" x14ac:dyDescent="0.3">
      <c r="D204"/>
      <c r="E204"/>
      <c r="F204"/>
      <c r="G204"/>
    </row>
    <row r="205" spans="4:7" x14ac:dyDescent="0.3">
      <c r="D205"/>
      <c r="E205"/>
      <c r="F205"/>
      <c r="G205"/>
    </row>
    <row r="206" spans="4:7" x14ac:dyDescent="0.3">
      <c r="D206"/>
      <c r="E206"/>
      <c r="F206"/>
      <c r="G206"/>
    </row>
    <row r="207" spans="4:7" x14ac:dyDescent="0.3">
      <c r="D207"/>
      <c r="E207"/>
      <c r="F207"/>
      <c r="G207"/>
    </row>
    <row r="208" spans="4:7" x14ac:dyDescent="0.3">
      <c r="D208"/>
      <c r="E208"/>
      <c r="F208"/>
      <c r="G208"/>
    </row>
    <row r="209" spans="4:7" x14ac:dyDescent="0.3">
      <c r="D209"/>
      <c r="E209"/>
      <c r="F209"/>
      <c r="G209"/>
    </row>
    <row r="210" spans="4:7" x14ac:dyDescent="0.3">
      <c r="D210"/>
      <c r="E210"/>
      <c r="F210"/>
      <c r="G210"/>
    </row>
    <row r="211" spans="4:7" x14ac:dyDescent="0.3">
      <c r="D211"/>
      <c r="E211"/>
      <c r="F211"/>
      <c r="G211"/>
    </row>
    <row r="212" spans="4:7" x14ac:dyDescent="0.3">
      <c r="D212"/>
      <c r="E212"/>
      <c r="F212"/>
      <c r="G212"/>
    </row>
    <row r="213" spans="4:7" x14ac:dyDescent="0.3">
      <c r="D213"/>
      <c r="E213"/>
      <c r="F213"/>
      <c r="G213"/>
    </row>
    <row r="214" spans="4:7" x14ac:dyDescent="0.3">
      <c r="D214"/>
      <c r="E214"/>
      <c r="F214"/>
      <c r="G214"/>
    </row>
    <row r="215" spans="4:7" x14ac:dyDescent="0.3">
      <c r="D215"/>
      <c r="E215"/>
      <c r="F215"/>
      <c r="G215"/>
    </row>
  </sheetData>
  <phoneticPr fontId="7" alignment="center"/>
  <pageMargins left="0.7" right="0.7" top="0.75" bottom="0.75" header="0.3" footer="0.3"/>
  <pageSetup scale="47"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P42"/>
  <sheetViews>
    <sheetView topLeftCell="B1" zoomScale="122" zoomScaleNormal="165" workbookViewId="0">
      <selection activeCell="R14" sqref="R14"/>
    </sheetView>
  </sheetViews>
  <sheetFormatPr defaultRowHeight="14.4" x14ac:dyDescent="0.3"/>
  <cols>
    <col min="1" max="1" width="19.77734375" bestFit="1" customWidth="1"/>
    <col min="2" max="2" width="17.21875" bestFit="1" customWidth="1"/>
    <col min="3" max="3" width="18.77734375"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20" bestFit="1" customWidth="1"/>
    <col min="12" max="12" width="13" bestFit="1" customWidth="1"/>
    <col min="13" max="13" width="10.88671875" bestFit="1" customWidth="1"/>
    <col min="14" max="14" width="10.77734375" bestFit="1" customWidth="1"/>
    <col min="15" max="15" width="13.88671875" bestFit="1" customWidth="1"/>
  </cols>
  <sheetData>
    <row r="1" spans="1:16" x14ac:dyDescent="0.3">
      <c r="A1" s="8" t="s">
        <v>75</v>
      </c>
      <c r="B1" s="8" t="s">
        <v>2</v>
      </c>
      <c r="C1" s="8" t="s">
        <v>92</v>
      </c>
      <c r="D1" s="12" t="s">
        <v>93</v>
      </c>
      <c r="E1" s="12" t="s">
        <v>4</v>
      </c>
      <c r="F1" s="12" t="s">
        <v>94</v>
      </c>
      <c r="G1" s="12" t="s">
        <v>5</v>
      </c>
      <c r="H1" s="12" t="s">
        <v>95</v>
      </c>
      <c r="I1" s="13" t="s">
        <v>96</v>
      </c>
    </row>
    <row r="2" spans="1:16" x14ac:dyDescent="0.3">
      <c r="A2" s="90">
        <v>45947</v>
      </c>
      <c r="B2" s="87" t="s">
        <v>97</v>
      </c>
      <c r="C2" s="87" t="s">
        <v>98</v>
      </c>
      <c r="D2" s="88"/>
      <c r="E2" s="88"/>
      <c r="F2" s="88"/>
      <c r="G2" s="88">
        <f>D2*E2</f>
        <v>0</v>
      </c>
      <c r="H2" s="11"/>
      <c r="I2" s="89">
        <v>1972281</v>
      </c>
    </row>
    <row r="3" spans="1:16" x14ac:dyDescent="0.3">
      <c r="A3" s="90">
        <v>45947</v>
      </c>
      <c r="B3" s="87" t="s">
        <v>99</v>
      </c>
      <c r="C3" s="87" t="s">
        <v>98</v>
      </c>
      <c r="D3" s="88"/>
      <c r="E3" s="88"/>
      <c r="F3" s="88"/>
      <c r="G3" s="88">
        <f>D3*E3</f>
        <v>0</v>
      </c>
      <c r="H3" s="11">
        <v>0</v>
      </c>
      <c r="I3" s="89">
        <v>0</v>
      </c>
    </row>
    <row r="4" spans="1:16" x14ac:dyDescent="0.3">
      <c r="A4" s="90">
        <v>45947</v>
      </c>
      <c r="B4" s="87" t="s">
        <v>152</v>
      </c>
      <c r="C4" s="87" t="s">
        <v>98</v>
      </c>
      <c r="D4" s="11"/>
      <c r="E4" s="11"/>
      <c r="F4" s="11"/>
      <c r="G4" s="11">
        <f>D4*E4</f>
        <v>0</v>
      </c>
      <c r="H4" s="11">
        <v>0</v>
      </c>
      <c r="I4" s="92">
        <v>87620</v>
      </c>
    </row>
    <row r="5" spans="1:16" ht="15" thickBot="1" x14ac:dyDescent="0.35">
      <c r="A5" s="90">
        <v>45947</v>
      </c>
      <c r="B5" s="87" t="s">
        <v>174</v>
      </c>
      <c r="C5" s="87" t="s">
        <v>98</v>
      </c>
      <c r="D5" s="11"/>
      <c r="E5" s="11"/>
      <c r="F5" s="11"/>
      <c r="G5" s="11">
        <f t="shared" ref="G5:G12" si="0">D5*E5</f>
        <v>0</v>
      </c>
      <c r="H5" s="11"/>
      <c r="I5" s="92">
        <v>456400</v>
      </c>
    </row>
    <row r="6" spans="1:16" ht="15" thickTop="1" x14ac:dyDescent="0.3">
      <c r="A6" s="90">
        <v>45947</v>
      </c>
      <c r="B6" s="104" t="s">
        <v>182</v>
      </c>
      <c r="C6" s="87" t="s">
        <v>98</v>
      </c>
      <c r="D6" s="11"/>
      <c r="E6" s="11"/>
      <c r="F6" s="11"/>
      <c r="G6" s="11">
        <f t="shared" si="0"/>
        <v>0</v>
      </c>
      <c r="H6" s="11"/>
      <c r="I6" s="11">
        <v>0</v>
      </c>
      <c r="K6" s="17">
        <f>SUM(Table3[Total])</f>
        <v>2028110</v>
      </c>
      <c r="L6" s="3" t="s">
        <v>2</v>
      </c>
      <c r="M6" t="s">
        <v>88</v>
      </c>
    </row>
    <row r="7" spans="1:16" x14ac:dyDescent="0.3">
      <c r="A7" s="1">
        <v>45947</v>
      </c>
      <c r="B7" t="s">
        <v>152</v>
      </c>
      <c r="C7" s="87"/>
      <c r="D7" s="11">
        <v>203</v>
      </c>
      <c r="E7" s="11">
        <v>580</v>
      </c>
      <c r="F7" s="11"/>
      <c r="G7" s="11">
        <f t="shared" si="0"/>
        <v>117740</v>
      </c>
      <c r="H7" s="11">
        <f>SUMIFS(Table14[Debit], Table14[Date], Table3[[#This Row],[Date]], Table14[Party], Table3[[#This Row],[Party Name]])</f>
        <v>0</v>
      </c>
      <c r="I7" s="11">
        <f>(D7*E7)-Table3[[#This Row],[Paid]]</f>
        <v>117740</v>
      </c>
    </row>
    <row r="8" spans="1:16" x14ac:dyDescent="0.3">
      <c r="A8" s="1">
        <v>45947</v>
      </c>
      <c r="B8" t="s">
        <v>174</v>
      </c>
      <c r="C8" t="s">
        <v>208</v>
      </c>
      <c r="D8" s="11">
        <v>225</v>
      </c>
      <c r="E8" s="11">
        <v>775</v>
      </c>
      <c r="F8" s="11"/>
      <c r="G8" s="11">
        <f t="shared" si="0"/>
        <v>174375</v>
      </c>
      <c r="H8" s="11"/>
      <c r="I8" s="11">
        <f>(D8*E8)-Table3[[#This Row],[Paid]]</f>
        <v>174375</v>
      </c>
      <c r="K8" s="11"/>
      <c r="L8" s="3" t="s">
        <v>101</v>
      </c>
      <c r="M8" t="s">
        <v>102</v>
      </c>
      <c r="N8" t="s">
        <v>103</v>
      </c>
      <c r="O8" t="s">
        <v>104</v>
      </c>
      <c r="P8" t="s">
        <v>105</v>
      </c>
    </row>
    <row r="9" spans="1:16" x14ac:dyDescent="0.3">
      <c r="A9" s="1">
        <v>45948</v>
      </c>
      <c r="B9" t="s">
        <v>97</v>
      </c>
      <c r="C9" t="s">
        <v>189</v>
      </c>
      <c r="D9" s="11">
        <v>445</v>
      </c>
      <c r="E9" s="11">
        <v>810</v>
      </c>
      <c r="F9" s="11">
        <v>76105</v>
      </c>
      <c r="G9" s="11">
        <f t="shared" si="0"/>
        <v>360450</v>
      </c>
      <c r="H9" s="11"/>
      <c r="I9" s="11">
        <f>(D9*E9)-Table3[[#This Row],[Paid]]</f>
        <v>360450</v>
      </c>
      <c r="K9" s="11"/>
      <c r="L9" s="27">
        <v>45947</v>
      </c>
      <c r="M9" s="14">
        <v>428</v>
      </c>
      <c r="N9" s="14">
        <v>292115</v>
      </c>
      <c r="O9" s="14">
        <v>0</v>
      </c>
      <c r="P9" s="14">
        <v>2808416</v>
      </c>
    </row>
    <row r="10" spans="1:16" x14ac:dyDescent="0.3">
      <c r="A10" s="1">
        <v>45948</v>
      </c>
      <c r="B10" t="s">
        <v>97</v>
      </c>
      <c r="C10" t="s">
        <v>190</v>
      </c>
      <c r="D10" s="11">
        <v>243</v>
      </c>
      <c r="E10" s="11">
        <v>810</v>
      </c>
      <c r="F10" s="11">
        <v>44000</v>
      </c>
      <c r="G10" s="11">
        <f t="shared" si="0"/>
        <v>196830</v>
      </c>
      <c r="H10" s="11">
        <f>SUMIFS(Table14[Debit], Table14[Date], Table3[[#This Row],[Date]], Table14[Party], Table3[[#This Row],[Party Name]])</f>
        <v>437100</v>
      </c>
      <c r="I10" s="11">
        <f>(D10*E10)-Table3[[#This Row],[Paid]]</f>
        <v>-240270</v>
      </c>
      <c r="K10" s="11"/>
      <c r="L10" s="47" t="s">
        <v>106</v>
      </c>
      <c r="M10" s="14">
        <v>203</v>
      </c>
      <c r="N10" s="14">
        <v>117740</v>
      </c>
      <c r="O10" s="14">
        <v>0</v>
      </c>
      <c r="P10" s="14">
        <v>117740</v>
      </c>
    </row>
    <row r="11" spans="1:16" x14ac:dyDescent="0.3">
      <c r="A11" s="1">
        <v>45948</v>
      </c>
      <c r="B11" t="s">
        <v>174</v>
      </c>
      <c r="D11" s="11"/>
      <c r="E11" s="11"/>
      <c r="F11" s="11"/>
      <c r="G11" s="11">
        <f t="shared" si="0"/>
        <v>0</v>
      </c>
      <c r="H11" s="11">
        <f>SUMIFS(Table14[Debit], Table14[Date], Table3[[#This Row],[Date]], Table14[Party], Table3[[#This Row],[Party Name]])</f>
        <v>212475</v>
      </c>
      <c r="I11" s="11">
        <f>(D11*E11)-Table3[[#This Row],[Paid]]</f>
        <v>-212475</v>
      </c>
      <c r="K11" s="11"/>
      <c r="L11" s="47" t="s">
        <v>98</v>
      </c>
      <c r="M11" s="14"/>
      <c r="N11" s="14">
        <v>0</v>
      </c>
      <c r="O11" s="14">
        <v>0</v>
      </c>
      <c r="P11" s="14">
        <v>2516301</v>
      </c>
    </row>
    <row r="12" spans="1:16" x14ac:dyDescent="0.3">
      <c r="A12" s="1">
        <v>45948</v>
      </c>
      <c r="B12" t="s">
        <v>182</v>
      </c>
      <c r="D12" s="11"/>
      <c r="E12" s="11"/>
      <c r="F12" s="11"/>
      <c r="G12" s="11">
        <f t="shared" si="0"/>
        <v>0</v>
      </c>
      <c r="H12" s="11">
        <f>SUMIFS(Table14[Debit], Table14[Date], Table3[[#This Row],[Date]], Table14[Party], Table3[[#This Row],[Party Name]])</f>
        <v>1000</v>
      </c>
      <c r="I12" s="11">
        <f>(D12*E12)-Table3[[#This Row],[Paid]]</f>
        <v>-1000</v>
      </c>
      <c r="K12" s="11"/>
      <c r="L12" s="47" t="s">
        <v>208</v>
      </c>
      <c r="M12" s="14">
        <v>225</v>
      </c>
      <c r="N12" s="14">
        <v>174375</v>
      </c>
      <c r="O12" s="14"/>
      <c r="P12" s="14">
        <v>174375</v>
      </c>
    </row>
    <row r="13" spans="1:16" x14ac:dyDescent="0.3">
      <c r="A13" s="1">
        <v>45948</v>
      </c>
      <c r="B13" t="s">
        <v>152</v>
      </c>
      <c r="D13" s="11">
        <v>157</v>
      </c>
      <c r="E13" s="11">
        <v>580</v>
      </c>
      <c r="F13" s="11"/>
      <c r="G13" s="11">
        <f t="shared" ref="G13:G15" si="1">D13*E13</f>
        <v>91060</v>
      </c>
      <c r="H13" s="11"/>
      <c r="I13" s="11">
        <f>(D13*E13)-Table3[[#This Row],[Paid]]</f>
        <v>91060</v>
      </c>
      <c r="K13" s="11"/>
      <c r="L13" s="27">
        <v>45948</v>
      </c>
      <c r="M13" s="14">
        <v>845</v>
      </c>
      <c r="N13" s="14">
        <v>648340</v>
      </c>
      <c r="O13" s="14">
        <v>650575</v>
      </c>
      <c r="P13" s="14">
        <v>-2235</v>
      </c>
    </row>
    <row r="14" spans="1:16" x14ac:dyDescent="0.3">
      <c r="A14" s="1">
        <v>45950</v>
      </c>
      <c r="B14" t="s">
        <v>97</v>
      </c>
      <c r="D14" s="11">
        <v>302</v>
      </c>
      <c r="E14" s="11">
        <v>810</v>
      </c>
      <c r="F14" s="11">
        <v>48800</v>
      </c>
      <c r="G14" s="11">
        <f t="shared" si="1"/>
        <v>244620</v>
      </c>
      <c r="H14" s="11"/>
      <c r="I14" s="11">
        <f>(D14*E14)-Table3[[#This Row],[Paid]]</f>
        <v>244620</v>
      </c>
      <c r="K14" s="11"/>
      <c r="L14" s="47" t="s">
        <v>106</v>
      </c>
      <c r="M14" s="14">
        <v>157</v>
      </c>
      <c r="N14" s="14">
        <v>91060</v>
      </c>
      <c r="O14" s="14">
        <v>213475</v>
      </c>
      <c r="P14" s="14">
        <v>-122415</v>
      </c>
    </row>
    <row r="15" spans="1:16" x14ac:dyDescent="0.3">
      <c r="A15" s="1">
        <v>45950</v>
      </c>
      <c r="B15" t="s">
        <v>97</v>
      </c>
      <c r="D15" s="11">
        <v>309</v>
      </c>
      <c r="E15" s="11">
        <v>810</v>
      </c>
      <c r="F15" s="11">
        <v>51500</v>
      </c>
      <c r="G15" s="11">
        <f t="shared" si="1"/>
        <v>250290</v>
      </c>
      <c r="H15" s="11">
        <f>SUMIFS(Table14[Debit], Table14[Date], Table3[[#This Row],[Date]], Table14[Party], Table3[[#This Row],[Party Name]])</f>
        <v>100300</v>
      </c>
      <c r="I15" s="11">
        <f>(D15*E15)-Table3[[#This Row],[Paid]]</f>
        <v>149990</v>
      </c>
      <c r="K15" s="11"/>
      <c r="L15" s="47" t="s">
        <v>189</v>
      </c>
      <c r="M15" s="14">
        <v>445</v>
      </c>
      <c r="N15" s="14">
        <v>360450</v>
      </c>
      <c r="O15" s="14"/>
      <c r="P15" s="14">
        <v>360450</v>
      </c>
    </row>
    <row r="16" spans="1:16" x14ac:dyDescent="0.3">
      <c r="A16" s="1">
        <v>45950</v>
      </c>
      <c r="B16" t="s">
        <v>174</v>
      </c>
      <c r="D16" s="11">
        <v>248</v>
      </c>
      <c r="E16" s="11">
        <v>775</v>
      </c>
      <c r="F16" s="11"/>
      <c r="G16" s="11">
        <f t="shared" ref="G16:G17" si="2">D16*E16</f>
        <v>192200</v>
      </c>
      <c r="H16" s="11">
        <f>SUMIFS(Table14[Debit], Table14[Date], Table3[[#This Row],[Date]], Table14[Party], Table3[[#This Row],[Party Name]])</f>
        <v>0</v>
      </c>
      <c r="I16" s="11">
        <f>(D16*E16)-Table3[[#This Row],[Paid]]</f>
        <v>192200</v>
      </c>
      <c r="K16" s="11"/>
      <c r="L16" s="47" t="s">
        <v>190</v>
      </c>
      <c r="M16" s="14">
        <v>243</v>
      </c>
      <c r="N16" s="14">
        <v>196830</v>
      </c>
      <c r="O16" s="14">
        <v>437100</v>
      </c>
      <c r="P16" s="14">
        <v>-240270</v>
      </c>
    </row>
    <row r="17" spans="1:16" x14ac:dyDescent="0.3">
      <c r="A17" s="1">
        <v>45951</v>
      </c>
      <c r="B17" t="s">
        <v>174</v>
      </c>
      <c r="D17" s="11">
        <v>243</v>
      </c>
      <c r="E17" s="11">
        <v>775</v>
      </c>
      <c r="F17" s="11"/>
      <c r="G17" s="11">
        <f t="shared" si="2"/>
        <v>188325</v>
      </c>
      <c r="H17" s="11">
        <f>SUMIFS(Table14[Debit], Table14[Date], Table3[[#This Row],[Date]], Table14[Party], Table3[[#This Row],[Party Name]])</f>
        <v>0</v>
      </c>
      <c r="I17" s="11">
        <f>(D17*E17)-Table3[[#This Row],[Paid]]</f>
        <v>188325</v>
      </c>
      <c r="K17" s="11"/>
      <c r="L17" s="27">
        <v>45950</v>
      </c>
      <c r="M17" s="14">
        <v>859</v>
      </c>
      <c r="N17" s="14">
        <v>687110</v>
      </c>
      <c r="O17" s="14">
        <v>100300</v>
      </c>
      <c r="P17" s="14">
        <v>586810</v>
      </c>
    </row>
    <row r="18" spans="1:16" x14ac:dyDescent="0.3">
      <c r="A18" s="1">
        <v>45952</v>
      </c>
      <c r="B18" t="s">
        <v>97</v>
      </c>
      <c r="D18" s="11"/>
      <c r="E18" s="11"/>
      <c r="F18" s="11"/>
      <c r="G18" s="11">
        <f t="shared" ref="G18:G19" si="3">D18*E18</f>
        <v>0</v>
      </c>
      <c r="H18" s="11">
        <f>SUMIFS(Table14[Debit], Table14[Date], Table3[[#This Row],[Date]], Table14[Party], Table3[[#This Row],[Party Name]])</f>
        <v>150000</v>
      </c>
      <c r="I18" s="11">
        <f>(D18*E18)-Table3[[#This Row],[Paid]]</f>
        <v>-150000</v>
      </c>
      <c r="L18" s="47" t="s">
        <v>106</v>
      </c>
      <c r="M18" s="14">
        <v>859</v>
      </c>
      <c r="N18" s="14">
        <v>687110</v>
      </c>
      <c r="O18" s="14">
        <v>100300</v>
      </c>
      <c r="P18" s="14">
        <v>586810</v>
      </c>
    </row>
    <row r="19" spans="1:16" x14ac:dyDescent="0.3">
      <c r="A19" s="1">
        <v>45952</v>
      </c>
      <c r="B19" t="s">
        <v>174</v>
      </c>
      <c r="D19" s="11"/>
      <c r="E19" s="11"/>
      <c r="F19" s="11"/>
      <c r="G19" s="11">
        <f t="shared" si="3"/>
        <v>0</v>
      </c>
      <c r="H19" s="11">
        <f>SUMIFS(Table14[Debit], Table14[Date], Table3[[#This Row],[Date]], Table14[Party], Table3[[#This Row],[Party Name]])</f>
        <v>244675</v>
      </c>
      <c r="I19" s="11">
        <f>(D19*E19)-Table3[[#This Row],[Paid]]</f>
        <v>-244675</v>
      </c>
      <c r="L19" s="27">
        <v>45951</v>
      </c>
      <c r="M19" s="14">
        <v>243</v>
      </c>
      <c r="N19" s="14">
        <v>188325</v>
      </c>
      <c r="O19" s="14">
        <v>0</v>
      </c>
      <c r="P19" s="14">
        <v>188325</v>
      </c>
    </row>
    <row r="20" spans="1:16" x14ac:dyDescent="0.3">
      <c r="A20" s="1">
        <v>45953</v>
      </c>
      <c r="B20" t="s">
        <v>97</v>
      </c>
      <c r="C20" t="s">
        <v>258</v>
      </c>
      <c r="D20" s="11">
        <v>262</v>
      </c>
      <c r="E20" s="11">
        <v>810</v>
      </c>
      <c r="F20" s="11">
        <v>45250</v>
      </c>
      <c r="G20" s="11">
        <f t="shared" ref="G20:G21" si="4">D20*E20</f>
        <v>212220</v>
      </c>
      <c r="H20" s="11">
        <f>SUMIFS(Table14[Debit], Table14[Date], Table3[[#This Row],[Date]], Table14[Party], Table3[[#This Row],[Party Name]])</f>
        <v>295250</v>
      </c>
      <c r="I20" s="11">
        <f>(D20*E20)-Table3[[#This Row],[Paid]]</f>
        <v>-83030</v>
      </c>
      <c r="L20" s="47" t="s">
        <v>106</v>
      </c>
      <c r="M20" s="14">
        <v>243</v>
      </c>
      <c r="N20" s="14">
        <v>188325</v>
      </c>
      <c r="O20" s="14">
        <v>0</v>
      </c>
      <c r="P20" s="14">
        <v>188325</v>
      </c>
    </row>
    <row r="21" spans="1:16" x14ac:dyDescent="0.3">
      <c r="A21" s="1"/>
      <c r="D21" s="11"/>
      <c r="E21" s="11"/>
      <c r="F21" s="11"/>
      <c r="G21" s="11">
        <f t="shared" si="4"/>
        <v>0</v>
      </c>
      <c r="H21" s="11"/>
      <c r="I21" s="11">
        <f>(D21*E21)-Table3[[#This Row],[Paid]]</f>
        <v>0</v>
      </c>
      <c r="L21" s="27">
        <v>45952</v>
      </c>
      <c r="M21" s="14"/>
      <c r="N21" s="14">
        <v>0</v>
      </c>
      <c r="O21" s="14">
        <v>394675</v>
      </c>
      <c r="P21" s="14">
        <v>-394675</v>
      </c>
    </row>
    <row r="22" spans="1:16" x14ac:dyDescent="0.3">
      <c r="A22" s="1"/>
      <c r="D22" s="14"/>
      <c r="E22" s="14"/>
      <c r="F22" s="14"/>
      <c r="G22" s="14">
        <f>SUBTOTAL(109,Table3[Total])</f>
        <v>2028110</v>
      </c>
      <c r="H22" s="14">
        <f>SUBTOTAL(109,Table3[Paid])</f>
        <v>1440800</v>
      </c>
      <c r="I22" s="14">
        <f>SUBTOTAL(109,Table3[balance])</f>
        <v>3103611</v>
      </c>
      <c r="L22" s="47" t="s">
        <v>106</v>
      </c>
      <c r="M22" s="14"/>
      <c r="N22" s="14">
        <v>0</v>
      </c>
      <c r="O22" s="14">
        <v>394675</v>
      </c>
      <c r="P22" s="14">
        <v>-394675</v>
      </c>
    </row>
    <row r="23" spans="1:16" x14ac:dyDescent="0.3">
      <c r="L23" s="27">
        <v>45953</v>
      </c>
      <c r="M23" s="14">
        <v>262</v>
      </c>
      <c r="N23" s="14">
        <v>212220</v>
      </c>
      <c r="O23" s="14">
        <v>295250</v>
      </c>
      <c r="P23" s="14">
        <v>-83030</v>
      </c>
    </row>
    <row r="24" spans="1:16" x14ac:dyDescent="0.3">
      <c r="L24" s="47" t="s">
        <v>258</v>
      </c>
      <c r="M24" s="14">
        <v>262</v>
      </c>
      <c r="N24" s="14">
        <v>212220</v>
      </c>
      <c r="O24" s="14">
        <v>295250</v>
      </c>
      <c r="P24" s="14">
        <v>-83030</v>
      </c>
    </row>
    <row r="25" spans="1:16" x14ac:dyDescent="0.3">
      <c r="L25" s="27" t="s">
        <v>106</v>
      </c>
      <c r="M25" s="14"/>
      <c r="N25" s="14">
        <v>0</v>
      </c>
      <c r="O25" s="14"/>
      <c r="P25" s="14">
        <v>0</v>
      </c>
    </row>
    <row r="26" spans="1:16" x14ac:dyDescent="0.3">
      <c r="L26" s="47" t="s">
        <v>106</v>
      </c>
      <c r="M26" s="14"/>
      <c r="N26" s="14">
        <v>0</v>
      </c>
      <c r="O26" s="14"/>
      <c r="P26" s="14">
        <v>0</v>
      </c>
    </row>
    <row r="27" spans="1:16" x14ac:dyDescent="0.3">
      <c r="L27" s="27" t="s">
        <v>28</v>
      </c>
      <c r="M27" s="14">
        <v>2637</v>
      </c>
      <c r="N27" s="14">
        <v>2028110</v>
      </c>
      <c r="O27" s="14">
        <v>1440800</v>
      </c>
      <c r="P27" s="14">
        <v>3103611</v>
      </c>
    </row>
    <row r="29" spans="1:16" x14ac:dyDescent="0.3">
      <c r="K29" s="14"/>
    </row>
    <row r="41" spans="12:12" x14ac:dyDescent="0.3">
      <c r="L41" s="14"/>
    </row>
    <row r="42" spans="12:12" x14ac:dyDescent="0.3">
      <c r="L42" s="14">
        <f>I2-Table3[[#Totals],[balance]]</f>
        <v>-1131330</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188"/>
  <sheetViews>
    <sheetView topLeftCell="A82" zoomScale="132" workbookViewId="0">
      <selection activeCell="B96" sqref="B96"/>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8.7773437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75</v>
      </c>
      <c r="B1" t="s">
        <v>113</v>
      </c>
      <c r="C1" t="s">
        <v>70</v>
      </c>
      <c r="D1" t="s">
        <v>69</v>
      </c>
      <c r="E1" t="s">
        <v>36</v>
      </c>
      <c r="F1" t="s">
        <v>114</v>
      </c>
      <c r="G1" t="s">
        <v>115</v>
      </c>
    </row>
    <row r="2" spans="1:16" x14ac:dyDescent="0.3">
      <c r="A2" s="91">
        <v>45947</v>
      </c>
      <c r="B2" s="86" t="s">
        <v>187</v>
      </c>
      <c r="C2" s="11"/>
      <c r="D2" s="92">
        <f>[1]Cashbook!$N$5</f>
        <v>1008</v>
      </c>
      <c r="E2" s="86"/>
      <c r="F2" s="93" t="s">
        <v>111</v>
      </c>
    </row>
    <row r="3" spans="1:16" x14ac:dyDescent="0.3">
      <c r="A3" s="91">
        <v>45947</v>
      </c>
      <c r="B3" s="86" t="s">
        <v>187</v>
      </c>
      <c r="C3" s="11"/>
      <c r="D3" s="92">
        <f>[1]Cashbook!$N$6</f>
        <v>770</v>
      </c>
      <c r="E3" s="86"/>
      <c r="F3" s="93" t="s">
        <v>112</v>
      </c>
      <c r="J3" s="52" t="s">
        <v>45</v>
      </c>
      <c r="K3" s="40" t="s">
        <v>46</v>
      </c>
      <c r="M3" s="52" t="s">
        <v>45</v>
      </c>
      <c r="N3" s="55" t="s">
        <v>107</v>
      </c>
      <c r="O3" s="94" t="s">
        <v>108</v>
      </c>
      <c r="P3" t="s">
        <v>109</v>
      </c>
    </row>
    <row r="4" spans="1:16" x14ac:dyDescent="0.3">
      <c r="A4" s="115">
        <v>45948</v>
      </c>
      <c r="B4" t="s">
        <v>21</v>
      </c>
      <c r="C4" s="11"/>
      <c r="D4" s="11">
        <v>150000</v>
      </c>
      <c r="F4" s="116" t="s">
        <v>111</v>
      </c>
      <c r="J4" s="50" t="s">
        <v>70</v>
      </c>
      <c r="K4" s="51">
        <f>Table14[[#Totals],[Debit]]</f>
        <v>5226139</v>
      </c>
      <c r="M4" s="50" t="s">
        <v>110</v>
      </c>
      <c r="N4" s="56">
        <f>SUMIFS(Table14[Withdrawal],Table14[Party],"Cash",Table14[Mode],"Transfer")</f>
        <v>0</v>
      </c>
    </row>
    <row r="5" spans="1:16" x14ac:dyDescent="0.3">
      <c r="A5" s="115">
        <v>45948</v>
      </c>
      <c r="B5" t="s">
        <v>97</v>
      </c>
      <c r="C5" s="11">
        <v>76100</v>
      </c>
      <c r="D5" s="11"/>
      <c r="E5" t="s">
        <v>189</v>
      </c>
      <c r="F5" s="116" t="s">
        <v>111</v>
      </c>
      <c r="J5" s="50" t="s">
        <v>69</v>
      </c>
      <c r="K5" s="51">
        <f>Table14[[#Totals],[Credit]]</f>
        <v>5288666</v>
      </c>
      <c r="M5" s="50" t="s">
        <v>111</v>
      </c>
      <c r="N5" s="51">
        <f>(SUMIFS(Table14[Credit],Table14[Mode],"Bank")-SUMIFS(Table14[Debit],Table14[Mode],"Bank")-SUMIFS(Table14[Withdrawal],Table14[Mode],"Transfer"))</f>
        <v>63597</v>
      </c>
      <c r="O5">
        <v>360000</v>
      </c>
    </row>
    <row r="6" spans="1:16" x14ac:dyDescent="0.3">
      <c r="A6" s="115">
        <v>45948</v>
      </c>
      <c r="B6" t="s">
        <v>97</v>
      </c>
      <c r="C6" s="11">
        <v>44000</v>
      </c>
      <c r="D6" s="11"/>
      <c r="E6" t="s">
        <v>190</v>
      </c>
      <c r="F6" s="116" t="s">
        <v>111</v>
      </c>
      <c r="J6" s="57" t="s">
        <v>43</v>
      </c>
      <c r="K6" s="58">
        <f>(K5-K4)</f>
        <v>62527</v>
      </c>
      <c r="M6" s="50" t="s">
        <v>112</v>
      </c>
      <c r="N6" s="51">
        <f>((SUMIFS(Table14[Credit],Table14[Mode],"Cash")-SUMIFS(Table14[Debit],Table14[Mode],"Cash"))+SUMIFS(Table14[Withdrawal],Table14[Party],"Cash",Table14[Mode],"Transfer"))</f>
        <v>-1070</v>
      </c>
      <c r="O6">
        <v>50000</v>
      </c>
    </row>
    <row r="7" spans="1:16" x14ac:dyDescent="0.3">
      <c r="A7" s="115">
        <v>45948</v>
      </c>
      <c r="B7" t="s">
        <v>191</v>
      </c>
      <c r="C7" s="11">
        <v>10000</v>
      </c>
      <c r="D7" s="11"/>
      <c r="E7" t="s">
        <v>192</v>
      </c>
      <c r="F7" s="116" t="s">
        <v>111</v>
      </c>
      <c r="M7" s="53" t="s">
        <v>5</v>
      </c>
      <c r="N7" s="54">
        <f>SUM(N5:N6)</f>
        <v>62527</v>
      </c>
      <c r="O7" s="95">
        <f>SUM(O5,O6)</f>
        <v>410000</v>
      </c>
      <c r="P7" s="14">
        <f>Table18[[#Totals],[amount]]-Table18[[#Totals],[Actual]]</f>
        <v>-347473</v>
      </c>
    </row>
    <row r="8" spans="1:16" x14ac:dyDescent="0.3">
      <c r="A8" s="115">
        <v>45948</v>
      </c>
      <c r="B8" t="s">
        <v>54</v>
      </c>
      <c r="C8" s="11">
        <v>5330</v>
      </c>
      <c r="D8" s="11"/>
      <c r="E8" t="s">
        <v>193</v>
      </c>
      <c r="F8" s="116" t="s">
        <v>111</v>
      </c>
    </row>
    <row r="9" spans="1:16" x14ac:dyDescent="0.3">
      <c r="A9" s="115">
        <v>45948</v>
      </c>
      <c r="B9" t="s">
        <v>21</v>
      </c>
      <c r="C9" s="11"/>
      <c r="D9" s="11">
        <v>5330</v>
      </c>
      <c r="E9" t="s">
        <v>193</v>
      </c>
      <c r="F9" s="116" t="s">
        <v>111</v>
      </c>
    </row>
    <row r="10" spans="1:16" x14ac:dyDescent="0.3">
      <c r="A10" s="115">
        <v>45948</v>
      </c>
      <c r="B10" t="s">
        <v>194</v>
      </c>
      <c r="C10" s="11"/>
      <c r="D10" s="11">
        <v>4000</v>
      </c>
      <c r="F10" s="116" t="s">
        <v>111</v>
      </c>
    </row>
    <row r="11" spans="1:16" x14ac:dyDescent="0.3">
      <c r="A11" s="115">
        <v>45948</v>
      </c>
      <c r="B11" t="s">
        <v>174</v>
      </c>
      <c r="C11" s="117">
        <v>207475</v>
      </c>
      <c r="D11" s="117"/>
      <c r="E11" t="s">
        <v>195</v>
      </c>
      <c r="F11" s="116" t="s">
        <v>111</v>
      </c>
    </row>
    <row r="12" spans="1:16" x14ac:dyDescent="0.3">
      <c r="A12" s="115">
        <v>45948</v>
      </c>
      <c r="B12" t="s">
        <v>50</v>
      </c>
      <c r="C12" s="11">
        <v>420</v>
      </c>
      <c r="D12" s="11"/>
      <c r="F12" s="116" t="s">
        <v>112</v>
      </c>
    </row>
    <row r="13" spans="1:16" x14ac:dyDescent="0.3">
      <c r="A13" s="115">
        <v>45948</v>
      </c>
      <c r="B13" t="s">
        <v>21</v>
      </c>
      <c r="C13" s="11"/>
      <c r="D13" s="11">
        <v>200000</v>
      </c>
      <c r="F13" s="116" t="s">
        <v>111</v>
      </c>
    </row>
    <row r="14" spans="1:16" x14ac:dyDescent="0.3">
      <c r="A14" s="115">
        <v>45948</v>
      </c>
      <c r="B14" t="s">
        <v>52</v>
      </c>
      <c r="C14" s="11">
        <v>3750</v>
      </c>
      <c r="D14" s="11"/>
      <c r="E14" t="s">
        <v>196</v>
      </c>
      <c r="F14" s="116" t="s">
        <v>112</v>
      </c>
    </row>
    <row r="15" spans="1:16" x14ac:dyDescent="0.3">
      <c r="A15" s="115">
        <v>45948</v>
      </c>
      <c r="B15" t="s">
        <v>97</v>
      </c>
      <c r="C15" s="11">
        <v>17000</v>
      </c>
      <c r="D15" s="11"/>
      <c r="E15" t="s">
        <v>197</v>
      </c>
      <c r="F15" s="116" t="s">
        <v>112</v>
      </c>
    </row>
    <row r="16" spans="1:16" x14ac:dyDescent="0.3">
      <c r="A16" s="115">
        <v>45948</v>
      </c>
      <c r="B16" t="s">
        <v>174</v>
      </c>
      <c r="C16" s="117">
        <v>5000</v>
      </c>
      <c r="D16" s="117"/>
      <c r="E16" t="s">
        <v>197</v>
      </c>
      <c r="F16" s="116" t="s">
        <v>112</v>
      </c>
    </row>
    <row r="17" spans="1:6" x14ac:dyDescent="0.3">
      <c r="A17" s="115">
        <v>45948</v>
      </c>
      <c r="B17" t="s">
        <v>182</v>
      </c>
      <c r="C17" s="11">
        <v>1000</v>
      </c>
      <c r="D17" s="11"/>
      <c r="E17" t="s">
        <v>197</v>
      </c>
      <c r="F17" s="116" t="s">
        <v>112</v>
      </c>
    </row>
    <row r="18" spans="1:6" x14ac:dyDescent="0.3">
      <c r="A18" s="115">
        <v>45948</v>
      </c>
      <c r="B18" t="s">
        <v>50</v>
      </c>
      <c r="C18" s="11">
        <v>1000</v>
      </c>
      <c r="D18" s="11"/>
      <c r="E18" t="s">
        <v>197</v>
      </c>
      <c r="F18" s="116" t="s">
        <v>112</v>
      </c>
    </row>
    <row r="19" spans="1:6" x14ac:dyDescent="0.3">
      <c r="A19" s="115">
        <v>45948</v>
      </c>
      <c r="B19" t="s">
        <v>209</v>
      </c>
      <c r="C19" s="11"/>
      <c r="D19" s="11">
        <v>3000</v>
      </c>
      <c r="E19" t="s">
        <v>210</v>
      </c>
      <c r="F19" s="116" t="s">
        <v>112</v>
      </c>
    </row>
    <row r="20" spans="1:6" x14ac:dyDescent="0.3">
      <c r="A20" s="115">
        <v>45948</v>
      </c>
      <c r="B20" t="s">
        <v>198</v>
      </c>
      <c r="C20" s="11"/>
      <c r="D20" s="11">
        <v>415571</v>
      </c>
      <c r="E20" t="s">
        <v>199</v>
      </c>
      <c r="F20" s="116" t="s">
        <v>111</v>
      </c>
    </row>
    <row r="21" spans="1:6" x14ac:dyDescent="0.3">
      <c r="A21" s="115">
        <v>45948</v>
      </c>
      <c r="B21" t="s">
        <v>97</v>
      </c>
      <c r="C21" s="11">
        <v>300000</v>
      </c>
      <c r="D21" s="11"/>
      <c r="E21" t="s">
        <v>200</v>
      </c>
      <c r="F21" s="116" t="s">
        <v>111</v>
      </c>
    </row>
    <row r="22" spans="1:6" x14ac:dyDescent="0.3">
      <c r="A22" s="115">
        <v>45948</v>
      </c>
      <c r="B22" t="s">
        <v>201</v>
      </c>
      <c r="C22" s="11"/>
      <c r="D22" s="11">
        <v>590170</v>
      </c>
      <c r="F22" s="116" t="s">
        <v>111</v>
      </c>
    </row>
    <row r="23" spans="1:6" x14ac:dyDescent="0.3">
      <c r="A23" s="115">
        <v>45948</v>
      </c>
      <c r="B23" t="s">
        <v>118</v>
      </c>
      <c r="C23" s="11">
        <v>300000</v>
      </c>
      <c r="D23" s="11"/>
      <c r="E23" t="s">
        <v>21</v>
      </c>
      <c r="F23" s="116" t="s">
        <v>111</v>
      </c>
    </row>
    <row r="24" spans="1:6" x14ac:dyDescent="0.3">
      <c r="A24" s="115">
        <v>45948</v>
      </c>
      <c r="B24" t="s">
        <v>21</v>
      </c>
      <c r="C24" s="11"/>
      <c r="D24" s="11">
        <v>1370</v>
      </c>
      <c r="E24" t="s">
        <v>202</v>
      </c>
      <c r="F24" s="116" t="s">
        <v>111</v>
      </c>
    </row>
    <row r="25" spans="1:6" x14ac:dyDescent="0.3">
      <c r="A25" s="43">
        <v>45948</v>
      </c>
      <c r="B25" t="s">
        <v>55</v>
      </c>
      <c r="C25" s="117">
        <v>1370</v>
      </c>
      <c r="D25" s="117"/>
      <c r="E25" t="s">
        <v>202</v>
      </c>
      <c r="F25" s="116" t="s">
        <v>111</v>
      </c>
    </row>
    <row r="26" spans="1:6" x14ac:dyDescent="0.3">
      <c r="A26" s="115">
        <v>45948</v>
      </c>
      <c r="B26" t="s">
        <v>21</v>
      </c>
      <c r="C26" s="11"/>
      <c r="D26" s="11">
        <v>15000</v>
      </c>
      <c r="E26" t="s">
        <v>203</v>
      </c>
      <c r="F26" s="116" t="s">
        <v>111</v>
      </c>
    </row>
    <row r="27" spans="1:6" x14ac:dyDescent="0.3">
      <c r="A27" s="43">
        <v>45948</v>
      </c>
      <c r="B27" t="s">
        <v>55</v>
      </c>
      <c r="C27" s="117">
        <v>10000</v>
      </c>
      <c r="D27" s="117"/>
      <c r="E27" t="s">
        <v>204</v>
      </c>
      <c r="F27" s="116" t="s">
        <v>111</v>
      </c>
    </row>
    <row r="28" spans="1:6" x14ac:dyDescent="0.3">
      <c r="A28" s="43">
        <v>45948</v>
      </c>
      <c r="B28" t="s">
        <v>21</v>
      </c>
      <c r="C28" s="117"/>
      <c r="D28" s="117">
        <v>10000</v>
      </c>
      <c r="E28" t="s">
        <v>205</v>
      </c>
      <c r="F28" s="116" t="s">
        <v>111</v>
      </c>
    </row>
    <row r="29" spans="1:6" x14ac:dyDescent="0.3">
      <c r="A29" s="43">
        <v>45948</v>
      </c>
      <c r="B29" t="s">
        <v>55</v>
      </c>
      <c r="C29" s="117">
        <v>10000</v>
      </c>
      <c r="D29" s="117"/>
      <c r="E29" t="s">
        <v>205</v>
      </c>
      <c r="F29" s="116" t="s">
        <v>111</v>
      </c>
    </row>
    <row r="30" spans="1:6" x14ac:dyDescent="0.3">
      <c r="A30" s="115">
        <v>45948</v>
      </c>
      <c r="B30" t="s">
        <v>206</v>
      </c>
      <c r="C30" s="11">
        <v>162250</v>
      </c>
      <c r="D30" s="11"/>
      <c r="F30" s="116" t="s">
        <v>111</v>
      </c>
    </row>
    <row r="31" spans="1:6" x14ac:dyDescent="0.3">
      <c r="A31" s="43">
        <v>45948</v>
      </c>
      <c r="B31" t="s">
        <v>21</v>
      </c>
      <c r="C31" s="117"/>
      <c r="D31" s="117">
        <v>162250</v>
      </c>
      <c r="E31" t="s">
        <v>64</v>
      </c>
      <c r="F31" s="116" t="s">
        <v>111</v>
      </c>
    </row>
    <row r="32" spans="1:6" x14ac:dyDescent="0.3">
      <c r="A32" s="115">
        <v>45948</v>
      </c>
      <c r="B32" t="s">
        <v>21</v>
      </c>
      <c r="C32" s="11"/>
      <c r="D32" s="11">
        <v>23500</v>
      </c>
      <c r="E32" t="s">
        <v>211</v>
      </c>
      <c r="F32" s="116" t="s">
        <v>111</v>
      </c>
    </row>
    <row r="33" spans="1:6" x14ac:dyDescent="0.3">
      <c r="A33" s="43">
        <v>45948</v>
      </c>
      <c r="B33" t="s">
        <v>55</v>
      </c>
      <c r="C33" s="117">
        <v>23500</v>
      </c>
      <c r="D33" s="117"/>
      <c r="F33" s="116" t="s">
        <v>111</v>
      </c>
    </row>
    <row r="34" spans="1:6" x14ac:dyDescent="0.3">
      <c r="A34" s="115">
        <v>45948</v>
      </c>
      <c r="B34" t="s">
        <v>194</v>
      </c>
      <c r="C34" s="11">
        <v>1600</v>
      </c>
      <c r="D34" s="11"/>
      <c r="F34" s="116" t="s">
        <v>112</v>
      </c>
    </row>
    <row r="35" spans="1:6" x14ac:dyDescent="0.3">
      <c r="A35" s="115">
        <v>45948</v>
      </c>
      <c r="B35" t="s">
        <v>212</v>
      </c>
      <c r="C35" s="11">
        <v>100000</v>
      </c>
      <c r="D35" s="11"/>
      <c r="E35" t="s">
        <v>213</v>
      </c>
      <c r="F35" s="116" t="s">
        <v>111</v>
      </c>
    </row>
    <row r="36" spans="1:6" x14ac:dyDescent="0.3">
      <c r="A36" s="43">
        <v>45950</v>
      </c>
      <c r="B36" t="s">
        <v>214</v>
      </c>
      <c r="C36" s="117"/>
      <c r="D36" s="117">
        <v>54825</v>
      </c>
      <c r="E36" t="s">
        <v>215</v>
      </c>
      <c r="F36" s="116" t="s">
        <v>112</v>
      </c>
    </row>
    <row r="37" spans="1:6" x14ac:dyDescent="0.3">
      <c r="A37" s="43">
        <v>45950</v>
      </c>
      <c r="B37" t="s">
        <v>214</v>
      </c>
      <c r="C37" s="117">
        <f>33695+1500</f>
        <v>35195</v>
      </c>
      <c r="D37" s="117"/>
      <c r="E37" t="s">
        <v>216</v>
      </c>
      <c r="F37" s="116" t="s">
        <v>112</v>
      </c>
    </row>
    <row r="38" spans="1:6" x14ac:dyDescent="0.3">
      <c r="A38" s="43">
        <v>45950</v>
      </c>
      <c r="B38" t="s">
        <v>54</v>
      </c>
      <c r="C38" s="11">
        <v>1000</v>
      </c>
      <c r="D38" s="11"/>
      <c r="E38" t="s">
        <v>217</v>
      </c>
      <c r="F38" s="116" t="s">
        <v>111</v>
      </c>
    </row>
    <row r="39" spans="1:6" x14ac:dyDescent="0.3">
      <c r="A39" s="43">
        <v>45950</v>
      </c>
      <c r="B39" t="s">
        <v>97</v>
      </c>
      <c r="C39" s="11">
        <v>48800</v>
      </c>
      <c r="D39" s="11"/>
      <c r="E39" t="s">
        <v>218</v>
      </c>
      <c r="F39" s="116" t="s">
        <v>111</v>
      </c>
    </row>
    <row r="40" spans="1:6" x14ac:dyDescent="0.3">
      <c r="A40" s="43">
        <v>45950</v>
      </c>
      <c r="B40" t="s">
        <v>97</v>
      </c>
      <c r="C40" s="11">
        <v>51500</v>
      </c>
      <c r="D40" s="11"/>
      <c r="E40" t="s">
        <v>219</v>
      </c>
      <c r="F40" s="116" t="s">
        <v>111</v>
      </c>
    </row>
    <row r="41" spans="1:6" x14ac:dyDescent="0.3">
      <c r="A41" s="43">
        <v>45950</v>
      </c>
      <c r="B41" t="s">
        <v>212</v>
      </c>
      <c r="C41" s="11">
        <v>2600</v>
      </c>
      <c r="D41" s="11"/>
      <c r="E41" t="s">
        <v>220</v>
      </c>
      <c r="F41" s="116" t="s">
        <v>111</v>
      </c>
    </row>
    <row r="42" spans="1:6" x14ac:dyDescent="0.3">
      <c r="A42" s="43">
        <v>45950</v>
      </c>
      <c r="B42" t="s">
        <v>212</v>
      </c>
      <c r="C42" s="11">
        <v>6600</v>
      </c>
      <c r="D42" s="11"/>
      <c r="E42" t="s">
        <v>220</v>
      </c>
      <c r="F42" s="116" t="s">
        <v>111</v>
      </c>
    </row>
    <row r="43" spans="1:6" x14ac:dyDescent="0.3">
      <c r="A43" s="43">
        <v>45950</v>
      </c>
      <c r="B43" t="s">
        <v>52</v>
      </c>
      <c r="C43" s="11">
        <v>3500</v>
      </c>
      <c r="D43" s="11"/>
      <c r="E43" t="s">
        <v>221</v>
      </c>
      <c r="F43" s="116" t="s">
        <v>112</v>
      </c>
    </row>
    <row r="44" spans="1:6" x14ac:dyDescent="0.3">
      <c r="A44" s="43">
        <v>45950</v>
      </c>
      <c r="B44" t="s">
        <v>222</v>
      </c>
      <c r="C44" s="11">
        <v>2000</v>
      </c>
      <c r="D44" s="11"/>
      <c r="E44" t="s">
        <v>223</v>
      </c>
      <c r="F44" s="116" t="s">
        <v>112</v>
      </c>
    </row>
    <row r="45" spans="1:6" x14ac:dyDescent="0.3">
      <c r="A45" s="43">
        <v>45950</v>
      </c>
      <c r="B45" t="s">
        <v>212</v>
      </c>
      <c r="C45" s="11">
        <v>2700</v>
      </c>
      <c r="D45" s="11"/>
      <c r="E45" t="s">
        <v>224</v>
      </c>
      <c r="F45" s="116" t="s">
        <v>112</v>
      </c>
    </row>
    <row r="46" spans="1:6" x14ac:dyDescent="0.3">
      <c r="A46" s="43">
        <v>45950</v>
      </c>
      <c r="B46" t="s">
        <v>52</v>
      </c>
      <c r="C46" s="11">
        <v>6600</v>
      </c>
      <c r="D46" s="11"/>
      <c r="E46" t="s">
        <v>225</v>
      </c>
      <c r="F46" s="116" t="s">
        <v>111</v>
      </c>
    </row>
    <row r="47" spans="1:6" x14ac:dyDescent="0.3">
      <c r="A47" s="43">
        <v>45950</v>
      </c>
      <c r="B47" t="s">
        <v>212</v>
      </c>
      <c r="C47" s="11">
        <v>13500</v>
      </c>
      <c r="D47" s="11"/>
      <c r="E47" t="s">
        <v>226</v>
      </c>
      <c r="F47" s="116" t="s">
        <v>111</v>
      </c>
    </row>
    <row r="48" spans="1:6" x14ac:dyDescent="0.3">
      <c r="A48" s="43">
        <v>45950</v>
      </c>
      <c r="B48" t="s">
        <v>50</v>
      </c>
      <c r="C48" s="11">
        <f>4500+720</f>
        <v>5220</v>
      </c>
      <c r="D48" s="11"/>
      <c r="E48" t="s">
        <v>230</v>
      </c>
      <c r="F48" s="116" t="s">
        <v>111</v>
      </c>
    </row>
    <row r="49" spans="1:6" x14ac:dyDescent="0.3">
      <c r="A49" s="43">
        <v>45951</v>
      </c>
      <c r="B49" t="s">
        <v>54</v>
      </c>
      <c r="C49" s="11">
        <v>5311</v>
      </c>
      <c r="D49" s="11"/>
      <c r="E49" t="s">
        <v>231</v>
      </c>
      <c r="F49" s="116" t="s">
        <v>111</v>
      </c>
    </row>
    <row r="50" spans="1:6" x14ac:dyDescent="0.3">
      <c r="A50" s="43">
        <v>45951</v>
      </c>
      <c r="B50" t="s">
        <v>55</v>
      </c>
      <c r="C50" s="11">
        <v>10000</v>
      </c>
      <c r="D50" s="11"/>
      <c r="E50" t="s">
        <v>232</v>
      </c>
      <c r="F50" s="116" t="s">
        <v>111</v>
      </c>
    </row>
    <row r="51" spans="1:6" x14ac:dyDescent="0.3">
      <c r="A51" s="43">
        <v>45951</v>
      </c>
      <c r="B51" t="s">
        <v>55</v>
      </c>
      <c r="C51" s="11">
        <v>700</v>
      </c>
      <c r="D51" s="11"/>
      <c r="E51" t="s">
        <v>233</v>
      </c>
      <c r="F51" s="116" t="s">
        <v>111</v>
      </c>
    </row>
    <row r="52" spans="1:6" x14ac:dyDescent="0.3">
      <c r="A52" s="43">
        <v>45951</v>
      </c>
      <c r="B52" t="s">
        <v>55</v>
      </c>
      <c r="C52" s="11">
        <v>4100</v>
      </c>
      <c r="D52" s="11"/>
      <c r="E52" t="s">
        <v>234</v>
      </c>
      <c r="F52" s="116" t="s">
        <v>111</v>
      </c>
    </row>
    <row r="53" spans="1:6" x14ac:dyDescent="0.3">
      <c r="A53" s="43">
        <v>45951</v>
      </c>
      <c r="B53" t="s">
        <v>50</v>
      </c>
      <c r="C53" s="11">
        <v>450</v>
      </c>
      <c r="D53" s="11"/>
      <c r="E53" t="s">
        <v>235</v>
      </c>
      <c r="F53" s="116" t="s">
        <v>111</v>
      </c>
    </row>
    <row r="54" spans="1:6" x14ac:dyDescent="0.3">
      <c r="A54" s="43">
        <v>45951</v>
      </c>
      <c r="B54" t="s">
        <v>97</v>
      </c>
      <c r="C54" s="11">
        <v>303200</v>
      </c>
      <c r="D54" s="11"/>
      <c r="E54" t="s">
        <v>236</v>
      </c>
      <c r="F54" s="116" t="s">
        <v>111</v>
      </c>
    </row>
    <row r="55" spans="1:6" x14ac:dyDescent="0.3">
      <c r="A55" s="43">
        <v>45951</v>
      </c>
      <c r="B55" t="s">
        <v>21</v>
      </c>
      <c r="C55" s="11"/>
      <c r="D55" s="11">
        <v>180000</v>
      </c>
      <c r="E55" t="s">
        <v>237</v>
      </c>
      <c r="F55" s="116" t="s">
        <v>111</v>
      </c>
    </row>
    <row r="56" spans="1:6" x14ac:dyDescent="0.3">
      <c r="A56" s="43">
        <v>45951</v>
      </c>
      <c r="B56" t="s">
        <v>21</v>
      </c>
      <c r="C56" s="11"/>
      <c r="D56" s="11">
        <v>12000</v>
      </c>
      <c r="E56" t="s">
        <v>238</v>
      </c>
      <c r="F56" s="116" t="s">
        <v>111</v>
      </c>
    </row>
    <row r="57" spans="1:6" x14ac:dyDescent="0.3">
      <c r="A57" s="43">
        <v>45951</v>
      </c>
      <c r="B57" t="s">
        <v>64</v>
      </c>
      <c r="C57" s="11">
        <v>12000</v>
      </c>
      <c r="D57" s="11"/>
      <c r="E57" t="s">
        <v>238</v>
      </c>
      <c r="F57" s="116" t="s">
        <v>111</v>
      </c>
    </row>
    <row r="58" spans="1:6" x14ac:dyDescent="0.3">
      <c r="A58" s="43">
        <v>45951</v>
      </c>
      <c r="B58" t="s">
        <v>97</v>
      </c>
      <c r="C58" s="11">
        <v>100000</v>
      </c>
      <c r="D58" s="11"/>
      <c r="E58" t="s">
        <v>243</v>
      </c>
      <c r="F58" s="116" t="s">
        <v>111</v>
      </c>
    </row>
    <row r="59" spans="1:6" x14ac:dyDescent="0.3">
      <c r="A59" s="43">
        <v>45951</v>
      </c>
      <c r="B59" t="s">
        <v>21</v>
      </c>
      <c r="C59" s="11"/>
      <c r="D59" s="11">
        <v>100000</v>
      </c>
      <c r="F59" s="116" t="s">
        <v>111</v>
      </c>
    </row>
    <row r="60" spans="1:6" x14ac:dyDescent="0.3">
      <c r="A60" s="43">
        <v>45951</v>
      </c>
      <c r="B60" t="s">
        <v>201</v>
      </c>
      <c r="C60" s="11"/>
      <c r="D60" s="11">
        <v>62000</v>
      </c>
      <c r="E60" t="s">
        <v>239</v>
      </c>
      <c r="F60" s="116" t="s">
        <v>112</v>
      </c>
    </row>
    <row r="61" spans="1:6" x14ac:dyDescent="0.3">
      <c r="A61" s="43">
        <v>45951</v>
      </c>
      <c r="B61" t="s">
        <v>212</v>
      </c>
      <c r="C61" s="11">
        <v>6000</v>
      </c>
      <c r="D61" s="11"/>
      <c r="E61" t="s">
        <v>240</v>
      </c>
      <c r="F61" s="116" t="s">
        <v>112</v>
      </c>
    </row>
    <row r="62" spans="1:6" x14ac:dyDescent="0.3">
      <c r="A62" s="43">
        <v>45951</v>
      </c>
      <c r="B62" t="s">
        <v>52</v>
      </c>
      <c r="C62" s="11">
        <v>13900</v>
      </c>
      <c r="D62" s="11"/>
      <c r="E62" t="s">
        <v>241</v>
      </c>
      <c r="F62" s="116" t="s">
        <v>111</v>
      </c>
    </row>
    <row r="63" spans="1:6" x14ac:dyDescent="0.3">
      <c r="A63" s="43">
        <v>45951</v>
      </c>
      <c r="B63" t="s">
        <v>55</v>
      </c>
      <c r="C63" s="11">
        <v>6000</v>
      </c>
      <c r="D63" s="11"/>
      <c r="E63" t="s">
        <v>242</v>
      </c>
      <c r="F63" s="116" t="s">
        <v>111</v>
      </c>
    </row>
    <row r="64" spans="1:6" x14ac:dyDescent="0.3">
      <c r="A64" s="43">
        <v>45951</v>
      </c>
      <c r="B64" t="s">
        <v>21</v>
      </c>
      <c r="C64" s="117"/>
      <c r="D64" s="117">
        <v>6000</v>
      </c>
      <c r="E64" t="s">
        <v>242</v>
      </c>
      <c r="F64" s="116" t="s">
        <v>111</v>
      </c>
    </row>
    <row r="65" spans="1:6" x14ac:dyDescent="0.3">
      <c r="A65" s="43">
        <v>45951</v>
      </c>
      <c r="B65" t="s">
        <v>244</v>
      </c>
      <c r="C65" s="11">
        <v>2503038</v>
      </c>
      <c r="D65" s="11"/>
      <c r="E65" t="s">
        <v>245</v>
      </c>
      <c r="F65" s="116" t="s">
        <v>111</v>
      </c>
    </row>
    <row r="66" spans="1:6" x14ac:dyDescent="0.3">
      <c r="A66" s="43">
        <v>45951</v>
      </c>
      <c r="B66" t="s">
        <v>21</v>
      </c>
      <c r="C66" s="11"/>
      <c r="D66" s="11">
        <v>2503038</v>
      </c>
      <c r="E66" t="s">
        <v>245</v>
      </c>
      <c r="F66" s="116" t="s">
        <v>111</v>
      </c>
    </row>
    <row r="67" spans="1:6" x14ac:dyDescent="0.3">
      <c r="A67" s="43">
        <v>45951</v>
      </c>
      <c r="B67" t="s">
        <v>212</v>
      </c>
      <c r="C67" s="11">
        <v>1500</v>
      </c>
      <c r="D67" s="11"/>
      <c r="E67" t="s">
        <v>246</v>
      </c>
      <c r="F67" s="116" t="s">
        <v>111</v>
      </c>
    </row>
    <row r="68" spans="1:6" x14ac:dyDescent="0.3">
      <c r="A68" s="43">
        <v>45950</v>
      </c>
      <c r="B68" t="s">
        <v>194</v>
      </c>
      <c r="C68" s="11">
        <v>1100</v>
      </c>
      <c r="D68" s="11"/>
      <c r="E68" t="s">
        <v>247</v>
      </c>
      <c r="F68" s="116" t="s">
        <v>111</v>
      </c>
    </row>
    <row r="69" spans="1:6" x14ac:dyDescent="0.3">
      <c r="A69" s="43">
        <v>45951</v>
      </c>
      <c r="B69" t="s">
        <v>54</v>
      </c>
      <c r="C69" s="11">
        <v>1000</v>
      </c>
      <c r="D69" s="11"/>
      <c r="E69" t="s">
        <v>248</v>
      </c>
      <c r="F69" s="116" t="s">
        <v>111</v>
      </c>
    </row>
    <row r="70" spans="1:6" x14ac:dyDescent="0.3">
      <c r="A70" s="43">
        <v>45952</v>
      </c>
      <c r="B70" t="s">
        <v>9</v>
      </c>
      <c r="C70" s="11"/>
      <c r="D70" s="11">
        <v>200000</v>
      </c>
      <c r="E70" t="s">
        <v>250</v>
      </c>
      <c r="F70" s="116" t="s">
        <v>111</v>
      </c>
    </row>
    <row r="71" spans="1:6" x14ac:dyDescent="0.3">
      <c r="A71" s="43">
        <v>45952</v>
      </c>
      <c r="B71" t="s">
        <v>50</v>
      </c>
      <c r="C71" s="11">
        <v>1000</v>
      </c>
      <c r="D71" s="11"/>
      <c r="E71" t="s">
        <v>251</v>
      </c>
      <c r="F71" s="116" t="s">
        <v>111</v>
      </c>
    </row>
    <row r="72" spans="1:6" x14ac:dyDescent="0.3">
      <c r="A72" s="43">
        <v>45952</v>
      </c>
      <c r="B72" t="s">
        <v>212</v>
      </c>
      <c r="C72" s="11">
        <v>5900</v>
      </c>
      <c r="D72" s="11"/>
      <c r="E72" t="s">
        <v>252</v>
      </c>
      <c r="F72" s="116" t="s">
        <v>111</v>
      </c>
    </row>
    <row r="73" spans="1:6" x14ac:dyDescent="0.3">
      <c r="A73" s="43">
        <v>45952</v>
      </c>
      <c r="B73" t="s">
        <v>191</v>
      </c>
      <c r="C73" s="11">
        <v>1000</v>
      </c>
      <c r="D73" s="11"/>
      <c r="E73" t="s">
        <v>253</v>
      </c>
      <c r="F73" s="116" t="s">
        <v>111</v>
      </c>
    </row>
    <row r="74" spans="1:6" x14ac:dyDescent="0.3">
      <c r="A74" s="43">
        <v>45952</v>
      </c>
      <c r="B74" t="s">
        <v>55</v>
      </c>
      <c r="C74" s="11">
        <v>25000</v>
      </c>
      <c r="D74" s="11"/>
      <c r="E74" t="s">
        <v>232</v>
      </c>
      <c r="F74" s="116" t="s">
        <v>111</v>
      </c>
    </row>
    <row r="75" spans="1:6" x14ac:dyDescent="0.3">
      <c r="A75" s="43">
        <v>45952</v>
      </c>
      <c r="B75" t="s">
        <v>52</v>
      </c>
      <c r="C75" s="11">
        <v>3000</v>
      </c>
      <c r="D75" s="11"/>
      <c r="E75" t="s">
        <v>254</v>
      </c>
      <c r="F75" s="116" t="s">
        <v>112</v>
      </c>
    </row>
    <row r="76" spans="1:6" x14ac:dyDescent="0.3">
      <c r="A76" s="43">
        <v>45952</v>
      </c>
      <c r="B76" t="s">
        <v>50</v>
      </c>
      <c r="C76" s="11">
        <v>800</v>
      </c>
      <c r="D76" s="11"/>
      <c r="E76" t="s">
        <v>255</v>
      </c>
      <c r="F76" s="116" t="s">
        <v>111</v>
      </c>
    </row>
    <row r="77" spans="1:6" x14ac:dyDescent="0.3">
      <c r="A77" s="43">
        <v>45952</v>
      </c>
      <c r="B77" t="s">
        <v>9</v>
      </c>
      <c r="C77" s="117"/>
      <c r="D77" s="117">
        <v>100000</v>
      </c>
      <c r="E77" t="s">
        <v>250</v>
      </c>
      <c r="F77" s="116" t="s">
        <v>111</v>
      </c>
    </row>
    <row r="78" spans="1:6" x14ac:dyDescent="0.3">
      <c r="A78" s="43">
        <v>45952</v>
      </c>
      <c r="B78" t="s">
        <v>9</v>
      </c>
      <c r="C78" s="11"/>
      <c r="D78" s="11">
        <v>150000</v>
      </c>
      <c r="E78" t="s">
        <v>250</v>
      </c>
      <c r="F78" s="116" t="s">
        <v>111</v>
      </c>
    </row>
    <row r="79" spans="1:6" x14ac:dyDescent="0.3">
      <c r="A79" s="43">
        <v>45952</v>
      </c>
      <c r="B79" t="s">
        <v>97</v>
      </c>
      <c r="C79" s="11">
        <v>150000</v>
      </c>
      <c r="D79" s="11"/>
      <c r="E79" t="s">
        <v>250</v>
      </c>
      <c r="F79" s="116" t="s">
        <v>111</v>
      </c>
    </row>
    <row r="80" spans="1:6" x14ac:dyDescent="0.3">
      <c r="A80" s="43">
        <v>45952</v>
      </c>
      <c r="B80" t="s">
        <v>174</v>
      </c>
      <c r="C80" s="11">
        <v>244675</v>
      </c>
      <c r="D80" s="11"/>
      <c r="E80" t="s">
        <v>250</v>
      </c>
      <c r="F80" s="116" t="s">
        <v>111</v>
      </c>
    </row>
    <row r="81" spans="1:6" x14ac:dyDescent="0.3">
      <c r="A81" s="43">
        <v>45952</v>
      </c>
      <c r="B81" t="s">
        <v>55</v>
      </c>
      <c r="C81" s="11">
        <v>3310</v>
      </c>
      <c r="D81" s="11"/>
      <c r="E81" t="s">
        <v>256</v>
      </c>
      <c r="F81" s="116" t="s">
        <v>111</v>
      </c>
    </row>
    <row r="82" spans="1:6" x14ac:dyDescent="0.3">
      <c r="A82" s="43">
        <v>45952</v>
      </c>
      <c r="B82" t="s">
        <v>21</v>
      </c>
      <c r="C82" s="11"/>
      <c r="D82" s="11">
        <v>1600</v>
      </c>
      <c r="E82" t="s">
        <v>257</v>
      </c>
      <c r="F82" s="116" t="s">
        <v>111</v>
      </c>
    </row>
    <row r="83" spans="1:6" x14ac:dyDescent="0.3">
      <c r="A83" s="43">
        <v>45952</v>
      </c>
      <c r="B83" t="s">
        <v>54</v>
      </c>
      <c r="C83" s="11">
        <v>1600</v>
      </c>
      <c r="D83" s="11"/>
      <c r="E83" t="s">
        <v>257</v>
      </c>
      <c r="F83" s="116" t="s">
        <v>111</v>
      </c>
    </row>
    <row r="84" spans="1:6" x14ac:dyDescent="0.3">
      <c r="A84" s="43">
        <v>45953</v>
      </c>
      <c r="B84" t="s">
        <v>97</v>
      </c>
      <c r="C84" s="11">
        <v>45250</v>
      </c>
      <c r="D84" s="11"/>
      <c r="E84" t="s">
        <v>258</v>
      </c>
      <c r="F84" s="116" t="s">
        <v>111</v>
      </c>
    </row>
    <row r="85" spans="1:6" x14ac:dyDescent="0.3">
      <c r="A85" s="43">
        <v>45953</v>
      </c>
      <c r="B85" t="s">
        <v>54</v>
      </c>
      <c r="C85" s="11">
        <v>1000</v>
      </c>
      <c r="D85" s="11"/>
      <c r="E85" t="s">
        <v>248</v>
      </c>
      <c r="F85" s="116" t="s">
        <v>112</v>
      </c>
    </row>
    <row r="86" spans="1:6" x14ac:dyDescent="0.3">
      <c r="A86" s="43">
        <v>45953</v>
      </c>
      <c r="B86" t="s">
        <v>9</v>
      </c>
      <c r="C86" s="11"/>
      <c r="D86" s="11">
        <v>160934</v>
      </c>
      <c r="E86" t="s">
        <v>250</v>
      </c>
      <c r="F86" s="116" t="s">
        <v>111</v>
      </c>
    </row>
    <row r="87" spans="1:6" x14ac:dyDescent="0.3">
      <c r="A87" s="43">
        <v>45953</v>
      </c>
      <c r="B87" t="s">
        <v>9</v>
      </c>
      <c r="C87" s="11"/>
      <c r="D87" s="11">
        <v>176300</v>
      </c>
      <c r="E87" t="s">
        <v>259</v>
      </c>
      <c r="F87" s="116" t="s">
        <v>111</v>
      </c>
    </row>
    <row r="88" spans="1:6" x14ac:dyDescent="0.3">
      <c r="A88" s="43">
        <v>45953</v>
      </c>
      <c r="B88" t="s">
        <v>222</v>
      </c>
      <c r="C88" s="11">
        <v>25000</v>
      </c>
      <c r="D88" s="11"/>
      <c r="E88" t="s">
        <v>223</v>
      </c>
      <c r="F88" s="116" t="s">
        <v>112</v>
      </c>
    </row>
    <row r="89" spans="1:6" x14ac:dyDescent="0.3">
      <c r="A89" s="43">
        <v>45953</v>
      </c>
      <c r="B89" t="s">
        <v>191</v>
      </c>
      <c r="C89" s="11">
        <v>5000</v>
      </c>
      <c r="D89" s="11"/>
      <c r="E89" t="s">
        <v>260</v>
      </c>
      <c r="F89" s="116" t="s">
        <v>112</v>
      </c>
    </row>
    <row r="90" spans="1:6" x14ac:dyDescent="0.3">
      <c r="A90" s="43">
        <v>45953</v>
      </c>
      <c r="B90" t="s">
        <v>116</v>
      </c>
      <c r="C90" s="11">
        <v>18245</v>
      </c>
      <c r="D90" s="11"/>
      <c r="E90" t="s">
        <v>261</v>
      </c>
      <c r="F90" s="116" t="s">
        <v>111</v>
      </c>
    </row>
    <row r="91" spans="1:6" x14ac:dyDescent="0.3">
      <c r="A91" s="43">
        <v>45953</v>
      </c>
      <c r="B91" t="s">
        <v>55</v>
      </c>
      <c r="C91" s="11">
        <v>7450</v>
      </c>
      <c r="D91" s="11"/>
      <c r="E91" t="s">
        <v>262</v>
      </c>
      <c r="F91" s="116" t="s">
        <v>111</v>
      </c>
    </row>
    <row r="92" spans="1:6" x14ac:dyDescent="0.3">
      <c r="A92" s="43">
        <v>45953</v>
      </c>
      <c r="B92" t="s">
        <v>55</v>
      </c>
      <c r="C92" s="11">
        <v>2100</v>
      </c>
      <c r="D92" s="11"/>
      <c r="E92" t="s">
        <v>263</v>
      </c>
      <c r="F92" s="116" t="s">
        <v>111</v>
      </c>
    </row>
    <row r="93" spans="1:6" x14ac:dyDescent="0.3">
      <c r="A93" s="43">
        <v>45953</v>
      </c>
      <c r="B93" t="s">
        <v>97</v>
      </c>
      <c r="C93" s="11">
        <v>250000</v>
      </c>
      <c r="D93" s="11"/>
      <c r="E93" t="s">
        <v>264</v>
      </c>
      <c r="F93" s="116" t="s">
        <v>111</v>
      </c>
    </row>
    <row r="94" spans="1:6" x14ac:dyDescent="0.3">
      <c r="A94" s="43">
        <v>45953</v>
      </c>
      <c r="B94" t="s">
        <v>212</v>
      </c>
      <c r="C94" s="11">
        <v>3500</v>
      </c>
      <c r="D94" s="11"/>
      <c r="E94" t="s">
        <v>265</v>
      </c>
      <c r="F94" s="116" t="s">
        <v>112</v>
      </c>
    </row>
    <row r="95" spans="1:6" x14ac:dyDescent="0.3">
      <c r="A95" s="43">
        <v>45953</v>
      </c>
      <c r="B95" t="s">
        <v>209</v>
      </c>
      <c r="C95" s="11">
        <v>5000</v>
      </c>
      <c r="D95" s="11"/>
      <c r="E95" t="s">
        <v>266</v>
      </c>
      <c r="F95" s="116" t="s">
        <v>112</v>
      </c>
    </row>
    <row r="96" spans="1:6" x14ac:dyDescent="0.3">
      <c r="A96" s="43">
        <v>45953</v>
      </c>
      <c r="C96" s="11"/>
      <c r="D96" s="11"/>
      <c r="F96" s="116"/>
    </row>
    <row r="97" spans="1:6" x14ac:dyDescent="0.3">
      <c r="A97" s="43">
        <v>45953</v>
      </c>
      <c r="C97" s="11"/>
      <c r="D97" s="11"/>
      <c r="F97" s="116"/>
    </row>
    <row r="98" spans="1:6" x14ac:dyDescent="0.3">
      <c r="A98" s="43">
        <v>45953</v>
      </c>
      <c r="C98" s="11"/>
      <c r="D98" s="11"/>
      <c r="F98" s="116"/>
    </row>
    <row r="99" spans="1:6" x14ac:dyDescent="0.3">
      <c r="A99" s="43">
        <v>45953</v>
      </c>
      <c r="C99" s="11"/>
      <c r="D99" s="11"/>
      <c r="F99" s="116"/>
    </row>
    <row r="100" spans="1:6" x14ac:dyDescent="0.3">
      <c r="A100" s="43"/>
      <c r="C100" s="14">
        <f>SUBTOTAL(109,Table14[Debit])</f>
        <v>5226139</v>
      </c>
      <c r="D100" s="14">
        <f>SUBTOTAL(109,Table14[Credit])</f>
        <v>5288666</v>
      </c>
      <c r="F100" s="59">
        <f>(Table14[[#Totals],[Credit]]-Table14[[#Totals],[Debit]])</f>
        <v>62527</v>
      </c>
    </row>
    <row r="163" spans="10:12" x14ac:dyDescent="0.3">
      <c r="J163" s="3" t="s">
        <v>6</v>
      </c>
      <c r="K163" t="s">
        <v>121</v>
      </c>
      <c r="L163" t="s">
        <v>122</v>
      </c>
    </row>
    <row r="164" spans="10:12" x14ac:dyDescent="0.3">
      <c r="J164" s="4" t="s">
        <v>191</v>
      </c>
      <c r="K164" s="14"/>
      <c r="L164" s="14">
        <v>16000</v>
      </c>
    </row>
    <row r="165" spans="10:12" x14ac:dyDescent="0.3">
      <c r="J165" s="4" t="s">
        <v>9</v>
      </c>
      <c r="K165" s="14">
        <v>787234</v>
      </c>
      <c r="L165" s="14"/>
    </row>
    <row r="166" spans="10:12" x14ac:dyDescent="0.3">
      <c r="J166" s="4" t="s">
        <v>21</v>
      </c>
      <c r="K166" s="14">
        <v>3370088</v>
      </c>
      <c r="L166" s="14"/>
    </row>
    <row r="167" spans="10:12" x14ac:dyDescent="0.3">
      <c r="J167" s="4" t="s">
        <v>97</v>
      </c>
      <c r="K167" s="14"/>
      <c r="L167" s="14">
        <v>1385850</v>
      </c>
    </row>
    <row r="168" spans="10:12" x14ac:dyDescent="0.3">
      <c r="J168" s="4" t="s">
        <v>50</v>
      </c>
      <c r="K168" s="14"/>
      <c r="L168" s="14">
        <v>8890</v>
      </c>
    </row>
    <row r="169" spans="10:12" x14ac:dyDescent="0.3">
      <c r="J169" s="4" t="s">
        <v>55</v>
      </c>
      <c r="K169" s="14"/>
      <c r="L169" s="14">
        <v>103530</v>
      </c>
    </row>
    <row r="170" spans="10:12" x14ac:dyDescent="0.3">
      <c r="J170" s="4" t="s">
        <v>116</v>
      </c>
      <c r="K170" s="14"/>
      <c r="L170" s="14">
        <v>18245</v>
      </c>
    </row>
    <row r="171" spans="10:12" x14ac:dyDescent="0.3">
      <c r="J171" s="4" t="s">
        <v>52</v>
      </c>
      <c r="K171" s="14"/>
      <c r="L171" s="14">
        <v>30750</v>
      </c>
    </row>
    <row r="172" spans="10:12" x14ac:dyDescent="0.3">
      <c r="J172" s="4" t="s">
        <v>54</v>
      </c>
      <c r="K172" s="14"/>
      <c r="L172" s="14">
        <v>15241</v>
      </c>
    </row>
    <row r="173" spans="10:12" x14ac:dyDescent="0.3">
      <c r="J173" s="4" t="s">
        <v>212</v>
      </c>
      <c r="K173" s="14"/>
      <c r="L173" s="14">
        <v>142300</v>
      </c>
    </row>
    <row r="174" spans="10:12" x14ac:dyDescent="0.3">
      <c r="J174" s="4" t="s">
        <v>209</v>
      </c>
      <c r="K174" s="14">
        <v>3000</v>
      </c>
      <c r="L174" s="14">
        <v>5000</v>
      </c>
    </row>
    <row r="175" spans="10:12" x14ac:dyDescent="0.3">
      <c r="J175" s="4" t="s">
        <v>194</v>
      </c>
      <c r="K175" s="14">
        <v>4000</v>
      </c>
      <c r="L175" s="14">
        <v>2700</v>
      </c>
    </row>
    <row r="176" spans="10:12" x14ac:dyDescent="0.3">
      <c r="J176" s="4" t="s">
        <v>106</v>
      </c>
      <c r="K176" s="14"/>
      <c r="L176" s="14"/>
    </row>
    <row r="177" spans="10:12" x14ac:dyDescent="0.3">
      <c r="J177" s="4" t="s">
        <v>201</v>
      </c>
      <c r="K177" s="14">
        <v>652170</v>
      </c>
      <c r="L177" s="14"/>
    </row>
    <row r="178" spans="10:12" x14ac:dyDescent="0.3">
      <c r="J178" s="4" t="s">
        <v>118</v>
      </c>
      <c r="K178" s="14"/>
      <c r="L178" s="14">
        <v>300000</v>
      </c>
    </row>
    <row r="179" spans="10:12" x14ac:dyDescent="0.3">
      <c r="J179" s="4" t="s">
        <v>64</v>
      </c>
      <c r="K179" s="14"/>
      <c r="L179" s="14">
        <v>12000</v>
      </c>
    </row>
    <row r="180" spans="10:12" x14ac:dyDescent="0.3">
      <c r="J180" s="4" t="s">
        <v>174</v>
      </c>
      <c r="K180" s="14"/>
      <c r="L180" s="14">
        <v>457150</v>
      </c>
    </row>
    <row r="181" spans="10:12" x14ac:dyDescent="0.3">
      <c r="J181" s="4" t="s">
        <v>182</v>
      </c>
      <c r="K181" s="14"/>
      <c r="L181" s="14">
        <v>1000</v>
      </c>
    </row>
    <row r="182" spans="10:12" x14ac:dyDescent="0.3">
      <c r="J182" s="4" t="s">
        <v>187</v>
      </c>
      <c r="K182" s="14">
        <v>1778</v>
      </c>
      <c r="L182" s="14"/>
    </row>
    <row r="183" spans="10:12" x14ac:dyDescent="0.3">
      <c r="J183" s="4" t="s">
        <v>198</v>
      </c>
      <c r="K183" s="14">
        <v>415571</v>
      </c>
      <c r="L183" s="14"/>
    </row>
    <row r="184" spans="10:12" x14ac:dyDescent="0.3">
      <c r="J184" s="4" t="s">
        <v>206</v>
      </c>
      <c r="K184" s="14"/>
      <c r="L184" s="14">
        <v>162250</v>
      </c>
    </row>
    <row r="185" spans="10:12" x14ac:dyDescent="0.3">
      <c r="J185" s="4" t="s">
        <v>214</v>
      </c>
      <c r="K185" s="14">
        <v>54825</v>
      </c>
      <c r="L185" s="14">
        <v>35195</v>
      </c>
    </row>
    <row r="186" spans="10:12" x14ac:dyDescent="0.3">
      <c r="J186" s="4" t="s">
        <v>222</v>
      </c>
      <c r="K186" s="14"/>
      <c r="L186" s="14">
        <v>27000</v>
      </c>
    </row>
    <row r="187" spans="10:12" x14ac:dyDescent="0.3">
      <c r="J187" s="4" t="s">
        <v>244</v>
      </c>
      <c r="K187" s="14"/>
      <c r="L187" s="14">
        <v>2503038</v>
      </c>
    </row>
    <row r="188" spans="10:12" x14ac:dyDescent="0.3">
      <c r="J188" s="4" t="s">
        <v>28</v>
      </c>
      <c r="K188" s="14">
        <v>5288666</v>
      </c>
      <c r="L188" s="14">
        <v>5226139</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56"/>
  <sheetViews>
    <sheetView zoomScale="93" zoomScaleNormal="210" workbookViewId="0">
      <selection activeCell="A6" sqref="A6"/>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75</v>
      </c>
      <c r="B1" s="2" t="s">
        <v>123</v>
      </c>
      <c r="C1" s="2" t="s">
        <v>124</v>
      </c>
      <c r="D1" s="8" t="s">
        <v>4</v>
      </c>
      <c r="E1" s="8" t="s">
        <v>125</v>
      </c>
      <c r="F1" s="8" t="s">
        <v>113</v>
      </c>
      <c r="G1" s="8" t="s">
        <v>95</v>
      </c>
      <c r="H1" s="8" t="s">
        <v>18</v>
      </c>
      <c r="I1" s="8" t="s">
        <v>126</v>
      </c>
    </row>
    <row r="2" spans="1:14" x14ac:dyDescent="0.3">
      <c r="A2" s="90">
        <v>45947</v>
      </c>
      <c r="B2" s="87" t="s">
        <v>64</v>
      </c>
      <c r="C2" s="87"/>
      <c r="D2" s="87"/>
      <c r="E2" s="87"/>
      <c r="F2" s="118" t="s">
        <v>118</v>
      </c>
      <c r="G2" s="87">
        <f>SUMIFS(Table14[Debit], Table14[Date], Table8[[#This Row],[Date]], Table14[Party], Table8[[#This Row],[Party]])</f>
        <v>0</v>
      </c>
      <c r="H2" s="87">
        <v>640125</v>
      </c>
      <c r="I2" s="87" t="s">
        <v>188</v>
      </c>
      <c r="K2" t="s">
        <v>75</v>
      </c>
      <c r="L2" t="s">
        <v>45</v>
      </c>
      <c r="M2" t="s">
        <v>36</v>
      </c>
      <c r="N2" t="s">
        <v>5</v>
      </c>
    </row>
    <row r="3" spans="1:14" x14ac:dyDescent="0.3">
      <c r="A3" s="105">
        <v>45947</v>
      </c>
      <c r="B3" s="86" t="s">
        <v>64</v>
      </c>
      <c r="C3" s="86"/>
      <c r="D3" s="86"/>
      <c r="E3" s="86"/>
      <c r="F3" s="86" t="s">
        <v>206</v>
      </c>
      <c r="G3" s="86">
        <f>SUMIFS(Table14[Debit], Table14[Date], Table8[[#This Row],[Date]], Table14[Party], Table8[[#This Row],[Party]])</f>
        <v>0</v>
      </c>
      <c r="H3" s="86">
        <v>0</v>
      </c>
      <c r="I3" s="86"/>
      <c r="K3" s="1"/>
      <c r="L3" t="s">
        <v>127</v>
      </c>
      <c r="N3" s="11">
        <f t="shared" ref="N3" si="0">47000+28750</f>
        <v>75750</v>
      </c>
    </row>
    <row r="4" spans="1:14" x14ac:dyDescent="0.3">
      <c r="A4" s="1">
        <v>45948</v>
      </c>
      <c r="B4" t="s">
        <v>64</v>
      </c>
      <c r="F4" t="s">
        <v>118</v>
      </c>
      <c r="G4">
        <f>SUMIFS(Table14[Debit], Table14[Date], Table8[[#This Row],[Date]], Table14[Party], Table8[[#This Row],[Party]])</f>
        <v>300000</v>
      </c>
      <c r="H4">
        <f>Table8[[#This Row],[Price]]-Table8[[#This Row],[Paid]]</f>
        <v>-300000</v>
      </c>
      <c r="K4" s="1"/>
      <c r="N4" s="11"/>
    </row>
    <row r="5" spans="1:14" x14ac:dyDescent="0.3">
      <c r="A5" s="1">
        <v>45948</v>
      </c>
      <c r="B5" t="s">
        <v>207</v>
      </c>
      <c r="F5" t="s">
        <v>206</v>
      </c>
      <c r="G5">
        <f>SUMIFS(Table14[Debit], Table14[Date], Table8[[#This Row],[Date]], Table14[Party], Table8[[#This Row],[Party]])</f>
        <v>162250</v>
      </c>
      <c r="H5">
        <f>Table8[[#This Row],[Price]]-Table8[[#This Row],[Paid]]</f>
        <v>-162250</v>
      </c>
      <c r="K5" s="1"/>
      <c r="N5" s="14">
        <f>SUM(Table7[Total])</f>
        <v>75750</v>
      </c>
    </row>
    <row r="6" spans="1:14" x14ac:dyDescent="0.3">
      <c r="G6">
        <f>SUMIFS(Table14[Debit], Table14[Date], Table8[[#This Row],[Date]], Table14[Party], Table8[[#This Row],[Party]])</f>
        <v>0</v>
      </c>
      <c r="H6">
        <f>Table8[[#This Row],[Price]]-Table8[[#This Row],[Paid]]</f>
        <v>0</v>
      </c>
    </row>
    <row r="7" spans="1:14" x14ac:dyDescent="0.3">
      <c r="G7">
        <f>SUMIFS(Table14[Debit], Table14[Date], Table8[[#This Row],[Date]], Table14[Party], Table8[[#This Row],[Party]])</f>
        <v>0</v>
      </c>
      <c r="H7">
        <f>Table8[[#This Row],[Price]]-Table8[[#This Row],[Paid]]</f>
        <v>0</v>
      </c>
      <c r="K7" s="3" t="s">
        <v>113</v>
      </c>
      <c r="L7" t="s">
        <v>88</v>
      </c>
    </row>
    <row r="8" spans="1:14" x14ac:dyDescent="0.3">
      <c r="E8">
        <f>SUBTOTAL(109,Table8[Price])</f>
        <v>0</v>
      </c>
      <c r="H8">
        <f>SUBTOTAL(109,Table8[Balance])</f>
        <v>177875</v>
      </c>
    </row>
    <row r="9" spans="1:14" x14ac:dyDescent="0.3">
      <c r="K9" s="3" t="s">
        <v>6</v>
      </c>
      <c r="L9" t="s">
        <v>130</v>
      </c>
      <c r="M9" t="s">
        <v>131</v>
      </c>
    </row>
    <row r="10" spans="1:14" x14ac:dyDescent="0.3">
      <c r="K10" s="27">
        <v>45947</v>
      </c>
      <c r="L10" s="125"/>
      <c r="M10" s="125">
        <v>640125</v>
      </c>
    </row>
    <row r="11" spans="1:14" x14ac:dyDescent="0.3">
      <c r="K11" s="27">
        <v>45948</v>
      </c>
      <c r="L11" s="125"/>
      <c r="M11" s="125">
        <v>-462250</v>
      </c>
    </row>
    <row r="12" spans="1:14" x14ac:dyDescent="0.3">
      <c r="K12" s="4" t="s">
        <v>106</v>
      </c>
      <c r="L12" s="125"/>
      <c r="M12" s="125">
        <v>0</v>
      </c>
    </row>
    <row r="13" spans="1:14" x14ac:dyDescent="0.3">
      <c r="A13" t="s">
        <v>57</v>
      </c>
      <c r="B13" t="s">
        <v>159</v>
      </c>
      <c r="C13" t="s">
        <v>160</v>
      </c>
      <c r="D13" t="s">
        <v>4</v>
      </c>
      <c r="E13" t="s">
        <v>161</v>
      </c>
      <c r="K13" s="4" t="s">
        <v>28</v>
      </c>
      <c r="L13" s="125"/>
      <c r="M13" s="125">
        <v>177875</v>
      </c>
    </row>
    <row r="14" spans="1:14" x14ac:dyDescent="0.3">
      <c r="A14" t="s">
        <v>134</v>
      </c>
      <c r="D14">
        <v>1400</v>
      </c>
      <c r="E14">
        <f>Table2325[[#This Row],[boxes]]*Table2325[[#This Row],[kgs]]*Table2325[[#This Row],[Rate]]</f>
        <v>0</v>
      </c>
    </row>
    <row r="15" spans="1:14" x14ac:dyDescent="0.3">
      <c r="A15" t="s">
        <v>132</v>
      </c>
      <c r="D15">
        <v>1340</v>
      </c>
      <c r="E15">
        <f>Table2325[[#This Row],[boxes]]*Table2325[[#This Row],[kgs]]*Table2325[[#This Row],[Rate]]</f>
        <v>0</v>
      </c>
    </row>
    <row r="16" spans="1:14" x14ac:dyDescent="0.3">
      <c r="A16" t="s">
        <v>150</v>
      </c>
      <c r="B16">
        <v>1</v>
      </c>
      <c r="C16">
        <v>25</v>
      </c>
      <c r="D16">
        <v>1140</v>
      </c>
      <c r="E16">
        <f>Table2325[[#This Row],[boxes]]*Table2325[[#This Row],[kgs]]*Table2325[[#This Row],[Rate]]</f>
        <v>28500</v>
      </c>
    </row>
    <row r="17" spans="1:12" x14ac:dyDescent="0.3">
      <c r="A17" t="s">
        <v>129</v>
      </c>
      <c r="D17">
        <v>1140</v>
      </c>
      <c r="E17">
        <f>Table2325[[#This Row],[boxes]]*Table2325[[#This Row],[kgs]]*Table2325[[#This Row],[Rate]]</f>
        <v>0</v>
      </c>
    </row>
    <row r="18" spans="1:12" x14ac:dyDescent="0.3">
      <c r="A18" t="s">
        <v>128</v>
      </c>
      <c r="D18">
        <v>1130</v>
      </c>
      <c r="E18">
        <f>Table2325[[#This Row],[boxes]]*Table2325[[#This Row],[kgs]]*Table2325[[#This Row],[Rate]]</f>
        <v>0</v>
      </c>
    </row>
    <row r="19" spans="1:12" x14ac:dyDescent="0.3">
      <c r="A19" t="s">
        <v>149</v>
      </c>
      <c r="B19">
        <v>1</v>
      </c>
      <c r="C19">
        <v>25</v>
      </c>
      <c r="D19">
        <v>1300</v>
      </c>
      <c r="E19">
        <f>Table2325[[#This Row],[boxes]]*Table2325[[#This Row],[kgs]]*Table2325[[#This Row],[Rate]]</f>
        <v>32500</v>
      </c>
    </row>
    <row r="20" spans="1:12" x14ac:dyDescent="0.3">
      <c r="A20" t="s">
        <v>135</v>
      </c>
      <c r="D20">
        <v>1450</v>
      </c>
      <c r="E20">
        <f>Table2325[[#This Row],[boxes]]*Table2325[[#This Row],[kgs]]*Table2325[[#This Row],[Rate]]</f>
        <v>0</v>
      </c>
    </row>
    <row r="21" spans="1:12" x14ac:dyDescent="0.3">
      <c r="A21" t="s">
        <v>162</v>
      </c>
      <c r="D21">
        <v>940</v>
      </c>
      <c r="E21">
        <f>Table2325[[#This Row],[boxes]]*Table2325[[#This Row],[kgs]]*Table2325[[#This Row],[Rate]]</f>
        <v>0</v>
      </c>
    </row>
    <row r="22" spans="1:12" x14ac:dyDescent="0.3">
      <c r="A22" t="s">
        <v>128</v>
      </c>
      <c r="D22">
        <v>1130</v>
      </c>
      <c r="E22">
        <f>Table2325[[#This Row],[boxes]]*Table2325[[#This Row],[kgs]]*Table2325[[#This Row],[Rate]]</f>
        <v>0</v>
      </c>
    </row>
    <row r="23" spans="1:12" x14ac:dyDescent="0.3">
      <c r="A23" t="s">
        <v>149</v>
      </c>
      <c r="D23">
        <v>1300</v>
      </c>
      <c r="E23">
        <f>Table2325[[#This Row],[boxes]]*Table2325[[#This Row],[kgs]]*Table2325[[#This Row],[Rate]]</f>
        <v>0</v>
      </c>
    </row>
    <row r="24" spans="1:12" x14ac:dyDescent="0.3">
      <c r="A24" t="s">
        <v>136</v>
      </c>
      <c r="B24">
        <v>1</v>
      </c>
      <c r="C24">
        <v>25</v>
      </c>
      <c r="D24">
        <v>1650</v>
      </c>
      <c r="E24">
        <f>Table2325[[#This Row],[boxes]]*Table2325[[#This Row],[kgs]]*Table2325[[#This Row],[Rate]]</f>
        <v>41250</v>
      </c>
    </row>
    <row r="25" spans="1:12" x14ac:dyDescent="0.3">
      <c r="A25" t="s">
        <v>132</v>
      </c>
      <c r="D25">
        <v>1340</v>
      </c>
      <c r="E25">
        <f>Table2325[[#This Row],[boxes]]*Table2325[[#This Row],[kgs]]*Table2325[[#This Row],[Rate]]</f>
        <v>0</v>
      </c>
    </row>
    <row r="26" spans="1:12" x14ac:dyDescent="0.3">
      <c r="A26" t="s">
        <v>135</v>
      </c>
      <c r="B26">
        <v>1</v>
      </c>
      <c r="C26">
        <v>25</v>
      </c>
      <c r="D26">
        <v>1450</v>
      </c>
      <c r="E26">
        <f>Table2325[[#This Row],[boxes]]*Table2325[[#This Row],[kgs]]*Table2325[[#This Row],[Rate]]</f>
        <v>36250</v>
      </c>
    </row>
    <row r="27" spans="1:12" x14ac:dyDescent="0.3">
      <c r="A27" t="s">
        <v>134</v>
      </c>
      <c r="D27">
        <v>1400</v>
      </c>
      <c r="E27">
        <f>Table2325[[#This Row],[boxes]]*Table2325[[#This Row],[kgs]]*Table2325[[#This Row],[Rate]]</f>
        <v>0</v>
      </c>
    </row>
    <row r="28" spans="1:12" x14ac:dyDescent="0.3">
      <c r="A28" t="s">
        <v>163</v>
      </c>
      <c r="D28">
        <v>1000</v>
      </c>
      <c r="E28">
        <f>Table2325[[#This Row],[boxes]]*Table2325[[#This Row],[kgs]]*Table2325[[#This Row],[Rate]]</f>
        <v>0</v>
      </c>
    </row>
    <row r="29" spans="1:12" x14ac:dyDescent="0.3">
      <c r="A29" t="s">
        <v>133</v>
      </c>
      <c r="B29">
        <v>1</v>
      </c>
      <c r="C29">
        <v>25</v>
      </c>
      <c r="D29">
        <v>1650</v>
      </c>
      <c r="E29">
        <f>Table2325[[#This Row],[boxes]]*Table2325[[#This Row],[kgs]]*Table2325[[#This Row],[Rate]]</f>
        <v>41250</v>
      </c>
    </row>
    <row r="30" spans="1:12" x14ac:dyDescent="0.3">
      <c r="A30" t="s">
        <v>117</v>
      </c>
      <c r="D30">
        <v>1130</v>
      </c>
      <c r="E30">
        <f>Table2325[[#This Row],[boxes]]*Table2325[[#This Row],[kgs]]*Table2325[[#This Row],[Rate]]</f>
        <v>0</v>
      </c>
    </row>
    <row r="31" spans="1:12" x14ac:dyDescent="0.3">
      <c r="A31" t="s">
        <v>156</v>
      </c>
      <c r="D31">
        <v>3100</v>
      </c>
      <c r="E31">
        <f>Table2325[[#This Row],[boxes]]*Table2325[[#This Row],[kgs]]*Table2325[[#This Row],[Rate]]</f>
        <v>0</v>
      </c>
    </row>
    <row r="32" spans="1:12" x14ac:dyDescent="0.3">
      <c r="A32" t="s">
        <v>129</v>
      </c>
      <c r="D32">
        <v>1140</v>
      </c>
      <c r="E32">
        <f>Table2325[[#This Row],[boxes]]*Table2325[[#This Row],[kgs]]*Table2325[[#This Row],[Rate]]</f>
        <v>0</v>
      </c>
      <c r="L32" t="s">
        <v>166</v>
      </c>
    </row>
    <row r="33" spans="1:16" x14ac:dyDescent="0.3">
      <c r="A33" t="s">
        <v>150</v>
      </c>
      <c r="D33">
        <v>1140</v>
      </c>
      <c r="E33">
        <f>Table2325[[#This Row],[boxes]]*Table2325[[#This Row],[kgs]]*Table2325[[#This Row],[Rate]]</f>
        <v>0</v>
      </c>
      <c r="L33" t="s">
        <v>57</v>
      </c>
      <c r="M33" t="s">
        <v>159</v>
      </c>
      <c r="N33" t="s">
        <v>160</v>
      </c>
      <c r="O33" t="s">
        <v>4</v>
      </c>
      <c r="P33" t="s">
        <v>161</v>
      </c>
    </row>
    <row r="34" spans="1:16" x14ac:dyDescent="0.3">
      <c r="A34" t="s">
        <v>164</v>
      </c>
      <c r="D34">
        <v>1000</v>
      </c>
      <c r="E34">
        <f>Table2325[[#This Row],[boxes]]*Table2325[[#This Row],[kgs]]*Table2325[[#This Row],[Rate]]</f>
        <v>0</v>
      </c>
      <c r="L34" t="s">
        <v>134</v>
      </c>
      <c r="M34">
        <v>1</v>
      </c>
      <c r="N34">
        <v>25</v>
      </c>
      <c r="O34">
        <v>1400</v>
      </c>
      <c r="P34">
        <v>35000</v>
      </c>
    </row>
    <row r="35" spans="1:16" x14ac:dyDescent="0.3">
      <c r="A35" t="s">
        <v>165</v>
      </c>
      <c r="D35">
        <v>1000</v>
      </c>
      <c r="E35">
        <f>Table2325[[#This Row],[boxes]]*Table2325[[#This Row],[kgs]]*Table2325[[#This Row],[Rate]]</f>
        <v>0</v>
      </c>
      <c r="L35" t="s">
        <v>132</v>
      </c>
      <c r="M35">
        <v>1</v>
      </c>
      <c r="N35">
        <v>25</v>
      </c>
      <c r="O35">
        <v>1340</v>
      </c>
      <c r="P35">
        <v>33500</v>
      </c>
    </row>
    <row r="36" spans="1:16" x14ac:dyDescent="0.3">
      <c r="L36" t="s">
        <v>150</v>
      </c>
      <c r="M36">
        <v>2</v>
      </c>
      <c r="N36">
        <v>50</v>
      </c>
      <c r="O36">
        <v>1140</v>
      </c>
      <c r="P36">
        <v>57000</v>
      </c>
    </row>
    <row r="37" spans="1:16" x14ac:dyDescent="0.3">
      <c r="E37">
        <f>SUM(Table2325[total])</f>
        <v>179750</v>
      </c>
      <c r="L37" t="s">
        <v>129</v>
      </c>
      <c r="M37">
        <v>1</v>
      </c>
      <c r="N37">
        <v>25</v>
      </c>
      <c r="O37">
        <v>1140</v>
      </c>
      <c r="P37">
        <v>28500</v>
      </c>
    </row>
    <row r="38" spans="1:16" x14ac:dyDescent="0.3">
      <c r="L38" t="s">
        <v>128</v>
      </c>
      <c r="M38">
        <v>2</v>
      </c>
      <c r="N38">
        <v>50</v>
      </c>
      <c r="O38">
        <v>1130</v>
      </c>
      <c r="P38">
        <v>56500</v>
      </c>
    </row>
    <row r="39" spans="1:16" x14ac:dyDescent="0.3">
      <c r="L39" t="s">
        <v>149</v>
      </c>
      <c r="M39">
        <v>1</v>
      </c>
      <c r="N39">
        <v>25</v>
      </c>
      <c r="O39">
        <v>1300</v>
      </c>
      <c r="P39">
        <v>32500</v>
      </c>
    </row>
    <row r="40" spans="1:16" x14ac:dyDescent="0.3">
      <c r="L40" t="s">
        <v>135</v>
      </c>
      <c r="M40">
        <v>1</v>
      </c>
      <c r="N40">
        <v>25</v>
      </c>
      <c r="O40">
        <v>1450</v>
      </c>
      <c r="P40">
        <v>36250</v>
      </c>
    </row>
    <row r="41" spans="1:16" x14ac:dyDescent="0.3">
      <c r="L41" t="s">
        <v>162</v>
      </c>
      <c r="N41">
        <v>6</v>
      </c>
      <c r="O41">
        <v>940</v>
      </c>
      <c r="P41">
        <v>5640</v>
      </c>
    </row>
    <row r="42" spans="1:16" x14ac:dyDescent="0.3">
      <c r="L42" t="s">
        <v>128</v>
      </c>
      <c r="N42">
        <v>8</v>
      </c>
      <c r="O42">
        <v>1130</v>
      </c>
      <c r="P42">
        <v>9040</v>
      </c>
    </row>
    <row r="43" spans="1:16" x14ac:dyDescent="0.3">
      <c r="L43" t="s">
        <v>149</v>
      </c>
      <c r="N43">
        <v>10</v>
      </c>
      <c r="O43">
        <v>1300</v>
      </c>
      <c r="P43">
        <v>13000</v>
      </c>
    </row>
    <row r="44" spans="1:16" x14ac:dyDescent="0.3">
      <c r="L44" t="s">
        <v>136</v>
      </c>
      <c r="N44">
        <v>9</v>
      </c>
      <c r="O44">
        <v>1650</v>
      </c>
      <c r="P44">
        <v>14850</v>
      </c>
    </row>
    <row r="45" spans="1:16" x14ac:dyDescent="0.3">
      <c r="L45" t="s">
        <v>132</v>
      </c>
      <c r="N45">
        <v>5</v>
      </c>
      <c r="O45">
        <v>1340</v>
      </c>
      <c r="P45">
        <v>6700</v>
      </c>
    </row>
    <row r="46" spans="1:16" x14ac:dyDescent="0.3">
      <c r="L46" t="s">
        <v>135</v>
      </c>
      <c r="N46">
        <v>20</v>
      </c>
      <c r="O46">
        <v>1450</v>
      </c>
      <c r="P46">
        <v>29000</v>
      </c>
    </row>
    <row r="47" spans="1:16" x14ac:dyDescent="0.3">
      <c r="L47" t="s">
        <v>134</v>
      </c>
      <c r="N47">
        <v>8</v>
      </c>
      <c r="O47">
        <v>1400</v>
      </c>
      <c r="P47">
        <v>11200</v>
      </c>
    </row>
    <row r="48" spans="1:16" x14ac:dyDescent="0.3">
      <c r="L48" t="s">
        <v>163</v>
      </c>
      <c r="N48">
        <v>2</v>
      </c>
      <c r="O48">
        <v>1000</v>
      </c>
      <c r="P48">
        <v>2000</v>
      </c>
    </row>
    <row r="49" spans="12:16" x14ac:dyDescent="0.3">
      <c r="L49" t="s">
        <v>133</v>
      </c>
      <c r="N49">
        <v>20</v>
      </c>
      <c r="O49">
        <v>1650</v>
      </c>
      <c r="P49">
        <v>33000</v>
      </c>
    </row>
    <row r="50" spans="12:16" x14ac:dyDescent="0.3">
      <c r="L50" t="s">
        <v>117</v>
      </c>
      <c r="N50">
        <v>15</v>
      </c>
      <c r="O50">
        <v>1130</v>
      </c>
      <c r="P50">
        <v>16950</v>
      </c>
    </row>
    <row r="51" spans="12:16" x14ac:dyDescent="0.3">
      <c r="L51" t="s">
        <v>156</v>
      </c>
      <c r="N51">
        <v>25</v>
      </c>
      <c r="O51">
        <v>3100</v>
      </c>
      <c r="P51">
        <v>77500</v>
      </c>
    </row>
    <row r="52" spans="12:16" x14ac:dyDescent="0.3">
      <c r="L52" t="s">
        <v>129</v>
      </c>
      <c r="N52">
        <v>10</v>
      </c>
      <c r="O52">
        <v>1140</v>
      </c>
      <c r="P52">
        <v>11400</v>
      </c>
    </row>
    <row r="53" spans="12:16" x14ac:dyDescent="0.3">
      <c r="L53" t="s">
        <v>150</v>
      </c>
      <c r="N53">
        <v>5</v>
      </c>
      <c r="O53">
        <v>1140</v>
      </c>
      <c r="P53">
        <v>5700</v>
      </c>
    </row>
    <row r="54" spans="12:16" x14ac:dyDescent="0.3">
      <c r="L54" t="s">
        <v>164</v>
      </c>
      <c r="N54">
        <v>9</v>
      </c>
      <c r="O54">
        <v>1000</v>
      </c>
      <c r="P54">
        <v>9000</v>
      </c>
    </row>
    <row r="55" spans="12:16" x14ac:dyDescent="0.3">
      <c r="L55" t="s">
        <v>165</v>
      </c>
      <c r="N55">
        <v>10</v>
      </c>
      <c r="O55">
        <v>1000</v>
      </c>
      <c r="P55">
        <v>10000</v>
      </c>
    </row>
    <row r="56" spans="12:16" x14ac:dyDescent="0.3">
      <c r="P56">
        <v>534230</v>
      </c>
    </row>
  </sheetData>
  <pageMargins left="0.7" right="0.7" top="0.75" bottom="0.75" header="0.3" footer="0.3"/>
  <tableParts count="4">
    <tablePart r:id="rId2"/>
    <tablePart r:id="rId3"/>
    <tablePart r:id="rId4"/>
    <tablePart r:id="rId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30"/>
  <sheetViews>
    <sheetView workbookViewId="0">
      <selection activeCell="G20" sqref="G20"/>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75</v>
      </c>
      <c r="B4" s="8" t="s">
        <v>2</v>
      </c>
      <c r="C4" s="2" t="s">
        <v>137</v>
      </c>
      <c r="D4" s="2" t="s">
        <v>124</v>
      </c>
      <c r="E4" s="8" t="s">
        <v>138</v>
      </c>
      <c r="F4" s="8" t="s">
        <v>125</v>
      </c>
      <c r="G4" s="8" t="s">
        <v>95</v>
      </c>
      <c r="H4" s="8" t="s">
        <v>18</v>
      </c>
      <c r="J4" s="3" t="s">
        <v>6</v>
      </c>
      <c r="K4" t="s">
        <v>130</v>
      </c>
      <c r="L4" t="s">
        <v>104</v>
      </c>
      <c r="M4" t="s">
        <v>131</v>
      </c>
    </row>
    <row r="5" spans="1:13" x14ac:dyDescent="0.3">
      <c r="A5" s="90">
        <v>45947</v>
      </c>
      <c r="B5" s="90" t="s">
        <v>120</v>
      </c>
      <c r="C5" s="87" t="s">
        <v>184</v>
      </c>
      <c r="D5" s="87"/>
      <c r="E5" s="87"/>
      <c r="F5" s="87">
        <f>Table2[[#This Row],[Quantity]]*200*Table2[[#This Row],[Boxes]]</f>
        <v>0</v>
      </c>
      <c r="G5" s="87">
        <f>SUMIFS(Table14[Debit], Table14[Date], Table2[[#This Row],[Date]], Table14[Party], Table2[[#This Row],[Party Name]],Table14[Description],Table2[[#This Row],[Item]])</f>
        <v>0</v>
      </c>
      <c r="H5" s="87">
        <v>353250</v>
      </c>
      <c r="J5" s="4" t="s">
        <v>106</v>
      </c>
      <c r="K5" s="125">
        <v>0</v>
      </c>
      <c r="L5" s="125">
        <v>0</v>
      </c>
      <c r="M5" s="125">
        <v>0</v>
      </c>
    </row>
    <row r="6" spans="1:13" x14ac:dyDescent="0.3">
      <c r="A6" s="90">
        <v>45947</v>
      </c>
      <c r="B6" s="90" t="s">
        <v>119</v>
      </c>
      <c r="C6" s="87" t="s">
        <v>184</v>
      </c>
      <c r="D6" s="87"/>
      <c r="E6" s="87"/>
      <c r="F6" s="87">
        <f>Table2[[#This Row],[Quantity]]*200*Table2[[#This Row],[Boxes]]</f>
        <v>0</v>
      </c>
      <c r="G6" s="87">
        <f>SUMIFS(Table14[Debit], Table14[Date], Table2[[#This Row],[Date]], Table14[Party], Table2[[#This Row],[Party Name]],Table14[Description],Table2[[#This Row],[Item]])</f>
        <v>0</v>
      </c>
      <c r="H6" s="87">
        <v>-5000</v>
      </c>
      <c r="J6" s="4" t="s">
        <v>119</v>
      </c>
      <c r="K6" s="125">
        <v>128000</v>
      </c>
      <c r="L6" s="125">
        <v>0</v>
      </c>
      <c r="M6" s="125">
        <v>123000</v>
      </c>
    </row>
    <row r="7" spans="1:13" x14ac:dyDescent="0.3">
      <c r="A7" s="90">
        <v>45947</v>
      </c>
      <c r="B7" s="90" t="s">
        <v>168</v>
      </c>
      <c r="C7" s="87" t="s">
        <v>184</v>
      </c>
      <c r="F7">
        <v>0</v>
      </c>
      <c r="G7">
        <v>0</v>
      </c>
      <c r="H7" s="86">
        <v>0</v>
      </c>
      <c r="J7" s="4" t="s">
        <v>120</v>
      </c>
      <c r="K7" s="125">
        <v>0</v>
      </c>
      <c r="L7" s="125">
        <v>0</v>
      </c>
      <c r="M7" s="125">
        <v>353250</v>
      </c>
    </row>
    <row r="8" spans="1:13" x14ac:dyDescent="0.3">
      <c r="A8" s="1">
        <v>45945</v>
      </c>
      <c r="B8" s="1" t="s">
        <v>119</v>
      </c>
      <c r="C8" t="s">
        <v>169</v>
      </c>
      <c r="D8">
        <v>4</v>
      </c>
      <c r="E8">
        <v>160</v>
      </c>
      <c r="F8">
        <f>Table2[[#This Row],[Quantity]]*200*Table2[[#This Row],[Boxes]]</f>
        <v>128000</v>
      </c>
      <c r="G8">
        <f>SUMIFS(Table14[Debit], Table14[Date], Table2[[#This Row],[Date]], Table14[Party], Table2[[#This Row],[Party Name]],Table14[Description],Table2[[#This Row],[Item]])</f>
        <v>0</v>
      </c>
      <c r="H8">
        <f>Table2[[#This Row],[Price]]-Table2[[#This Row],[Paid]]</f>
        <v>128000</v>
      </c>
      <c r="J8" s="4" t="s">
        <v>168</v>
      </c>
      <c r="K8" s="125">
        <v>0</v>
      </c>
      <c r="L8" s="125">
        <v>0</v>
      </c>
      <c r="M8" s="125">
        <v>0</v>
      </c>
    </row>
    <row r="9" spans="1:13" x14ac:dyDescent="0.3">
      <c r="A9" s="1"/>
      <c r="B9" s="1"/>
      <c r="F9">
        <f>Table2[[#This Row],[Quantity]]*200*Table2[[#This Row],[Boxes]]</f>
        <v>0</v>
      </c>
      <c r="G9">
        <f>SUMIFS(Table14[Debit], Table14[Date], Table2[[#This Row],[Date]], Table14[Party], Table2[[#This Row],[Party Name]],Table14[Description],Table2[[#This Row],[Item]])</f>
        <v>0</v>
      </c>
      <c r="H9">
        <f>Table2[[#This Row],[Price]]-Table2[[#This Row],[Paid]]</f>
        <v>0</v>
      </c>
      <c r="J9" s="4" t="s">
        <v>28</v>
      </c>
      <c r="K9" s="125">
        <v>128000</v>
      </c>
      <c r="L9" s="125">
        <v>0</v>
      </c>
      <c r="M9" s="125">
        <v>476250</v>
      </c>
    </row>
    <row r="10" spans="1:13" x14ac:dyDescent="0.3">
      <c r="A10" s="1"/>
      <c r="F10">
        <f>SUBTOTAL(109,Table2[Price])</f>
        <v>128000</v>
      </c>
      <c r="G10">
        <f>SUBTOTAL(109,Table2[Paid])</f>
        <v>0</v>
      </c>
      <c r="H10">
        <f>SUBTOTAL(109,Table2[Balance])</f>
        <v>476250</v>
      </c>
    </row>
    <row r="24" spans="1:2" x14ac:dyDescent="0.3">
      <c r="A24" t="s">
        <v>57</v>
      </c>
      <c r="B24" t="s">
        <v>185</v>
      </c>
    </row>
    <row r="25" spans="1:2" x14ac:dyDescent="0.3">
      <c r="A25" t="s">
        <v>61</v>
      </c>
      <c r="B25">
        <f>7750*16</f>
        <v>124000</v>
      </c>
    </row>
    <row r="26" spans="1:2" x14ac:dyDescent="0.3">
      <c r="A26" t="s">
        <v>61</v>
      </c>
      <c r="B26">
        <f>353250</f>
        <v>353250</v>
      </c>
    </row>
    <row r="27" spans="1:2" x14ac:dyDescent="0.3">
      <c r="A27" t="s">
        <v>167</v>
      </c>
      <c r="B27">
        <f>(82000/3)*2</f>
        <v>54666.666666666664</v>
      </c>
    </row>
    <row r="30" spans="1:2" x14ac:dyDescent="0.3">
      <c r="A30" t="s">
        <v>161</v>
      </c>
      <c r="B30">
        <f>SUM(B25:B27)</f>
        <v>531916.66666666663</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B4" sqref="B4"/>
    </sheetView>
  </sheetViews>
  <sheetFormatPr defaultRowHeight="14.4" x14ac:dyDescent="0.3"/>
  <cols>
    <col min="3" max="3" width="12.33203125" customWidth="1"/>
    <col min="5" max="5" width="11.44140625" bestFit="1" customWidth="1"/>
  </cols>
  <sheetData>
    <row r="2" spans="2:5" x14ac:dyDescent="0.3">
      <c r="B2" t="s">
        <v>75</v>
      </c>
      <c r="C2" t="s">
        <v>139</v>
      </c>
      <c r="D2" t="s">
        <v>140</v>
      </c>
      <c r="E2" t="s">
        <v>5</v>
      </c>
    </row>
    <row r="3" spans="2:5" x14ac:dyDescent="0.3">
      <c r="B3" s="19" t="s">
        <v>186</v>
      </c>
      <c r="C3" s="19" t="s">
        <v>100</v>
      </c>
      <c r="D3" s="19" t="s">
        <v>100</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75</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opLeftCell="D1" zoomScale="118" workbookViewId="0">
      <selection activeCell="J5" sqref="J5"/>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5" x14ac:dyDescent="0.3">
      <c r="B2" t="s">
        <v>75</v>
      </c>
      <c r="C2" t="s">
        <v>46</v>
      </c>
      <c r="D2" t="s">
        <v>66</v>
      </c>
      <c r="E2" t="s">
        <v>67</v>
      </c>
      <c r="H2" t="s">
        <v>75</v>
      </c>
      <c r="I2" t="s">
        <v>141</v>
      </c>
      <c r="J2" t="s">
        <v>142</v>
      </c>
    </row>
    <row r="3" spans="2:15" x14ac:dyDescent="0.3">
      <c r="B3" s="1">
        <v>45947</v>
      </c>
      <c r="C3" s="20">
        <f>SUMIFS(Table14[Debit], Table14[Date], Table11[[#This Row],[Date]], Table14[Party],"Salary ", Table14[Description],Table11[[#This Row],[Column1]])</f>
        <v>0</v>
      </c>
      <c r="H3" s="1">
        <v>45947</v>
      </c>
      <c r="I3">
        <f>SUMIFS(Table14[Debit], Table14[Date], Table16[[#This Row],[Date]], Table14[Party], "Advance Salary", Table14[Description], Table16[[#This Row],[Person]] )</f>
        <v>0</v>
      </c>
      <c r="M3" t="s">
        <v>175</v>
      </c>
      <c r="N3" t="s">
        <v>176</v>
      </c>
    </row>
    <row r="4" spans="2:15" x14ac:dyDescent="0.3">
      <c r="B4" s="1">
        <v>45948</v>
      </c>
      <c r="C4" s="20">
        <f>SUMIFS(Table14[Debit], Table14[Date], Table11[[#This Row],[Date]], Table14[Party],"Salary", Table14[Description],Table11[[#This Row],[Column1]])</f>
        <v>3750</v>
      </c>
      <c r="D4" t="s">
        <v>196</v>
      </c>
      <c r="H4" s="1">
        <v>45948</v>
      </c>
      <c r="I4">
        <f>SUMIFS(Table14[Debit], Table14[Date], Table16[[#This Row],[Date]], Table14[Party], "Advance Salary", Table14[Description], Table16[[#This Row],[Person]] )</f>
        <v>10000</v>
      </c>
      <c r="J4" t="s">
        <v>171</v>
      </c>
      <c r="N4" t="s">
        <v>177</v>
      </c>
    </row>
    <row r="5" spans="2:15" x14ac:dyDescent="0.3">
      <c r="B5" s="1">
        <v>45949</v>
      </c>
      <c r="C5" s="20">
        <f>SUMIFS(Table14[Debit], Table14[Date], Table11[[#This Row],[Date]], Table14[Party],"Salary", Table14[Description],Table11[[#This Row],[Column1]])</f>
        <v>0</v>
      </c>
      <c r="H5" s="1">
        <v>45949</v>
      </c>
      <c r="I5">
        <f>SUMIFS(Table14[Debit], Table14[Date], Table16[[#This Row],[Date]], Table14[Party], "Advance Salary", Table14[Description], Table16[[#This Row],[Person]] )</f>
        <v>0</v>
      </c>
      <c r="N5" t="s">
        <v>178</v>
      </c>
      <c r="O5" t="s">
        <v>179</v>
      </c>
    </row>
    <row r="6" spans="2:15" x14ac:dyDescent="0.3">
      <c r="B6" s="1">
        <v>45950</v>
      </c>
      <c r="C6" s="20">
        <f>SUMIFS(Table14[Debit], Table14[Date], Table11[[#This Row],[Date]], Table14[Party],"Salary", Table14[Description],Table11[[#This Row],[Column1]])</f>
        <v>0</v>
      </c>
      <c r="H6" s="1">
        <v>45950</v>
      </c>
      <c r="I6">
        <f>SUMIFS(Table14[Debit], Table14[Date], Table16[[#This Row],[Date]], Table14[Party], "Advance Salary", Table14[Description], Table16[[#This Row],[Person]] )</f>
        <v>0</v>
      </c>
    </row>
    <row r="7" spans="2:15" x14ac:dyDescent="0.3">
      <c r="B7" s="1">
        <v>45951</v>
      </c>
      <c r="C7" s="20">
        <f>SUMIFS(Table14[Debit], Table14[Date], Table11[[#This Row],[Date]], Table14[Party],"Salary", Table14[Description],Table11[[#This Row],[Column1]])</f>
        <v>0</v>
      </c>
      <c r="H7" s="1">
        <v>45951</v>
      </c>
      <c r="I7">
        <f>SUMIFS(Table14[Debit], Table14[Date], Table16[[#This Row],[Date]], Table14[Party], "Advance Salary", Table14[Description], Table16[[#This Row],[Person]] )</f>
        <v>0</v>
      </c>
    </row>
    <row r="8" spans="2:15" x14ac:dyDescent="0.3">
      <c r="B8" s="1">
        <v>45952</v>
      </c>
      <c r="C8" s="20">
        <f>SUMIFS(Table14[Debit], Table14[Date], Table11[[#This Row],[Date]], Table14[Party],"Salary", Table14[Description],Table11[[#This Row],[Column1]])</f>
        <v>0</v>
      </c>
      <c r="H8" s="1">
        <v>45952</v>
      </c>
      <c r="I8">
        <f>SUMIFS(Table14[Debit], Table14[Date], Table16[[#This Row],[Date]], Table14[Party], "Advance Salary", Table14[Description], Table16[[#This Row],[Person]] )</f>
        <v>0</v>
      </c>
    </row>
    <row r="9" spans="2:15" x14ac:dyDescent="0.3">
      <c r="B9" s="1">
        <v>45953</v>
      </c>
      <c r="C9" s="20">
        <f>SUMIFS(Table14[Debit], Table14[Date], Table11[[#This Row],[Date]], Table14[Party],"Salary", Table14[Description],Table11[[#This Row],[Column1]])</f>
        <v>0</v>
      </c>
      <c r="H9" s="1">
        <v>45953</v>
      </c>
      <c r="I9">
        <f>SUMIFS(Table14[Debit], Table14[Date], Table16[[#This Row],[Date]], Table14[Party], "Advance Salary", Table14[Description], Table16[[#This Row],[Person]] )</f>
        <v>0</v>
      </c>
    </row>
    <row r="10" spans="2:15" x14ac:dyDescent="0.3">
      <c r="B10" s="1">
        <v>45954</v>
      </c>
      <c r="C10" s="20">
        <f>SUMIFS(Table14[Debit], Table14[Date], Table11[[#This Row],[Date]], Table14[Party],"Salary", Table14[Description],Table11[[#This Row],[Column1]])</f>
        <v>0</v>
      </c>
      <c r="H10" s="1">
        <v>45954</v>
      </c>
      <c r="I10">
        <f>SUMIFS(Table14[Debit], Table14[Date], Table16[[#This Row],[Date]], Table14[Party], "Advance Salary", Table14[Description], Table16[[#This Row],[Person]] )</f>
        <v>0</v>
      </c>
    </row>
    <row r="11" spans="2:15" x14ac:dyDescent="0.3">
      <c r="B11" s="1">
        <v>45955</v>
      </c>
      <c r="C11" s="20">
        <f>SUMIFS(Table14[Debit], Table14[Date], Table11[[#This Row],[Date]], Table14[Party],"Salary", Table14[Description],Table11[[#This Row],[Column1]])</f>
        <v>0</v>
      </c>
      <c r="H11" s="1">
        <v>45955</v>
      </c>
      <c r="I11">
        <f>SUMIFS(Table14[Debit], Table14[Date], Table16[[#This Row],[Date]], Table14[Party], "Advance Salary", Table14[Description], Table16[[#This Row],[Person]] )</f>
        <v>0</v>
      </c>
    </row>
    <row r="12" spans="2:15" x14ac:dyDescent="0.3">
      <c r="B12" s="1">
        <v>45956</v>
      </c>
      <c r="C12" s="20">
        <f>SUMIFS(Table14[Debit], Table14[Date], Table11[[#This Row],[Date]], Table14[Party],"Salary", Table14[Description],Table11[[#This Row],[Column1]])</f>
        <v>0</v>
      </c>
      <c r="H12" s="1">
        <v>45956</v>
      </c>
      <c r="I12">
        <f>SUMIFS(Table14[Debit], Table14[Date], Table16[[#This Row],[Date]], Table14[Party], "Advance Salary", Table14[Description], Table16[[#This Row],[Person]] )</f>
        <v>0</v>
      </c>
    </row>
    <row r="13" spans="2:15" x14ac:dyDescent="0.3">
      <c r="B13" s="1">
        <v>45957</v>
      </c>
      <c r="C13" s="20">
        <f>SUMIFS(Table14[Debit], Table14[Date], Table11[[#This Row],[Date]], Table14[Party],"Salary", Table14[Description],Table11[[#This Row],[Column1]])</f>
        <v>0</v>
      </c>
      <c r="H13" s="1">
        <v>45957</v>
      </c>
      <c r="I13">
        <f>SUMIFS(Table14[Debit], Table14[Date], Table16[[#This Row],[Date]], Table14[Party], "Advance Salary", Table14[Description], Table16[[#This Row],[Person]] )</f>
        <v>0</v>
      </c>
    </row>
    <row r="14" spans="2:15" x14ac:dyDescent="0.3">
      <c r="B14" s="1">
        <v>45958</v>
      </c>
      <c r="C14" s="20">
        <f>SUMIFS(Table14[Debit], Table14[Date], Table11[[#This Row],[Date]], Table14[Party],"Salary", Table14[Description],Table11[[#This Row],[Column1]])</f>
        <v>0</v>
      </c>
      <c r="H14" s="1">
        <v>45958</v>
      </c>
      <c r="I14">
        <f>SUMIFS(Table14[Debit], Table14[Date], Table16[[#This Row],[Date]], Table14[Party], "Advance Salary", Table14[Description], Table16[[#This Row],[Person]] )</f>
        <v>0</v>
      </c>
    </row>
    <row r="15" spans="2:15" x14ac:dyDescent="0.3">
      <c r="B15" s="1">
        <v>45959</v>
      </c>
      <c r="C15" s="20">
        <f>SUMIFS(Table14[Debit], Table14[Date], Table11[[#This Row],[Date]], Table14[Party],"Salary", Table14[Description],Table11[[#This Row],[Column1]])</f>
        <v>0</v>
      </c>
      <c r="H15" s="1">
        <v>45959</v>
      </c>
      <c r="I15">
        <f>SUMIFS(Table14[Debit], Table14[Date], Table16[[#This Row],[Date]], Table14[Party], "Advance Salary", Table14[Description], Table16[[#This Row],[Person]] )</f>
        <v>0</v>
      </c>
    </row>
    <row r="16" spans="2:15" x14ac:dyDescent="0.3">
      <c r="B16" s="1">
        <v>45960</v>
      </c>
      <c r="C16" s="20">
        <f>SUMIFS(Table14[Debit], Table14[Date], Table11[[#This Row],[Date]], Table14[Party],"Salary", Table14[Description],Table11[[#This Row],[Column1]])</f>
        <v>0</v>
      </c>
      <c r="H16" s="1">
        <v>45960</v>
      </c>
      <c r="I16">
        <f>SUMIFS(Table14[Debit], Table14[Date], Table16[[#This Row],[Date]], Table14[Party], "Advance Salary", Table14[Description], Table16[[#This Row],[Person]] )</f>
        <v>0</v>
      </c>
    </row>
    <row r="17" spans="2:9" x14ac:dyDescent="0.3">
      <c r="B17" s="1">
        <v>45961</v>
      </c>
      <c r="C17" s="20">
        <f>SUMIFS(Table14[Debit], Table14[Date], Table11[[#This Row],[Date]], Table14[Party],"Salary", Table14[Description],Table11[[#This Row],[Column1]])</f>
        <v>0</v>
      </c>
      <c r="H17" s="1">
        <v>45961</v>
      </c>
      <c r="I17">
        <f>SUMIFS(Table14[Debit], Table14[Date], Table16[[#This Row],[Date]], Table14[Party], "Advance Salary", Table14[Description], Table16[[#This Row],[Person]] )</f>
        <v>0</v>
      </c>
    </row>
    <row r="18" spans="2:9" x14ac:dyDescent="0.3">
      <c r="B18" s="1">
        <v>45962</v>
      </c>
      <c r="C18" s="20">
        <f>SUMIFS(Table14[Debit], Table14[Date], Table11[[#This Row],[Date]], Table14[Party],"Salary", Table14[Description],Table11[[#This Row],[Column1]])</f>
        <v>0</v>
      </c>
      <c r="H18" s="1">
        <v>45962</v>
      </c>
      <c r="I18">
        <f>SUMIFS(Table14[Debit], Table14[Date], Table16[[#This Row],[Date]], Table14[Party], "Advance Salary", Table14[Description], Table16[[#This Row],[Person]] )</f>
        <v>0</v>
      </c>
    </row>
    <row r="19" spans="2:9" x14ac:dyDescent="0.3">
      <c r="B19" s="1">
        <v>45963</v>
      </c>
      <c r="C19" s="20">
        <f>SUMIFS(Table14[Debit], Table14[Date], Table11[[#This Row],[Date]], Table14[Party],"Salary", Table14[Description],Table11[[#This Row],[Column1]])</f>
        <v>0</v>
      </c>
      <c r="H19" s="1">
        <v>45963</v>
      </c>
      <c r="I19">
        <f>SUMIFS(Table14[Debit], Table14[Date], Table16[[#This Row],[Date]], Table14[Party], "Advance Salary", Table14[Description], Table16[[#This Row],[Person]] )</f>
        <v>0</v>
      </c>
    </row>
    <row r="20" spans="2:9" x14ac:dyDescent="0.3">
      <c r="B20" s="1">
        <v>45964</v>
      </c>
      <c r="C20" s="20">
        <f>SUMIFS(Table14[Debit], Table14[Date], Table11[[#This Row],[Date]], Table14[Party],"Salary", Table14[Description],Table11[[#This Row],[Column1]])</f>
        <v>0</v>
      </c>
      <c r="H20" s="1">
        <v>45964</v>
      </c>
      <c r="I20">
        <f>SUMIFS(Table14[Debit], Table14[Date], Table16[[#This Row],[Date]], Table14[Party], "Advance Salary", Table14[Description], Table16[[#This Row],[Person]] )</f>
        <v>0</v>
      </c>
    </row>
    <row r="21" spans="2:9" x14ac:dyDescent="0.3">
      <c r="B21" s="1">
        <v>45965</v>
      </c>
      <c r="C21" s="20">
        <f>SUMIFS(Table14[Debit], Table14[Date], Table11[[#This Row],[Date]], Table14[Party],"Salary", Table14[Description],Table11[[#This Row],[Column1]])</f>
        <v>0</v>
      </c>
      <c r="H21" s="1">
        <v>45965</v>
      </c>
      <c r="I21">
        <f>SUMIFS(Table14[Debit], Table14[Date], Table16[[#This Row],[Date]], Table14[Party], "Advance Salary", Table14[Description], Table16[[#This Row],[Person]] )</f>
        <v>0</v>
      </c>
    </row>
    <row r="22" spans="2:9" x14ac:dyDescent="0.3">
      <c r="B22" s="1">
        <v>45966</v>
      </c>
      <c r="C22" s="20">
        <f>SUMIFS(Table14[Debit], Table14[Date], Table11[[#This Row],[Date]], Table14[Party],"Salary", Table14[Description],Table11[[#This Row],[Column1]])</f>
        <v>0</v>
      </c>
      <c r="H22" s="1">
        <v>45966</v>
      </c>
      <c r="I22">
        <f>SUMIFS(Table14[Debit], Table14[Date], Table16[[#This Row],[Date]], Table14[Party], "Advance Salary", Table14[Description], Table16[[#This Row],[Person]] )</f>
        <v>0</v>
      </c>
    </row>
    <row r="23" spans="2:9" x14ac:dyDescent="0.3">
      <c r="B23" s="1">
        <v>45967</v>
      </c>
      <c r="C23" s="20">
        <f>SUMIFS(Table14[Debit], Table14[Date], Table11[[#This Row],[Date]], Table14[Party],"Salary", Table14[Description],Table11[[#This Row],[Column1]])</f>
        <v>0</v>
      </c>
      <c r="H23" s="1">
        <v>45967</v>
      </c>
      <c r="I23">
        <f>SUMIFS(Table14[Debit], Table14[Date], Table16[[#This Row],[Date]], Table14[Party], "Advance Salary", Table14[Description], Table16[[#This Row],[Person]] )</f>
        <v>0</v>
      </c>
    </row>
    <row r="24" spans="2:9" x14ac:dyDescent="0.3">
      <c r="B24" s="1">
        <v>45968</v>
      </c>
      <c r="C24" s="20">
        <f>SUMIFS(Table14[Debit], Table14[Date], Table11[[#This Row],[Date]], Table14[Party],"Salary", Table14[Description],Table11[[#This Row],[Column1]])</f>
        <v>0</v>
      </c>
      <c r="H24" s="1">
        <v>45968</v>
      </c>
      <c r="I24">
        <f>SUMIFS(Table14[Debit], Table14[Date], Table16[[#This Row],[Date]], Table14[Party], "Advance Salary", Table14[Description], Table16[[#This Row],[Person]] )</f>
        <v>0</v>
      </c>
    </row>
    <row r="25" spans="2:9" x14ac:dyDescent="0.3">
      <c r="B25" s="1">
        <v>45969</v>
      </c>
      <c r="C25" s="20">
        <f>SUMIFS(Table14[Debit], Table14[Date], Table11[[#This Row],[Date]], Table14[Party],"Salary", Table14[Description],Table11[[#This Row],[Column1]])</f>
        <v>0</v>
      </c>
      <c r="H25" s="1">
        <v>45969</v>
      </c>
      <c r="I25">
        <f>SUMIFS(Table14[Debit], Table14[Date], Table16[[#This Row],[Date]], Table14[Party], "Advance Salary", Table14[Description], Table16[[#This Row],[Person]] )</f>
        <v>0</v>
      </c>
    </row>
    <row r="26" spans="2:9" x14ac:dyDescent="0.3">
      <c r="B26" s="1">
        <v>45970</v>
      </c>
      <c r="C26" s="20">
        <f>SUMIFS(Table14[Debit], Table14[Date], Table11[[#This Row],[Date]], Table14[Party],"Salary", Table14[Description],Table11[[#This Row],[Column1]])</f>
        <v>0</v>
      </c>
      <c r="H26" s="1">
        <v>45970</v>
      </c>
      <c r="I26">
        <f>SUMIFS(Table14[Debit], Table14[Date], Table16[[#This Row],[Date]], Table14[Party], "Advance Salary", Table14[Description], Table16[[#This Row],[Person]] )</f>
        <v>0</v>
      </c>
    </row>
    <row r="27" spans="2:9" x14ac:dyDescent="0.3">
      <c r="B27" s="1">
        <v>45971</v>
      </c>
      <c r="C27" s="20">
        <f>SUMIFS(Table14[Debit], Table14[Date], Table11[[#This Row],[Date]], Table14[Party],"Salary", Table14[Description],Table11[[#This Row],[Column1]])</f>
        <v>0</v>
      </c>
      <c r="H27" s="1">
        <v>45971</v>
      </c>
      <c r="I27">
        <f>SUMIFS(Table14[Debit], Table14[Date], Table16[[#This Row],[Date]], Table14[Party], "Advance Salary", Table14[Description], Table16[[#This Row],[Person]] )</f>
        <v>0</v>
      </c>
    </row>
    <row r="28" spans="2:9" x14ac:dyDescent="0.3">
      <c r="B28" s="1">
        <v>45972</v>
      </c>
      <c r="C28" s="20">
        <f>SUMIFS(Table14[Debit], Table14[Date], Table11[[#This Row],[Date]], Table14[Party],"Salary", Table14[Description],Table11[[#This Row],[Column1]])</f>
        <v>0</v>
      </c>
      <c r="H28" s="1">
        <v>45972</v>
      </c>
      <c r="I28">
        <f>SUMIFS(Table14[Debit], Table14[Date], Table16[[#This Row],[Date]], Table14[Party], "Advance Salary", Table14[Description], Table16[[#This Row],[Person]] )</f>
        <v>0</v>
      </c>
    </row>
    <row r="29" spans="2:9" x14ac:dyDescent="0.3">
      <c r="B29" s="1">
        <v>45973</v>
      </c>
      <c r="C29" s="20">
        <f>SUMIFS(Table14[Debit], Table14[Date], Table11[[#This Row],[Date]], Table14[Party],"Salary", Table14[Description],Table11[[#This Row],[Column1]])</f>
        <v>0</v>
      </c>
      <c r="H29" s="1">
        <v>45973</v>
      </c>
      <c r="I29">
        <f>SUMIFS(Table14[Debit], Table14[Date], Table16[[#This Row],[Date]], Table14[Party], "Advance Salary", Table14[Description], Table16[[#This Row],[Person]] )</f>
        <v>0</v>
      </c>
    </row>
    <row r="30" spans="2:9" x14ac:dyDescent="0.3">
      <c r="B30" s="1">
        <v>45974</v>
      </c>
      <c r="C30" s="20">
        <f>SUMIFS(Table14[Debit], Table14[Date], Table11[[#This Row],[Date]], Table14[Party],"Salary", Table14[Description],Table11[[#This Row],[Column1]])</f>
        <v>0</v>
      </c>
      <c r="H30" s="1">
        <v>45974</v>
      </c>
      <c r="I30">
        <f>SUMIFS(Table14[Debit], Table14[Date], Table16[[#This Row],[Date]], Table14[Party], "Advance Salary", Table14[Description], Table16[[#This Row],[Person]] )</f>
        <v>0</v>
      </c>
    </row>
    <row r="31" spans="2:9" x14ac:dyDescent="0.3">
      <c r="B31" s="1">
        <v>45975</v>
      </c>
      <c r="C31" s="20">
        <f>SUMIFS(Table14[Debit], Table14[Date], Table11[[#This Row],[Date]], Table14[Party],"Salary", Table14[Description],Table11[[#This Row],[Column1]])</f>
        <v>0</v>
      </c>
      <c r="H31" s="1">
        <v>45975</v>
      </c>
      <c r="I31">
        <f>SUMIFS(Table14[Debit], Table14[Date], Table16[[#This Row],[Date]], Table14[Party], "Advance Salary", Table14[Description], Table16[[#This Row],[Person]] )</f>
        <v>0</v>
      </c>
    </row>
    <row r="32" spans="2:9" x14ac:dyDescent="0.3">
      <c r="B32" s="1">
        <v>45976</v>
      </c>
      <c r="C32" s="20">
        <f>SUMIFS(Table14[Debit], Table14[Date], Table11[[#This Row],[Date]], Table14[Party],"Salary", Table14[Description],Table11[[#This Row],[Column1]])</f>
        <v>0</v>
      </c>
      <c r="H32" s="1">
        <v>45976</v>
      </c>
      <c r="I32">
        <f>SUMIFS(Table14[Debit], Table14[Date], Table16[[#This Row],[Date]], Table14[Party], "Advance Salary", Table14[Description], Table16[[#This Row],[Person]] )</f>
        <v>0</v>
      </c>
    </row>
    <row r="33" spans="2:9" x14ac:dyDescent="0.3">
      <c r="B33" s="1">
        <v>45977</v>
      </c>
      <c r="C33" s="20">
        <f>SUMIFS(Table14[Debit], Table14[Date], Table11[[#This Row],[Date]], Table14[Party],"Salary", Table14[Description],Table11[[#This Row],[Column1]])</f>
        <v>0</v>
      </c>
      <c r="H33" s="1">
        <v>45977</v>
      </c>
      <c r="I33">
        <f>SUMIFS(Table14[Debit], Table14[Date], Table16[[#This Row],[Date]], Table14[Party], "Advance Salary", Table14[Description], Table16[[#This Row],[Person]] )</f>
        <v>0</v>
      </c>
    </row>
    <row r="34" spans="2:9" x14ac:dyDescent="0.3">
      <c r="B34" s="1">
        <v>45978</v>
      </c>
      <c r="C34" s="20">
        <f>SUMIFS(Table14[Debit], Table14[Date], Table11[[#This Row],[Date]], Table14[Party],"Salary", Table14[Description],Table11[[#This Row],[Column1]])</f>
        <v>0</v>
      </c>
      <c r="H34" s="1">
        <v>45978</v>
      </c>
      <c r="I34">
        <f>SUMIFS(Table14[Debit], Table14[Date], Table16[[#This Row],[Date]], Table14[Party], "Advance Salary", Table14[Description], Table16[[#This Row],[Person]] )</f>
        <v>0</v>
      </c>
    </row>
    <row r="35" spans="2:9" x14ac:dyDescent="0.3">
      <c r="B35" s="1">
        <v>45979</v>
      </c>
      <c r="C35" s="20">
        <f>SUMIFS(Table14[Debit], Table14[Date], Table11[[#This Row],[Date]], Table14[Party],"Salary", Table14[Description],Table11[[#This Row],[Column1]])</f>
        <v>0</v>
      </c>
      <c r="H35" s="1">
        <v>45979</v>
      </c>
      <c r="I35">
        <f>SUMIFS(Table14[Debit], Table14[Date], Table16[[#This Row],[Date]], Table14[Party], "Advance Salary", Table14[Description], Table16[[#This Row],[Person]] )</f>
        <v>0</v>
      </c>
    </row>
    <row r="36" spans="2:9" x14ac:dyDescent="0.3">
      <c r="B36" s="1">
        <v>45980</v>
      </c>
      <c r="C36" s="20">
        <f>SUMIFS(Table14[Debit], Table14[Date], Table11[[#This Row],[Date]], Table14[Party],"Salary", Table14[Description],Table11[[#This Row],[Column1]])</f>
        <v>0</v>
      </c>
      <c r="H36" s="1"/>
      <c r="I36">
        <f>SUBTOTAL(109,Table16[Advance])</f>
        <v>10000</v>
      </c>
    </row>
    <row r="37" spans="2:9" x14ac:dyDescent="0.3">
      <c r="B37" s="1"/>
      <c r="C37" s="26">
        <f>SUM(Table11[Amount])</f>
        <v>3750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119"/>
  <sheetViews>
    <sheetView topLeftCell="A3" zoomScale="90" workbookViewId="0">
      <selection activeCell="K91" sqref="K91"/>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12.33203125" customWidth="1"/>
    <col min="8" max="8" width="15.33203125" customWidth="1"/>
    <col min="9" max="9" width="13.6640625" customWidth="1"/>
    <col min="10" max="10" width="15.33203125" customWidth="1"/>
    <col min="11" max="11" width="13.5546875" bestFit="1" customWidth="1"/>
  </cols>
  <sheetData>
    <row r="1" spans="1:12" x14ac:dyDescent="0.3">
      <c r="A1" s="49" t="s">
        <v>2</v>
      </c>
      <c r="B1" s="14" t="s">
        <v>88</v>
      </c>
      <c r="C1" s="14"/>
    </row>
    <row r="2" spans="1:12" x14ac:dyDescent="0.3">
      <c r="A2" s="36" t="s">
        <v>28</v>
      </c>
      <c r="B2" s="38">
        <f>SUM(B4:INDEX(B:B, MATCH(1E+100, B:B)-1))</f>
        <v>284560</v>
      </c>
      <c r="C2" s="37">
        <f>GETPIVOTDATA("Sum of Tiyaar/gaz",$A$3)</f>
        <v>277596</v>
      </c>
      <c r="D2" s="36">
        <f>((B2*48)+((C2/1.0936)*10))/C2</f>
        <v>58.348278399412372</v>
      </c>
      <c r="J2">
        <v>48</v>
      </c>
    </row>
    <row r="3" spans="1:12" x14ac:dyDescent="0.3">
      <c r="A3" s="39" t="s">
        <v>143</v>
      </c>
      <c r="B3" s="40" t="s">
        <v>144</v>
      </c>
      <c r="C3" s="41" t="s">
        <v>89</v>
      </c>
      <c r="D3" s="37" t="s">
        <v>145</v>
      </c>
      <c r="E3" s="11" t="s">
        <v>146</v>
      </c>
      <c r="F3" s="11" t="str">
        <f t="shared" ref="F3:F38" si="0">C3</f>
        <v>Sum of Tiyaar/gaz</v>
      </c>
      <c r="G3" s="82" t="s">
        <v>82</v>
      </c>
      <c r="H3" s="11" t="s">
        <v>147</v>
      </c>
      <c r="I3" s="34" t="s">
        <v>148</v>
      </c>
    </row>
    <row r="4" spans="1:12" x14ac:dyDescent="0.3">
      <c r="A4" s="16" t="s">
        <v>106</v>
      </c>
      <c r="B4" s="14"/>
      <c r="C4" s="14"/>
      <c r="D4" s="33" t="e">
        <f>I4</f>
        <v>#DIV/0!</v>
      </c>
      <c r="E4" s="11">
        <f>B4 * 1.0936</f>
        <v>0</v>
      </c>
      <c r="F4" s="11">
        <f t="shared" si="0"/>
        <v>0</v>
      </c>
      <c r="G4" s="83" t="e">
        <f>100- (F4/E4 *100)</f>
        <v>#DIV/0!</v>
      </c>
      <c r="H4" s="33">
        <f>F4/1.0936</f>
        <v>0</v>
      </c>
      <c r="I4" s="33" t="e">
        <f>((B4*48)+(H4*10))/C4</f>
        <v>#DIV/0!</v>
      </c>
      <c r="J4" s="33"/>
      <c r="K4" s="33"/>
      <c r="L4" s="33"/>
    </row>
    <row r="5" spans="1:12" x14ac:dyDescent="0.3">
      <c r="A5" s="16">
        <v>1818</v>
      </c>
      <c r="B5" s="14">
        <v>15182</v>
      </c>
      <c r="C5" s="14">
        <v>7888</v>
      </c>
      <c r="D5" s="33">
        <f t="shared" ref="D5:D38" si="1">I5</f>
        <v>101.52950672991744</v>
      </c>
      <c r="E5" s="11">
        <f t="shared" ref="E5:E38" si="2">B5 * 1.0936</f>
        <v>16603.035199999998</v>
      </c>
      <c r="F5" s="11">
        <f t="shared" si="0"/>
        <v>7888</v>
      </c>
      <c r="G5" s="83">
        <f>100- (F5/E5 *100)</f>
        <v>52.490614487163164</v>
      </c>
      <c r="H5" s="33">
        <f t="shared" ref="H5:H38" si="3">F5/1.0936</f>
        <v>7212.8749085588888</v>
      </c>
      <c r="I5" s="33">
        <f>((B5*48)+(H5*10))/C5</f>
        <v>101.52950672991744</v>
      </c>
      <c r="J5" s="33"/>
      <c r="K5" s="33"/>
      <c r="L5" s="33"/>
    </row>
    <row r="6" spans="1:12" x14ac:dyDescent="0.3">
      <c r="A6" s="16">
        <v>1780</v>
      </c>
      <c r="B6" s="14">
        <v>10086</v>
      </c>
      <c r="C6" s="14">
        <v>10979</v>
      </c>
      <c r="D6" s="33">
        <f t="shared" si="1"/>
        <v>53.239930483766543</v>
      </c>
      <c r="E6" s="11">
        <f t="shared" si="2"/>
        <v>11030.049599999998</v>
      </c>
      <c r="F6" s="11">
        <f t="shared" si="0"/>
        <v>10979</v>
      </c>
      <c r="G6" s="83">
        <f t="shared" ref="G6:G18" si="4">100- (F6/E6 *100)</f>
        <v>0.46282294143081515</v>
      </c>
      <c r="H6" s="33">
        <f t="shared" si="3"/>
        <v>10039.319678127287</v>
      </c>
      <c r="I6" s="33">
        <f>((B6*48)+(H6*10))/C6</f>
        <v>53.239930483766543</v>
      </c>
      <c r="J6" s="33"/>
      <c r="K6" s="33"/>
      <c r="L6" s="33"/>
    </row>
    <row r="7" spans="1:12" x14ac:dyDescent="0.3">
      <c r="A7" s="16">
        <v>1800</v>
      </c>
      <c r="B7" s="14">
        <v>32917</v>
      </c>
      <c r="C7" s="14">
        <v>34960</v>
      </c>
      <c r="D7" s="33">
        <f t="shared" si="1"/>
        <v>54.339076867449307</v>
      </c>
      <c r="E7" s="11">
        <f t="shared" si="2"/>
        <v>35998.031199999998</v>
      </c>
      <c r="F7" s="11">
        <f t="shared" si="0"/>
        <v>34960</v>
      </c>
      <c r="G7" s="83">
        <f t="shared" si="4"/>
        <v>2.8835776996604068</v>
      </c>
      <c r="H7" s="33">
        <f t="shared" si="3"/>
        <v>31967.812728602781</v>
      </c>
      <c r="I7" s="33">
        <f>((B7*48)+(H7*10))/C7</f>
        <v>54.339076867449307</v>
      </c>
      <c r="J7" s="33"/>
      <c r="K7" s="33"/>
      <c r="L7" s="33"/>
    </row>
    <row r="8" spans="1:12" x14ac:dyDescent="0.3">
      <c r="A8" s="16">
        <v>1826</v>
      </c>
      <c r="B8" s="14">
        <v>22518</v>
      </c>
      <c r="C8" s="14">
        <v>23515</v>
      </c>
      <c r="D8" s="33">
        <f t="shared" si="1"/>
        <v>55.108984677401665</v>
      </c>
      <c r="E8" s="11">
        <f t="shared" si="2"/>
        <v>24625.684799999999</v>
      </c>
      <c r="F8" s="11">
        <f t="shared" si="0"/>
        <v>23515</v>
      </c>
      <c r="G8" s="83">
        <f t="shared" si="4"/>
        <v>4.5102697001952947</v>
      </c>
      <c r="H8" s="33">
        <f t="shared" si="3"/>
        <v>21502.377468910025</v>
      </c>
      <c r="I8" s="33">
        <f t="shared" ref="I8:I38" si="5">((B8*48)+(H8*10))/C8</f>
        <v>55.108984677401665</v>
      </c>
      <c r="J8" s="33"/>
      <c r="K8" s="33"/>
      <c r="L8" s="33"/>
    </row>
    <row r="9" spans="1:12" x14ac:dyDescent="0.3">
      <c r="A9" s="16">
        <v>1803</v>
      </c>
      <c r="B9" s="14">
        <v>20021</v>
      </c>
      <c r="C9" s="14">
        <v>21555</v>
      </c>
      <c r="D9" s="33">
        <f t="shared" si="1"/>
        <v>53.728105625238307</v>
      </c>
      <c r="E9" s="11">
        <f t="shared" si="2"/>
        <v>21894.9656</v>
      </c>
      <c r="F9" s="11">
        <f t="shared" si="0"/>
        <v>21555</v>
      </c>
      <c r="G9" s="83">
        <f t="shared" si="4"/>
        <v>1.5527112771531364</v>
      </c>
      <c r="H9" s="33">
        <f t="shared" si="3"/>
        <v>19710.131675201173</v>
      </c>
      <c r="I9" s="33">
        <f t="shared" si="5"/>
        <v>53.728105625238307</v>
      </c>
      <c r="J9" s="33"/>
      <c r="K9" s="33"/>
      <c r="L9" s="33"/>
    </row>
    <row r="10" spans="1:12" x14ac:dyDescent="0.3">
      <c r="A10" s="16">
        <v>1829</v>
      </c>
      <c r="B10" s="14">
        <v>20054</v>
      </c>
      <c r="C10" s="14">
        <v>21230</v>
      </c>
      <c r="D10" s="33">
        <f t="shared" si="1"/>
        <v>54.485232247502793</v>
      </c>
      <c r="E10" s="11">
        <f t="shared" si="2"/>
        <v>21931.054399999997</v>
      </c>
      <c r="F10" s="11">
        <f t="shared" si="0"/>
        <v>21230</v>
      </c>
      <c r="G10" s="83">
        <f t="shared" si="4"/>
        <v>3.1966287950113212</v>
      </c>
      <c r="H10" s="33">
        <f t="shared" si="3"/>
        <v>19412.948061448427</v>
      </c>
      <c r="I10" s="33">
        <f t="shared" si="5"/>
        <v>54.485232247502793</v>
      </c>
      <c r="J10" s="33"/>
      <c r="K10" s="33"/>
      <c r="L10" s="33"/>
    </row>
    <row r="11" spans="1:12" x14ac:dyDescent="0.3">
      <c r="A11" s="16">
        <v>1813</v>
      </c>
      <c r="B11" s="14">
        <v>7734</v>
      </c>
      <c r="C11" s="14">
        <v>8274</v>
      </c>
      <c r="D11" s="33"/>
      <c r="E11" s="11">
        <f t="shared" si="2"/>
        <v>8457.902399999999</v>
      </c>
      <c r="F11" s="11">
        <f t="shared" si="0"/>
        <v>8274</v>
      </c>
      <c r="G11" s="83">
        <f t="shared" si="4"/>
        <v>2.1743263436097209</v>
      </c>
      <c r="H11" s="33">
        <f t="shared" si="3"/>
        <v>7565.8376005852242</v>
      </c>
      <c r="I11" s="33">
        <f t="shared" si="5"/>
        <v>54.011406333798917</v>
      </c>
      <c r="J11" s="33"/>
      <c r="K11" s="33"/>
      <c r="L11" s="33"/>
    </row>
    <row r="12" spans="1:12" x14ac:dyDescent="0.3">
      <c r="A12" s="16">
        <v>1827</v>
      </c>
      <c r="B12" s="14">
        <v>25039</v>
      </c>
      <c r="C12" s="14">
        <v>26833</v>
      </c>
      <c r="D12" s="33">
        <f t="shared" si="1"/>
        <v>53.934928469625355</v>
      </c>
      <c r="E12" s="11">
        <f t="shared" si="2"/>
        <v>27382.650399999999</v>
      </c>
      <c r="F12" s="11">
        <f t="shared" si="0"/>
        <v>26833</v>
      </c>
      <c r="G12" s="83">
        <f t="shared" si="4"/>
        <v>2.0072943705989843</v>
      </c>
      <c r="H12" s="33">
        <f t="shared" si="3"/>
        <v>24536.393562545723</v>
      </c>
      <c r="I12" s="33">
        <f t="shared" si="5"/>
        <v>53.934928469625355</v>
      </c>
    </row>
    <row r="13" spans="1:12" x14ac:dyDescent="0.3">
      <c r="A13" s="16">
        <v>1761</v>
      </c>
      <c r="B13" s="14">
        <v>35598</v>
      </c>
      <c r="C13" s="14">
        <v>38020</v>
      </c>
      <c r="D13" s="33">
        <f t="shared" si="1"/>
        <v>54.08635211822061</v>
      </c>
      <c r="E13" s="11">
        <f t="shared" si="2"/>
        <v>38929.972799999996</v>
      </c>
      <c r="F13" s="11">
        <f t="shared" si="0"/>
        <v>38020</v>
      </c>
      <c r="G13" s="83">
        <f t="shared" si="4"/>
        <v>2.3374606621867287</v>
      </c>
      <c r="H13" s="33">
        <f t="shared" si="3"/>
        <v>34765.910753474767</v>
      </c>
      <c r="I13" s="33">
        <f t="shared" si="5"/>
        <v>54.08635211822061</v>
      </c>
    </row>
    <row r="14" spans="1:12" x14ac:dyDescent="0.3">
      <c r="A14" s="16">
        <v>1786</v>
      </c>
      <c r="B14" s="14">
        <v>34719</v>
      </c>
      <c r="C14" s="14">
        <v>37349</v>
      </c>
      <c r="D14" s="33">
        <f t="shared" si="1"/>
        <v>53.764101018090244</v>
      </c>
      <c r="E14" s="11">
        <f t="shared" si="2"/>
        <v>37968.698399999994</v>
      </c>
      <c r="F14" s="11">
        <f t="shared" si="0"/>
        <v>37349</v>
      </c>
      <c r="G14" s="83">
        <f t="shared" si="4"/>
        <v>1.6321296913354217</v>
      </c>
      <c r="H14" s="33">
        <f t="shared" si="3"/>
        <v>34152.340892465254</v>
      </c>
      <c r="I14" s="33">
        <f t="shared" si="5"/>
        <v>53.764101018090244</v>
      </c>
    </row>
    <row r="15" spans="1:12" x14ac:dyDescent="0.3">
      <c r="A15" s="16">
        <v>1834</v>
      </c>
      <c r="B15" s="14">
        <v>18060</v>
      </c>
      <c r="C15" s="14">
        <v>1662</v>
      </c>
      <c r="D15" s="33">
        <f t="shared" si="1"/>
        <v>530.7325588458217</v>
      </c>
      <c r="E15" s="11">
        <f>B15 * 1.0936</f>
        <v>19750.415999999997</v>
      </c>
      <c r="F15" s="11">
        <f t="shared" si="0"/>
        <v>1662</v>
      </c>
      <c r="G15" s="83">
        <f t="shared" si="4"/>
        <v>91.584987374443145</v>
      </c>
      <c r="H15" s="33">
        <f t="shared" si="3"/>
        <v>1519.751280175567</v>
      </c>
      <c r="I15" s="33">
        <f>((B15*48)+(H15*10))/C15</f>
        <v>530.7325588458217</v>
      </c>
    </row>
    <row r="16" spans="1:12" x14ac:dyDescent="0.3">
      <c r="A16" s="16">
        <v>1796</v>
      </c>
      <c r="B16" s="14">
        <v>42632</v>
      </c>
      <c r="C16" s="14">
        <v>45331</v>
      </c>
      <c r="D16" s="33">
        <f t="shared" si="1"/>
        <v>54.286199388108052</v>
      </c>
      <c r="E16" s="11">
        <f t="shared" si="2"/>
        <v>46622.355199999998</v>
      </c>
      <c r="F16" s="11">
        <f t="shared" si="0"/>
        <v>45331</v>
      </c>
      <c r="G16" s="83">
        <f t="shared" si="4"/>
        <v>2.7698197451852451</v>
      </c>
      <c r="H16" s="33">
        <f t="shared" si="3"/>
        <v>41451.170446232631</v>
      </c>
      <c r="I16" s="33">
        <f>((B16*48)+(H16*10))/C16</f>
        <v>54.286199388108052</v>
      </c>
    </row>
    <row r="17" spans="1:9" x14ac:dyDescent="0.3">
      <c r="A17" s="16" t="s">
        <v>28</v>
      </c>
      <c r="B17" s="35">
        <v>42632</v>
      </c>
      <c r="C17" s="35">
        <v>277596</v>
      </c>
      <c r="D17" s="33">
        <f t="shared" si="1"/>
        <v>16.515744789417994</v>
      </c>
      <c r="E17" s="11">
        <f t="shared" si="2"/>
        <v>46622.355199999998</v>
      </c>
      <c r="F17" s="11">
        <f t="shared" si="0"/>
        <v>277596</v>
      </c>
      <c r="G17" s="83">
        <f t="shared" si="4"/>
        <v>-495.41393567350292</v>
      </c>
      <c r="H17" s="33">
        <f t="shared" si="3"/>
        <v>253836.86905632773</v>
      </c>
      <c r="I17" s="33">
        <f>((B17*48)+(H17*10))/C17</f>
        <v>16.515744789417994</v>
      </c>
    </row>
    <row r="18" spans="1:9" x14ac:dyDescent="0.3">
      <c r="D18" s="33" t="e">
        <f t="shared" si="1"/>
        <v>#DIV/0!</v>
      </c>
      <c r="E18" s="11">
        <f t="shared" si="2"/>
        <v>0</v>
      </c>
      <c r="F18" s="11">
        <f t="shared" si="0"/>
        <v>0</v>
      </c>
      <c r="G18" s="83" t="e">
        <f t="shared" si="4"/>
        <v>#DIV/0!</v>
      </c>
      <c r="H18" s="33">
        <f t="shared" si="3"/>
        <v>0</v>
      </c>
      <c r="I18" s="33" t="e">
        <f>((B18*48)+(H18*10))/C18</f>
        <v>#DIV/0!</v>
      </c>
    </row>
    <row r="19" spans="1:9" x14ac:dyDescent="0.3">
      <c r="D19" s="33" t="e">
        <f t="shared" si="1"/>
        <v>#DIV/0!</v>
      </c>
      <c r="E19" s="11">
        <f t="shared" si="2"/>
        <v>0</v>
      </c>
      <c r="F19" s="11">
        <f t="shared" si="0"/>
        <v>0</v>
      </c>
      <c r="G19" s="83" t="e">
        <f t="shared" ref="G19:G38" si="6">100- (F19/E19 *100)</f>
        <v>#DIV/0!</v>
      </c>
      <c r="H19" s="33">
        <f t="shared" si="3"/>
        <v>0</v>
      </c>
      <c r="I19" s="33" t="e">
        <f t="shared" si="5"/>
        <v>#DIV/0!</v>
      </c>
    </row>
    <row r="20" spans="1:9" x14ac:dyDescent="0.3">
      <c r="D20" s="33" t="e">
        <f t="shared" si="1"/>
        <v>#DIV/0!</v>
      </c>
      <c r="E20" s="11">
        <f>B20 * 1.0936</f>
        <v>0</v>
      </c>
      <c r="F20" s="11">
        <f t="shared" si="0"/>
        <v>0</v>
      </c>
      <c r="G20" s="83" t="e">
        <f t="shared" si="6"/>
        <v>#DIV/0!</v>
      </c>
      <c r="H20" s="33">
        <f t="shared" si="3"/>
        <v>0</v>
      </c>
      <c r="I20" s="33" t="e">
        <f t="shared" si="5"/>
        <v>#DIV/0!</v>
      </c>
    </row>
    <row r="21" spans="1:9" x14ac:dyDescent="0.3">
      <c r="D21" s="33" t="e">
        <f t="shared" si="1"/>
        <v>#DIV/0!</v>
      </c>
      <c r="E21" s="11">
        <f t="shared" si="2"/>
        <v>0</v>
      </c>
      <c r="F21" s="11">
        <f t="shared" si="0"/>
        <v>0</v>
      </c>
      <c r="G21" s="83" t="e">
        <f t="shared" si="6"/>
        <v>#DIV/0!</v>
      </c>
      <c r="H21" s="33">
        <f t="shared" si="3"/>
        <v>0</v>
      </c>
      <c r="I21" s="33" t="e">
        <f t="shared" si="5"/>
        <v>#DIV/0!</v>
      </c>
    </row>
    <row r="22" spans="1:9" x14ac:dyDescent="0.3">
      <c r="D22" s="33" t="e">
        <f t="shared" si="1"/>
        <v>#DIV/0!</v>
      </c>
      <c r="E22" s="11">
        <f t="shared" si="2"/>
        <v>0</v>
      </c>
      <c r="F22" s="11">
        <f t="shared" si="0"/>
        <v>0</v>
      </c>
      <c r="G22" s="83" t="e">
        <f t="shared" si="6"/>
        <v>#DIV/0!</v>
      </c>
      <c r="H22" s="33">
        <f t="shared" si="3"/>
        <v>0</v>
      </c>
      <c r="I22" s="33" t="e">
        <f t="shared" si="5"/>
        <v>#DIV/0!</v>
      </c>
    </row>
    <row r="23" spans="1:9" x14ac:dyDescent="0.3">
      <c r="D23" s="33" t="e">
        <f t="shared" si="1"/>
        <v>#DIV/0!</v>
      </c>
      <c r="E23" s="11">
        <f t="shared" si="2"/>
        <v>0</v>
      </c>
      <c r="F23" s="11">
        <f t="shared" si="0"/>
        <v>0</v>
      </c>
      <c r="G23" s="83" t="e">
        <f t="shared" si="6"/>
        <v>#DIV/0!</v>
      </c>
      <c r="H23" s="33">
        <f t="shared" si="3"/>
        <v>0</v>
      </c>
      <c r="I23" s="33" t="e">
        <f t="shared" si="5"/>
        <v>#DIV/0!</v>
      </c>
    </row>
    <row r="24" spans="1:9" x14ac:dyDescent="0.3">
      <c r="D24" s="33" t="e">
        <f t="shared" si="1"/>
        <v>#DIV/0!</v>
      </c>
      <c r="E24" s="11">
        <f t="shared" si="2"/>
        <v>0</v>
      </c>
      <c r="F24" s="11">
        <f t="shared" si="0"/>
        <v>0</v>
      </c>
      <c r="G24" s="83" t="e">
        <f t="shared" si="6"/>
        <v>#DIV/0!</v>
      </c>
      <c r="H24" s="33">
        <f t="shared" si="3"/>
        <v>0</v>
      </c>
      <c r="I24" s="33" t="e">
        <f t="shared" si="5"/>
        <v>#DIV/0!</v>
      </c>
    </row>
    <row r="25" spans="1:9" x14ac:dyDescent="0.3">
      <c r="D25" s="33" t="e">
        <f t="shared" si="1"/>
        <v>#DIV/0!</v>
      </c>
      <c r="E25" s="11">
        <f t="shared" si="2"/>
        <v>0</v>
      </c>
      <c r="F25" s="11">
        <f t="shared" si="0"/>
        <v>0</v>
      </c>
      <c r="G25" s="83" t="e">
        <f t="shared" si="6"/>
        <v>#DIV/0!</v>
      </c>
      <c r="H25" s="33">
        <f t="shared" si="3"/>
        <v>0</v>
      </c>
      <c r="I25" s="33" t="e">
        <f t="shared" si="5"/>
        <v>#DIV/0!</v>
      </c>
    </row>
    <row r="26" spans="1:9" x14ac:dyDescent="0.3">
      <c r="D26" s="33" t="e">
        <f t="shared" si="1"/>
        <v>#DIV/0!</v>
      </c>
      <c r="E26" s="11">
        <f t="shared" si="2"/>
        <v>0</v>
      </c>
      <c r="F26" s="11">
        <f t="shared" si="0"/>
        <v>0</v>
      </c>
      <c r="G26" s="83" t="e">
        <f t="shared" si="6"/>
        <v>#DIV/0!</v>
      </c>
      <c r="H26" s="33">
        <f t="shared" si="3"/>
        <v>0</v>
      </c>
      <c r="I26" s="33" t="e">
        <f t="shared" si="5"/>
        <v>#DIV/0!</v>
      </c>
    </row>
    <row r="27" spans="1:9" x14ac:dyDescent="0.3">
      <c r="D27" s="33" t="e">
        <f t="shared" si="1"/>
        <v>#DIV/0!</v>
      </c>
      <c r="E27" s="11">
        <f t="shared" si="2"/>
        <v>0</v>
      </c>
      <c r="F27" s="11">
        <f t="shared" si="0"/>
        <v>0</v>
      </c>
      <c r="G27" s="83" t="e">
        <f t="shared" si="6"/>
        <v>#DIV/0!</v>
      </c>
      <c r="H27" s="33">
        <f t="shared" si="3"/>
        <v>0</v>
      </c>
      <c r="I27" s="33" t="e">
        <f t="shared" si="5"/>
        <v>#DIV/0!</v>
      </c>
    </row>
    <row r="28" spans="1:9" x14ac:dyDescent="0.3">
      <c r="D28" s="33" t="e">
        <f t="shared" si="1"/>
        <v>#DIV/0!</v>
      </c>
      <c r="E28" s="11">
        <f t="shared" si="2"/>
        <v>0</v>
      </c>
      <c r="F28" s="11">
        <f t="shared" si="0"/>
        <v>0</v>
      </c>
      <c r="G28" s="83" t="e">
        <f t="shared" si="6"/>
        <v>#DIV/0!</v>
      </c>
      <c r="H28" s="33">
        <f t="shared" si="3"/>
        <v>0</v>
      </c>
      <c r="I28" s="33" t="e">
        <f t="shared" si="5"/>
        <v>#DIV/0!</v>
      </c>
    </row>
    <row r="29" spans="1:9" x14ac:dyDescent="0.3">
      <c r="D29" s="33" t="e">
        <f t="shared" si="1"/>
        <v>#DIV/0!</v>
      </c>
      <c r="E29" s="11">
        <f t="shared" si="2"/>
        <v>0</v>
      </c>
      <c r="F29" s="11">
        <f t="shared" si="0"/>
        <v>0</v>
      </c>
      <c r="G29" s="83" t="e">
        <f t="shared" si="6"/>
        <v>#DIV/0!</v>
      </c>
      <c r="H29" s="33">
        <f t="shared" si="3"/>
        <v>0</v>
      </c>
      <c r="I29" s="33" t="e">
        <f t="shared" si="5"/>
        <v>#DIV/0!</v>
      </c>
    </row>
    <row r="30" spans="1:9" x14ac:dyDescent="0.3">
      <c r="D30" s="33" t="e">
        <f t="shared" si="1"/>
        <v>#DIV/0!</v>
      </c>
      <c r="E30" s="11">
        <f t="shared" si="2"/>
        <v>0</v>
      </c>
      <c r="F30" s="11">
        <f t="shared" si="0"/>
        <v>0</v>
      </c>
      <c r="G30" s="83" t="e">
        <f t="shared" si="6"/>
        <v>#DIV/0!</v>
      </c>
      <c r="H30" s="33">
        <f t="shared" si="3"/>
        <v>0</v>
      </c>
      <c r="I30" s="33" t="e">
        <f t="shared" si="5"/>
        <v>#DIV/0!</v>
      </c>
    </row>
    <row r="31" spans="1:9" x14ac:dyDescent="0.3">
      <c r="D31" s="33" t="e">
        <f t="shared" si="1"/>
        <v>#DIV/0!</v>
      </c>
      <c r="E31" s="11">
        <f t="shared" si="2"/>
        <v>0</v>
      </c>
      <c r="F31" s="11">
        <f t="shared" si="0"/>
        <v>0</v>
      </c>
      <c r="G31" s="83" t="e">
        <f t="shared" si="6"/>
        <v>#DIV/0!</v>
      </c>
      <c r="H31" s="33">
        <f t="shared" si="3"/>
        <v>0</v>
      </c>
      <c r="I31" s="33" t="e">
        <f t="shared" si="5"/>
        <v>#DIV/0!</v>
      </c>
    </row>
    <row r="32" spans="1:9" x14ac:dyDescent="0.3">
      <c r="D32" s="33" t="e">
        <f t="shared" si="1"/>
        <v>#DIV/0!</v>
      </c>
      <c r="E32" s="11">
        <f t="shared" si="2"/>
        <v>0</v>
      </c>
      <c r="F32" s="11">
        <f t="shared" si="0"/>
        <v>0</v>
      </c>
      <c r="G32" s="83" t="e">
        <f t="shared" si="6"/>
        <v>#DIV/0!</v>
      </c>
      <c r="H32" s="33">
        <f t="shared" si="3"/>
        <v>0</v>
      </c>
      <c r="I32" s="33" t="e">
        <f t="shared" si="5"/>
        <v>#DIV/0!</v>
      </c>
    </row>
    <row r="33" spans="4:9" x14ac:dyDescent="0.3">
      <c r="D33" s="33" t="e">
        <f t="shared" ref="D33:D37" si="7">I33</f>
        <v>#DIV/0!</v>
      </c>
      <c r="E33" s="11">
        <f t="shared" ref="E33:E37" si="8">B33 * 1.0936</f>
        <v>0</v>
      </c>
      <c r="F33" s="11">
        <f t="shared" ref="F33:F37" si="9">C33</f>
        <v>0</v>
      </c>
      <c r="G33" s="83" t="e">
        <f t="shared" ref="G33:G37" si="10">100- (F33/E33 *100)</f>
        <v>#DIV/0!</v>
      </c>
      <c r="H33" s="33">
        <f t="shared" ref="H33:H37" si="11">F33/1.0936</f>
        <v>0</v>
      </c>
      <c r="I33" s="33" t="e">
        <f t="shared" ref="I33:I37" si="12">((B33*48)+(H33*10))/C33</f>
        <v>#DIV/0!</v>
      </c>
    </row>
    <row r="34" spans="4:9" x14ac:dyDescent="0.3">
      <c r="D34" s="33" t="e">
        <f t="shared" si="7"/>
        <v>#DIV/0!</v>
      </c>
      <c r="E34" s="11">
        <f t="shared" si="8"/>
        <v>0</v>
      </c>
      <c r="F34" s="11">
        <f t="shared" si="9"/>
        <v>0</v>
      </c>
      <c r="G34" s="83" t="e">
        <f t="shared" si="10"/>
        <v>#DIV/0!</v>
      </c>
      <c r="H34" s="33">
        <f t="shared" si="11"/>
        <v>0</v>
      </c>
      <c r="I34" s="33" t="e">
        <f t="shared" si="12"/>
        <v>#DIV/0!</v>
      </c>
    </row>
    <row r="35" spans="4:9" x14ac:dyDescent="0.3">
      <c r="D35" s="33" t="e">
        <f t="shared" si="7"/>
        <v>#DIV/0!</v>
      </c>
      <c r="E35" s="11">
        <f t="shared" si="8"/>
        <v>0</v>
      </c>
      <c r="F35" s="11">
        <f t="shared" si="9"/>
        <v>0</v>
      </c>
      <c r="G35" s="83" t="e">
        <f t="shared" si="10"/>
        <v>#DIV/0!</v>
      </c>
      <c r="H35" s="33">
        <f t="shared" si="11"/>
        <v>0</v>
      </c>
      <c r="I35" s="33" t="e">
        <f t="shared" si="12"/>
        <v>#DIV/0!</v>
      </c>
    </row>
    <row r="36" spans="4:9" x14ac:dyDescent="0.3">
      <c r="D36" s="33" t="e">
        <f t="shared" si="7"/>
        <v>#DIV/0!</v>
      </c>
      <c r="E36" s="11">
        <f t="shared" si="8"/>
        <v>0</v>
      </c>
      <c r="F36" s="11">
        <f t="shared" si="9"/>
        <v>0</v>
      </c>
      <c r="G36" s="83" t="e">
        <f t="shared" si="10"/>
        <v>#DIV/0!</v>
      </c>
      <c r="H36" s="33">
        <f t="shared" si="11"/>
        <v>0</v>
      </c>
      <c r="I36" s="33" t="e">
        <f t="shared" si="12"/>
        <v>#DIV/0!</v>
      </c>
    </row>
    <row r="37" spans="4:9" x14ac:dyDescent="0.3">
      <c r="D37" s="33" t="e">
        <f t="shared" si="7"/>
        <v>#DIV/0!</v>
      </c>
      <c r="E37" s="11">
        <f t="shared" si="8"/>
        <v>0</v>
      </c>
      <c r="F37" s="11">
        <f t="shared" si="9"/>
        <v>0</v>
      </c>
      <c r="G37" s="83" t="e">
        <f t="shared" si="10"/>
        <v>#DIV/0!</v>
      </c>
      <c r="H37" s="33">
        <f t="shared" si="11"/>
        <v>0</v>
      </c>
      <c r="I37" s="33" t="e">
        <f t="shared" si="12"/>
        <v>#DIV/0!</v>
      </c>
    </row>
    <row r="38" spans="4:9" x14ac:dyDescent="0.3">
      <c r="D38" s="33" t="e">
        <f t="shared" si="1"/>
        <v>#DIV/0!</v>
      </c>
      <c r="E38" s="11">
        <f t="shared" si="2"/>
        <v>0</v>
      </c>
      <c r="F38" s="11">
        <f t="shared" si="0"/>
        <v>0</v>
      </c>
      <c r="G38" s="83" t="e">
        <f t="shared" si="6"/>
        <v>#DIV/0!</v>
      </c>
      <c r="H38" s="33">
        <f t="shared" si="3"/>
        <v>0</v>
      </c>
      <c r="I38" s="33" t="e">
        <f t="shared" si="5"/>
        <v>#DIV/0!</v>
      </c>
    </row>
    <row r="39" spans="4:9" x14ac:dyDescent="0.3">
      <c r="D39" s="33" t="e">
        <f t="shared" ref="D39:D44" si="13">I39</f>
        <v>#DIV/0!</v>
      </c>
      <c r="E39" s="11">
        <f t="shared" ref="E39:E44" si="14">B39 * 1.0936</f>
        <v>0</v>
      </c>
      <c r="F39" s="11">
        <f t="shared" ref="F39:F44" si="15">C39</f>
        <v>0</v>
      </c>
      <c r="G39" s="83" t="e">
        <f t="shared" ref="G39:G44" si="16">100- (F39/E39 *100)</f>
        <v>#DIV/0!</v>
      </c>
      <c r="H39" s="33">
        <f t="shared" ref="H39:H44" si="17">F39/1.0936</f>
        <v>0</v>
      </c>
      <c r="I39" s="33" t="e">
        <f t="shared" ref="I39:I44" si="18">((B39*48)+(H39*10))/C39</f>
        <v>#DIV/0!</v>
      </c>
    </row>
    <row r="40" spans="4:9" x14ac:dyDescent="0.3">
      <c r="D40" s="33" t="e">
        <f t="shared" si="13"/>
        <v>#DIV/0!</v>
      </c>
      <c r="E40" s="11">
        <f t="shared" si="14"/>
        <v>0</v>
      </c>
      <c r="F40" s="11">
        <f t="shared" si="15"/>
        <v>0</v>
      </c>
      <c r="G40" s="83" t="e">
        <f t="shared" si="16"/>
        <v>#DIV/0!</v>
      </c>
      <c r="H40" s="33">
        <f t="shared" si="17"/>
        <v>0</v>
      </c>
      <c r="I40" s="33" t="e">
        <f t="shared" si="18"/>
        <v>#DIV/0!</v>
      </c>
    </row>
    <row r="41" spans="4:9" x14ac:dyDescent="0.3">
      <c r="D41" s="33" t="e">
        <f t="shared" si="13"/>
        <v>#DIV/0!</v>
      </c>
      <c r="E41" s="11">
        <f t="shared" si="14"/>
        <v>0</v>
      </c>
      <c r="F41" s="11">
        <f t="shared" si="15"/>
        <v>0</v>
      </c>
      <c r="G41" s="83" t="e">
        <f t="shared" si="16"/>
        <v>#DIV/0!</v>
      </c>
      <c r="H41" s="33">
        <f t="shared" si="17"/>
        <v>0</v>
      </c>
      <c r="I41" s="33" t="e">
        <f t="shared" si="18"/>
        <v>#DIV/0!</v>
      </c>
    </row>
    <row r="42" spans="4:9" x14ac:dyDescent="0.3">
      <c r="D42" s="33" t="e">
        <f t="shared" si="13"/>
        <v>#DIV/0!</v>
      </c>
      <c r="E42" s="11">
        <f t="shared" si="14"/>
        <v>0</v>
      </c>
      <c r="F42" s="11">
        <f t="shared" si="15"/>
        <v>0</v>
      </c>
      <c r="G42" s="83" t="e">
        <f t="shared" si="16"/>
        <v>#DIV/0!</v>
      </c>
      <c r="H42" s="33">
        <f t="shared" si="17"/>
        <v>0</v>
      </c>
      <c r="I42" s="33" t="e">
        <f t="shared" si="18"/>
        <v>#DIV/0!</v>
      </c>
    </row>
    <row r="43" spans="4:9" x14ac:dyDescent="0.3">
      <c r="D43" s="33" t="e">
        <f t="shared" si="13"/>
        <v>#DIV/0!</v>
      </c>
      <c r="E43" s="11">
        <f t="shared" si="14"/>
        <v>0</v>
      </c>
      <c r="F43" s="11">
        <f t="shared" si="15"/>
        <v>0</v>
      </c>
      <c r="G43" s="83" t="e">
        <f t="shared" si="16"/>
        <v>#DIV/0!</v>
      </c>
      <c r="H43" s="33">
        <f t="shared" si="17"/>
        <v>0</v>
      </c>
      <c r="I43" s="33" t="e">
        <f t="shared" si="18"/>
        <v>#DIV/0!</v>
      </c>
    </row>
    <row r="44" spans="4:9" x14ac:dyDescent="0.3">
      <c r="D44" s="33" t="e">
        <f t="shared" si="13"/>
        <v>#DIV/0!</v>
      </c>
      <c r="E44" s="11">
        <f t="shared" si="14"/>
        <v>0</v>
      </c>
      <c r="F44" s="11">
        <f t="shared" si="15"/>
        <v>0</v>
      </c>
      <c r="G44" s="83" t="e">
        <f t="shared" si="16"/>
        <v>#DIV/0!</v>
      </c>
      <c r="H44" s="33">
        <f t="shared" si="17"/>
        <v>0</v>
      </c>
      <c r="I44" s="33" t="e">
        <f t="shared" si="18"/>
        <v>#DIV/0!</v>
      </c>
    </row>
    <row r="45" spans="4:9" x14ac:dyDescent="0.3">
      <c r="D45" s="33" t="e">
        <f t="shared" ref="D45:D58" si="19">I45</f>
        <v>#DIV/0!</v>
      </c>
      <c r="E45" s="11">
        <f t="shared" ref="E45:E58" si="20">B45 * 1.0936</f>
        <v>0</v>
      </c>
      <c r="F45" s="11">
        <f t="shared" ref="F45:F58" si="21">C45</f>
        <v>0</v>
      </c>
      <c r="G45" s="83" t="e">
        <f t="shared" ref="G45:G58" si="22">100- (F45/E45 *100)</f>
        <v>#DIV/0!</v>
      </c>
      <c r="H45" s="33">
        <f t="shared" ref="H45:H58" si="23">F45/1.0936</f>
        <v>0</v>
      </c>
      <c r="I45" s="33" t="e">
        <f t="shared" ref="I45:I58" si="24">((B45*48)+(H45*10))/C45</f>
        <v>#DIV/0!</v>
      </c>
    </row>
    <row r="46" spans="4:9" x14ac:dyDescent="0.3">
      <c r="D46" s="33" t="e">
        <f t="shared" si="19"/>
        <v>#DIV/0!</v>
      </c>
      <c r="E46" s="11">
        <f t="shared" si="20"/>
        <v>0</v>
      </c>
      <c r="F46" s="11">
        <f t="shared" si="21"/>
        <v>0</v>
      </c>
      <c r="G46" s="83" t="e">
        <f t="shared" si="22"/>
        <v>#DIV/0!</v>
      </c>
      <c r="H46" s="33">
        <f t="shared" si="23"/>
        <v>0</v>
      </c>
      <c r="I46" s="33" t="e">
        <f t="shared" si="24"/>
        <v>#DIV/0!</v>
      </c>
    </row>
    <row r="47" spans="4:9" x14ac:dyDescent="0.3">
      <c r="D47" s="33" t="e">
        <f t="shared" si="19"/>
        <v>#DIV/0!</v>
      </c>
      <c r="E47" s="11">
        <f t="shared" si="20"/>
        <v>0</v>
      </c>
      <c r="F47" s="11">
        <f t="shared" si="21"/>
        <v>0</v>
      </c>
      <c r="G47" s="83" t="e">
        <f t="shared" si="22"/>
        <v>#DIV/0!</v>
      </c>
      <c r="H47" s="33">
        <f t="shared" si="23"/>
        <v>0</v>
      </c>
      <c r="I47" s="33" t="e">
        <f t="shared" si="24"/>
        <v>#DIV/0!</v>
      </c>
    </row>
    <row r="48" spans="4:9" x14ac:dyDescent="0.3">
      <c r="D48" s="33" t="e">
        <f t="shared" si="19"/>
        <v>#DIV/0!</v>
      </c>
      <c r="E48" s="11">
        <f t="shared" si="20"/>
        <v>0</v>
      </c>
      <c r="F48" s="11">
        <f t="shared" si="21"/>
        <v>0</v>
      </c>
      <c r="G48" s="83" t="e">
        <f t="shared" si="22"/>
        <v>#DIV/0!</v>
      </c>
      <c r="H48" s="33">
        <f t="shared" si="23"/>
        <v>0</v>
      </c>
      <c r="I48" s="33" t="e">
        <f t="shared" si="24"/>
        <v>#DIV/0!</v>
      </c>
    </row>
    <row r="49" spans="4:9" x14ac:dyDescent="0.3">
      <c r="D49" s="33" t="e">
        <f t="shared" si="19"/>
        <v>#DIV/0!</v>
      </c>
      <c r="E49" s="11">
        <f t="shared" si="20"/>
        <v>0</v>
      </c>
      <c r="F49" s="11">
        <f t="shared" si="21"/>
        <v>0</v>
      </c>
      <c r="G49" s="83" t="e">
        <f t="shared" si="22"/>
        <v>#DIV/0!</v>
      </c>
      <c r="H49" s="33">
        <f t="shared" si="23"/>
        <v>0</v>
      </c>
      <c r="I49" s="33" t="e">
        <f t="shared" si="24"/>
        <v>#DIV/0!</v>
      </c>
    </row>
    <row r="50" spans="4:9" x14ac:dyDescent="0.3">
      <c r="D50" s="33" t="e">
        <f t="shared" si="19"/>
        <v>#DIV/0!</v>
      </c>
      <c r="E50" s="11">
        <f t="shared" si="20"/>
        <v>0</v>
      </c>
      <c r="F50" s="11">
        <f t="shared" si="21"/>
        <v>0</v>
      </c>
      <c r="G50" s="83" t="e">
        <f t="shared" si="22"/>
        <v>#DIV/0!</v>
      </c>
      <c r="H50" s="33">
        <f t="shared" si="23"/>
        <v>0</v>
      </c>
      <c r="I50" s="33" t="e">
        <f t="shared" si="24"/>
        <v>#DIV/0!</v>
      </c>
    </row>
    <row r="51" spans="4:9" x14ac:dyDescent="0.3">
      <c r="D51" s="33" t="e">
        <f t="shared" si="19"/>
        <v>#DIV/0!</v>
      </c>
      <c r="E51" s="11">
        <f t="shared" si="20"/>
        <v>0</v>
      </c>
      <c r="F51" s="11">
        <f t="shared" si="21"/>
        <v>0</v>
      </c>
      <c r="G51" s="83" t="e">
        <f t="shared" si="22"/>
        <v>#DIV/0!</v>
      </c>
      <c r="H51" s="33">
        <f t="shared" si="23"/>
        <v>0</v>
      </c>
      <c r="I51" s="33" t="e">
        <f t="shared" si="24"/>
        <v>#DIV/0!</v>
      </c>
    </row>
    <row r="52" spans="4:9" x14ac:dyDescent="0.3">
      <c r="D52" s="33" t="e">
        <f t="shared" si="19"/>
        <v>#DIV/0!</v>
      </c>
      <c r="E52" s="11">
        <f t="shared" si="20"/>
        <v>0</v>
      </c>
      <c r="F52" s="11">
        <f t="shared" si="21"/>
        <v>0</v>
      </c>
      <c r="G52" s="83" t="e">
        <f t="shared" si="22"/>
        <v>#DIV/0!</v>
      </c>
      <c r="H52" s="33">
        <f t="shared" si="23"/>
        <v>0</v>
      </c>
      <c r="I52" s="33" t="e">
        <f t="shared" si="24"/>
        <v>#DIV/0!</v>
      </c>
    </row>
    <row r="53" spans="4:9" x14ac:dyDescent="0.3">
      <c r="D53" s="33" t="e">
        <f t="shared" si="19"/>
        <v>#DIV/0!</v>
      </c>
      <c r="E53" s="11">
        <f t="shared" si="20"/>
        <v>0</v>
      </c>
      <c r="F53" s="11">
        <f t="shared" si="21"/>
        <v>0</v>
      </c>
      <c r="G53" s="83" t="e">
        <f t="shared" si="22"/>
        <v>#DIV/0!</v>
      </c>
      <c r="H53" s="33">
        <f t="shared" si="23"/>
        <v>0</v>
      </c>
      <c r="I53" s="33" t="e">
        <f t="shared" si="24"/>
        <v>#DIV/0!</v>
      </c>
    </row>
    <row r="54" spans="4:9" x14ac:dyDescent="0.3">
      <c r="D54" s="33" t="e">
        <f t="shared" si="19"/>
        <v>#DIV/0!</v>
      </c>
      <c r="E54" s="11">
        <f t="shared" si="20"/>
        <v>0</v>
      </c>
      <c r="F54" s="11">
        <f t="shared" si="21"/>
        <v>0</v>
      </c>
      <c r="G54" s="83" t="e">
        <f t="shared" si="22"/>
        <v>#DIV/0!</v>
      </c>
      <c r="H54" s="33">
        <f t="shared" si="23"/>
        <v>0</v>
      </c>
      <c r="I54" s="33" t="e">
        <f t="shared" si="24"/>
        <v>#DIV/0!</v>
      </c>
    </row>
    <row r="55" spans="4:9" x14ac:dyDescent="0.3">
      <c r="D55" s="33" t="e">
        <f t="shared" si="19"/>
        <v>#DIV/0!</v>
      </c>
      <c r="E55" s="11">
        <f t="shared" si="20"/>
        <v>0</v>
      </c>
      <c r="F55" s="11">
        <f t="shared" si="21"/>
        <v>0</v>
      </c>
      <c r="G55" s="83" t="e">
        <f t="shared" si="22"/>
        <v>#DIV/0!</v>
      </c>
      <c r="H55" s="33">
        <f t="shared" si="23"/>
        <v>0</v>
      </c>
      <c r="I55" s="33" t="e">
        <f t="shared" si="24"/>
        <v>#DIV/0!</v>
      </c>
    </row>
    <row r="56" spans="4:9" x14ac:dyDescent="0.3">
      <c r="D56" s="33" t="e">
        <f t="shared" si="19"/>
        <v>#DIV/0!</v>
      </c>
      <c r="E56" s="11">
        <f t="shared" si="20"/>
        <v>0</v>
      </c>
      <c r="F56" s="11">
        <f t="shared" si="21"/>
        <v>0</v>
      </c>
      <c r="G56" s="83" t="e">
        <f t="shared" si="22"/>
        <v>#DIV/0!</v>
      </c>
      <c r="H56" s="33">
        <f t="shared" si="23"/>
        <v>0</v>
      </c>
      <c r="I56" s="33" t="e">
        <f t="shared" si="24"/>
        <v>#DIV/0!</v>
      </c>
    </row>
    <row r="57" spans="4:9" x14ac:dyDescent="0.3">
      <c r="D57" s="33" t="e">
        <f t="shared" si="19"/>
        <v>#DIV/0!</v>
      </c>
      <c r="E57" s="11">
        <f t="shared" si="20"/>
        <v>0</v>
      </c>
      <c r="F57" s="11">
        <f t="shared" si="21"/>
        <v>0</v>
      </c>
      <c r="G57" s="83" t="e">
        <f t="shared" si="22"/>
        <v>#DIV/0!</v>
      </c>
      <c r="H57" s="33">
        <f t="shared" si="23"/>
        <v>0</v>
      </c>
      <c r="I57" s="33" t="e">
        <f t="shared" si="24"/>
        <v>#DIV/0!</v>
      </c>
    </row>
    <row r="58" spans="4:9" x14ac:dyDescent="0.3">
      <c r="D58" s="33" t="e">
        <f t="shared" si="19"/>
        <v>#DIV/0!</v>
      </c>
      <c r="E58" s="11">
        <f t="shared" si="20"/>
        <v>0</v>
      </c>
      <c r="F58" s="11">
        <f t="shared" si="21"/>
        <v>0</v>
      </c>
      <c r="G58" s="83" t="e">
        <f t="shared" si="22"/>
        <v>#DIV/0!</v>
      </c>
      <c r="H58" s="33">
        <f t="shared" si="23"/>
        <v>0</v>
      </c>
      <c r="I58" s="33" t="e">
        <f t="shared" si="24"/>
        <v>#DIV/0!</v>
      </c>
    </row>
    <row r="59" spans="4:9" x14ac:dyDescent="0.3">
      <c r="D59" s="33" t="e">
        <f t="shared" ref="D59:D73" si="25">I59</f>
        <v>#DIV/0!</v>
      </c>
      <c r="E59" s="11">
        <f t="shared" ref="E59:E73" si="26">B59 * 1.0936</f>
        <v>0</v>
      </c>
      <c r="F59" s="11">
        <f t="shared" ref="F59:F73" si="27">C59</f>
        <v>0</v>
      </c>
      <c r="G59" s="83" t="e">
        <f t="shared" ref="G59:G73" si="28">100- (F59/E59 *100)</f>
        <v>#DIV/0!</v>
      </c>
      <c r="H59" s="33">
        <f t="shared" ref="H59:H73" si="29">F59/1.0936</f>
        <v>0</v>
      </c>
      <c r="I59" s="33" t="e">
        <f t="shared" ref="I59:I73" si="30">((B59*48)+(H59*10))/C59</f>
        <v>#DIV/0!</v>
      </c>
    </row>
    <row r="60" spans="4:9" x14ac:dyDescent="0.3">
      <c r="D60" s="33" t="e">
        <f t="shared" si="25"/>
        <v>#DIV/0!</v>
      </c>
      <c r="E60" s="11">
        <f t="shared" si="26"/>
        <v>0</v>
      </c>
      <c r="F60" s="11">
        <f t="shared" si="27"/>
        <v>0</v>
      </c>
      <c r="G60" s="83" t="e">
        <f t="shared" si="28"/>
        <v>#DIV/0!</v>
      </c>
      <c r="H60" s="33">
        <f t="shared" si="29"/>
        <v>0</v>
      </c>
      <c r="I60" s="33" t="e">
        <f t="shared" si="30"/>
        <v>#DIV/0!</v>
      </c>
    </row>
    <row r="61" spans="4:9" x14ac:dyDescent="0.3">
      <c r="D61" s="33" t="e">
        <f t="shared" si="25"/>
        <v>#DIV/0!</v>
      </c>
      <c r="E61" s="11">
        <f t="shared" si="26"/>
        <v>0</v>
      </c>
      <c r="F61" s="11">
        <f t="shared" si="27"/>
        <v>0</v>
      </c>
      <c r="G61" s="83" t="e">
        <f t="shared" si="28"/>
        <v>#DIV/0!</v>
      </c>
      <c r="H61" s="33">
        <f t="shared" si="29"/>
        <v>0</v>
      </c>
      <c r="I61" s="33" t="e">
        <f t="shared" si="30"/>
        <v>#DIV/0!</v>
      </c>
    </row>
    <row r="62" spans="4:9" x14ac:dyDescent="0.3">
      <c r="D62" s="33" t="e">
        <f t="shared" si="25"/>
        <v>#DIV/0!</v>
      </c>
      <c r="E62" s="11">
        <f t="shared" si="26"/>
        <v>0</v>
      </c>
      <c r="F62" s="11">
        <f t="shared" si="27"/>
        <v>0</v>
      </c>
      <c r="G62" s="83" t="e">
        <f t="shared" si="28"/>
        <v>#DIV/0!</v>
      </c>
      <c r="H62" s="33">
        <f t="shared" si="29"/>
        <v>0</v>
      </c>
      <c r="I62" s="33" t="e">
        <f t="shared" si="30"/>
        <v>#DIV/0!</v>
      </c>
    </row>
    <row r="63" spans="4:9" x14ac:dyDescent="0.3">
      <c r="D63" s="33" t="e">
        <f t="shared" si="25"/>
        <v>#DIV/0!</v>
      </c>
      <c r="E63" s="11">
        <f t="shared" si="26"/>
        <v>0</v>
      </c>
      <c r="F63" s="11">
        <f t="shared" si="27"/>
        <v>0</v>
      </c>
      <c r="G63" s="83" t="e">
        <f t="shared" si="28"/>
        <v>#DIV/0!</v>
      </c>
      <c r="H63" s="33">
        <f t="shared" si="29"/>
        <v>0</v>
      </c>
      <c r="I63" s="33" t="e">
        <f t="shared" si="30"/>
        <v>#DIV/0!</v>
      </c>
    </row>
    <row r="64" spans="4:9" x14ac:dyDescent="0.3">
      <c r="D64" s="33" t="e">
        <f t="shared" si="25"/>
        <v>#DIV/0!</v>
      </c>
      <c r="E64" s="11">
        <f t="shared" si="26"/>
        <v>0</v>
      </c>
      <c r="F64" s="11">
        <f t="shared" si="27"/>
        <v>0</v>
      </c>
      <c r="G64" s="83" t="e">
        <f t="shared" si="28"/>
        <v>#DIV/0!</v>
      </c>
      <c r="H64" s="33">
        <f t="shared" si="29"/>
        <v>0</v>
      </c>
      <c r="I64" s="33" t="e">
        <f t="shared" si="30"/>
        <v>#DIV/0!</v>
      </c>
    </row>
    <row r="65" spans="4:9" x14ac:dyDescent="0.3">
      <c r="D65" s="33" t="e">
        <f t="shared" si="25"/>
        <v>#DIV/0!</v>
      </c>
      <c r="E65" s="11">
        <f t="shared" si="26"/>
        <v>0</v>
      </c>
      <c r="F65" s="11">
        <f t="shared" si="27"/>
        <v>0</v>
      </c>
      <c r="G65" s="83" t="e">
        <f t="shared" si="28"/>
        <v>#DIV/0!</v>
      </c>
      <c r="H65" s="33">
        <f t="shared" si="29"/>
        <v>0</v>
      </c>
      <c r="I65" s="33" t="e">
        <f t="shared" si="30"/>
        <v>#DIV/0!</v>
      </c>
    </row>
    <row r="66" spans="4:9" x14ac:dyDescent="0.3">
      <c r="D66" s="33" t="e">
        <f t="shared" si="25"/>
        <v>#DIV/0!</v>
      </c>
      <c r="E66" s="11">
        <f t="shared" si="26"/>
        <v>0</v>
      </c>
      <c r="F66" s="11">
        <f t="shared" si="27"/>
        <v>0</v>
      </c>
      <c r="G66" s="83" t="e">
        <f t="shared" si="28"/>
        <v>#DIV/0!</v>
      </c>
      <c r="H66" s="33">
        <f t="shared" si="29"/>
        <v>0</v>
      </c>
      <c r="I66" s="33" t="e">
        <f t="shared" si="30"/>
        <v>#DIV/0!</v>
      </c>
    </row>
    <row r="67" spans="4:9" x14ac:dyDescent="0.3">
      <c r="D67" s="33" t="e">
        <f t="shared" si="25"/>
        <v>#DIV/0!</v>
      </c>
      <c r="E67" s="11">
        <f t="shared" si="26"/>
        <v>0</v>
      </c>
      <c r="F67" s="11">
        <f t="shared" si="27"/>
        <v>0</v>
      </c>
      <c r="G67" s="83" t="e">
        <f t="shared" si="28"/>
        <v>#DIV/0!</v>
      </c>
      <c r="H67" s="33">
        <f t="shared" si="29"/>
        <v>0</v>
      </c>
      <c r="I67" s="33" t="e">
        <f t="shared" si="30"/>
        <v>#DIV/0!</v>
      </c>
    </row>
    <row r="68" spans="4:9" x14ac:dyDescent="0.3">
      <c r="D68" s="33" t="e">
        <f t="shared" si="25"/>
        <v>#DIV/0!</v>
      </c>
      <c r="E68" s="11">
        <f t="shared" si="26"/>
        <v>0</v>
      </c>
      <c r="F68" s="11">
        <f t="shared" si="27"/>
        <v>0</v>
      </c>
      <c r="G68" s="83" t="e">
        <f t="shared" si="28"/>
        <v>#DIV/0!</v>
      </c>
      <c r="H68" s="33">
        <f t="shared" si="29"/>
        <v>0</v>
      </c>
      <c r="I68" s="33" t="e">
        <f t="shared" si="30"/>
        <v>#DIV/0!</v>
      </c>
    </row>
    <row r="69" spans="4:9" x14ac:dyDescent="0.3">
      <c r="D69" s="33" t="e">
        <f t="shared" si="25"/>
        <v>#DIV/0!</v>
      </c>
      <c r="E69" s="11">
        <f t="shared" si="26"/>
        <v>0</v>
      </c>
      <c r="F69" s="11">
        <f t="shared" si="27"/>
        <v>0</v>
      </c>
      <c r="G69" s="83" t="e">
        <f t="shared" si="28"/>
        <v>#DIV/0!</v>
      </c>
      <c r="H69" s="33">
        <f t="shared" si="29"/>
        <v>0</v>
      </c>
      <c r="I69" s="33" t="e">
        <f t="shared" si="30"/>
        <v>#DIV/0!</v>
      </c>
    </row>
    <row r="70" spans="4:9" x14ac:dyDescent="0.3">
      <c r="D70" s="33" t="e">
        <f t="shared" si="25"/>
        <v>#DIV/0!</v>
      </c>
      <c r="E70" s="11">
        <f t="shared" si="26"/>
        <v>0</v>
      </c>
      <c r="F70" s="11">
        <f t="shared" si="27"/>
        <v>0</v>
      </c>
      <c r="G70" s="83" t="e">
        <f t="shared" si="28"/>
        <v>#DIV/0!</v>
      </c>
      <c r="H70" s="33">
        <f t="shared" si="29"/>
        <v>0</v>
      </c>
      <c r="I70" s="33" t="e">
        <f t="shared" si="30"/>
        <v>#DIV/0!</v>
      </c>
    </row>
    <row r="71" spans="4:9" x14ac:dyDescent="0.3">
      <c r="D71" s="33" t="e">
        <f t="shared" si="25"/>
        <v>#DIV/0!</v>
      </c>
      <c r="E71" s="11">
        <f t="shared" si="26"/>
        <v>0</v>
      </c>
      <c r="F71" s="11">
        <f t="shared" si="27"/>
        <v>0</v>
      </c>
      <c r="G71" s="83" t="e">
        <f t="shared" si="28"/>
        <v>#DIV/0!</v>
      </c>
      <c r="H71" s="33">
        <f t="shared" si="29"/>
        <v>0</v>
      </c>
      <c r="I71" s="33" t="e">
        <f t="shared" si="30"/>
        <v>#DIV/0!</v>
      </c>
    </row>
    <row r="72" spans="4:9" x14ac:dyDescent="0.3">
      <c r="D72" s="33" t="e">
        <f t="shared" si="25"/>
        <v>#DIV/0!</v>
      </c>
      <c r="E72" s="11">
        <f t="shared" si="26"/>
        <v>0</v>
      </c>
      <c r="F72" s="11">
        <f t="shared" si="27"/>
        <v>0</v>
      </c>
      <c r="G72" s="83" t="e">
        <f t="shared" si="28"/>
        <v>#DIV/0!</v>
      </c>
      <c r="H72" s="33">
        <f t="shared" si="29"/>
        <v>0</v>
      </c>
      <c r="I72" s="33" t="e">
        <f t="shared" si="30"/>
        <v>#DIV/0!</v>
      </c>
    </row>
    <row r="73" spans="4:9" x14ac:dyDescent="0.3">
      <c r="D73" s="33" t="e">
        <f t="shared" si="25"/>
        <v>#DIV/0!</v>
      </c>
      <c r="E73" s="11">
        <f t="shared" si="26"/>
        <v>0</v>
      </c>
      <c r="F73" s="11">
        <f t="shared" si="27"/>
        <v>0</v>
      </c>
      <c r="G73" s="83" t="e">
        <f t="shared" si="28"/>
        <v>#DIV/0!</v>
      </c>
      <c r="H73" s="33">
        <f t="shared" si="29"/>
        <v>0</v>
      </c>
      <c r="I73" s="33" t="e">
        <f t="shared" si="30"/>
        <v>#DIV/0!</v>
      </c>
    </row>
    <row r="74" spans="4:9" x14ac:dyDescent="0.3">
      <c r="D74" s="33" t="e">
        <f t="shared" ref="D74:D84" si="31">I74</f>
        <v>#DIV/0!</v>
      </c>
      <c r="E74" s="11">
        <f t="shared" ref="E74:E84" si="32">B74 * 1.0936</f>
        <v>0</v>
      </c>
      <c r="F74" s="11">
        <f t="shared" ref="F74:F84" si="33">C74</f>
        <v>0</v>
      </c>
      <c r="G74" s="83" t="e">
        <f t="shared" ref="G74:G84" si="34">100- (F74/E74 *100)</f>
        <v>#DIV/0!</v>
      </c>
      <c r="H74" s="33">
        <f t="shared" ref="H74:H84" si="35">F74/1.0936</f>
        <v>0</v>
      </c>
      <c r="I74" s="33" t="e">
        <f t="shared" ref="I74:I84" si="36">((B74*48)+(H74*10))/C74</f>
        <v>#DIV/0!</v>
      </c>
    </row>
    <row r="75" spans="4:9" x14ac:dyDescent="0.3">
      <c r="D75" s="33" t="e">
        <f t="shared" si="31"/>
        <v>#DIV/0!</v>
      </c>
      <c r="E75" s="11">
        <f t="shared" si="32"/>
        <v>0</v>
      </c>
      <c r="F75" s="11">
        <f t="shared" si="33"/>
        <v>0</v>
      </c>
      <c r="G75" s="83" t="e">
        <f t="shared" si="34"/>
        <v>#DIV/0!</v>
      </c>
      <c r="H75" s="33">
        <f t="shared" si="35"/>
        <v>0</v>
      </c>
      <c r="I75" s="33" t="e">
        <f t="shared" si="36"/>
        <v>#DIV/0!</v>
      </c>
    </row>
    <row r="76" spans="4:9" x14ac:dyDescent="0.3">
      <c r="D76" s="33" t="e">
        <f t="shared" si="31"/>
        <v>#DIV/0!</v>
      </c>
      <c r="E76" s="11">
        <f t="shared" si="32"/>
        <v>0</v>
      </c>
      <c r="F76" s="11">
        <f t="shared" si="33"/>
        <v>0</v>
      </c>
      <c r="G76" s="83" t="e">
        <f t="shared" si="34"/>
        <v>#DIV/0!</v>
      </c>
      <c r="H76" s="33">
        <f t="shared" si="35"/>
        <v>0</v>
      </c>
      <c r="I76" s="33" t="e">
        <f t="shared" si="36"/>
        <v>#DIV/0!</v>
      </c>
    </row>
    <row r="77" spans="4:9" x14ac:dyDescent="0.3">
      <c r="D77" s="33" t="e">
        <f t="shared" si="31"/>
        <v>#DIV/0!</v>
      </c>
      <c r="E77" s="11">
        <f t="shared" si="32"/>
        <v>0</v>
      </c>
      <c r="F77" s="11">
        <f t="shared" si="33"/>
        <v>0</v>
      </c>
      <c r="G77" s="83" t="e">
        <f t="shared" si="34"/>
        <v>#DIV/0!</v>
      </c>
      <c r="H77" s="33">
        <f t="shared" si="35"/>
        <v>0</v>
      </c>
      <c r="I77" s="33" t="e">
        <f t="shared" si="36"/>
        <v>#DIV/0!</v>
      </c>
    </row>
    <row r="78" spans="4:9" x14ac:dyDescent="0.3">
      <c r="D78" s="33" t="e">
        <f t="shared" si="31"/>
        <v>#DIV/0!</v>
      </c>
      <c r="E78" s="11">
        <f t="shared" si="32"/>
        <v>0</v>
      </c>
      <c r="F78" s="11">
        <f t="shared" si="33"/>
        <v>0</v>
      </c>
      <c r="G78" s="83" t="e">
        <f t="shared" si="34"/>
        <v>#DIV/0!</v>
      </c>
      <c r="H78" s="33">
        <f t="shared" si="35"/>
        <v>0</v>
      </c>
      <c r="I78" s="33" t="e">
        <f t="shared" si="36"/>
        <v>#DIV/0!</v>
      </c>
    </row>
    <row r="79" spans="4:9" x14ac:dyDescent="0.3">
      <c r="D79" s="33" t="e">
        <f t="shared" si="31"/>
        <v>#DIV/0!</v>
      </c>
      <c r="E79" s="11">
        <f t="shared" si="32"/>
        <v>0</v>
      </c>
      <c r="F79" s="11">
        <f t="shared" si="33"/>
        <v>0</v>
      </c>
      <c r="G79" s="83" t="e">
        <f t="shared" si="34"/>
        <v>#DIV/0!</v>
      </c>
      <c r="H79" s="33">
        <f t="shared" si="35"/>
        <v>0</v>
      </c>
      <c r="I79" s="33" t="e">
        <f t="shared" si="36"/>
        <v>#DIV/0!</v>
      </c>
    </row>
    <row r="80" spans="4:9" x14ac:dyDescent="0.3">
      <c r="D80" s="33" t="e">
        <f t="shared" si="31"/>
        <v>#DIV/0!</v>
      </c>
      <c r="E80" s="11">
        <f t="shared" si="32"/>
        <v>0</v>
      </c>
      <c r="F80" s="11">
        <f t="shared" si="33"/>
        <v>0</v>
      </c>
      <c r="G80" s="83" t="e">
        <f t="shared" si="34"/>
        <v>#DIV/0!</v>
      </c>
      <c r="H80" s="33">
        <f t="shared" si="35"/>
        <v>0</v>
      </c>
      <c r="I80" s="33" t="e">
        <f t="shared" si="36"/>
        <v>#DIV/0!</v>
      </c>
    </row>
    <row r="81" spans="4:9" x14ac:dyDescent="0.3">
      <c r="D81" s="33" t="e">
        <f t="shared" si="31"/>
        <v>#DIV/0!</v>
      </c>
      <c r="E81" s="11">
        <f t="shared" si="32"/>
        <v>0</v>
      </c>
      <c r="F81" s="11">
        <f t="shared" si="33"/>
        <v>0</v>
      </c>
      <c r="G81" s="83" t="e">
        <f t="shared" si="34"/>
        <v>#DIV/0!</v>
      </c>
      <c r="H81" s="33">
        <f t="shared" si="35"/>
        <v>0</v>
      </c>
      <c r="I81" s="33" t="e">
        <f t="shared" si="36"/>
        <v>#DIV/0!</v>
      </c>
    </row>
    <row r="82" spans="4:9" x14ac:dyDescent="0.3">
      <c r="D82" s="33" t="e">
        <f t="shared" si="31"/>
        <v>#DIV/0!</v>
      </c>
      <c r="E82" s="11">
        <f t="shared" si="32"/>
        <v>0</v>
      </c>
      <c r="F82" s="11">
        <f t="shared" si="33"/>
        <v>0</v>
      </c>
      <c r="G82" s="83" t="e">
        <f t="shared" si="34"/>
        <v>#DIV/0!</v>
      </c>
      <c r="H82" s="33">
        <f t="shared" si="35"/>
        <v>0</v>
      </c>
      <c r="I82" s="33" t="e">
        <f t="shared" si="36"/>
        <v>#DIV/0!</v>
      </c>
    </row>
    <row r="83" spans="4:9" x14ac:dyDescent="0.3">
      <c r="D83" s="33" t="e">
        <f t="shared" si="31"/>
        <v>#DIV/0!</v>
      </c>
      <c r="E83" s="11">
        <f t="shared" si="32"/>
        <v>0</v>
      </c>
      <c r="F83" s="11">
        <f t="shared" si="33"/>
        <v>0</v>
      </c>
      <c r="G83" s="83" t="e">
        <f t="shared" si="34"/>
        <v>#DIV/0!</v>
      </c>
      <c r="H83" s="33">
        <f t="shared" si="35"/>
        <v>0</v>
      </c>
      <c r="I83" s="33" t="e">
        <f t="shared" si="36"/>
        <v>#DIV/0!</v>
      </c>
    </row>
    <row r="84" spans="4:9" x14ac:dyDescent="0.3">
      <c r="D84" s="33" t="e">
        <f t="shared" si="31"/>
        <v>#DIV/0!</v>
      </c>
      <c r="E84" s="11">
        <f t="shared" si="32"/>
        <v>0</v>
      </c>
      <c r="F84" s="11">
        <f t="shared" si="33"/>
        <v>0</v>
      </c>
      <c r="G84" s="83" t="e">
        <f t="shared" si="34"/>
        <v>#DIV/0!</v>
      </c>
      <c r="H84" s="33">
        <f t="shared" si="35"/>
        <v>0</v>
      </c>
      <c r="I84" s="33" t="e">
        <f t="shared" si="36"/>
        <v>#DIV/0!</v>
      </c>
    </row>
    <row r="85" spans="4:9" x14ac:dyDescent="0.3">
      <c r="D85" s="33" t="e">
        <f t="shared" ref="D85:D119" si="37">I85</f>
        <v>#DIV/0!</v>
      </c>
      <c r="E85" s="11">
        <f t="shared" ref="E85:E119" si="38">B85 * 1.0936</f>
        <v>0</v>
      </c>
      <c r="F85" s="11">
        <f t="shared" ref="F85:F119" si="39">C85</f>
        <v>0</v>
      </c>
      <c r="G85" s="83" t="e">
        <f t="shared" ref="G85:G119" si="40">100- (F85/E85 *100)</f>
        <v>#DIV/0!</v>
      </c>
      <c r="H85" s="33">
        <f t="shared" ref="H85:H119" si="41">F85/1.0936</f>
        <v>0</v>
      </c>
      <c r="I85" s="33" t="e">
        <f t="shared" ref="I85:I119" si="42">((B85*48)+(H85*10))/C85</f>
        <v>#DIV/0!</v>
      </c>
    </row>
    <row r="86" spans="4:9" x14ac:dyDescent="0.3">
      <c r="D86" s="33" t="e">
        <f t="shared" si="37"/>
        <v>#DIV/0!</v>
      </c>
      <c r="E86" s="11">
        <f t="shared" si="38"/>
        <v>0</v>
      </c>
      <c r="F86" s="11">
        <f t="shared" si="39"/>
        <v>0</v>
      </c>
      <c r="G86" s="83" t="e">
        <f t="shared" si="40"/>
        <v>#DIV/0!</v>
      </c>
      <c r="H86" s="33">
        <f t="shared" si="41"/>
        <v>0</v>
      </c>
      <c r="I86" s="33" t="e">
        <f t="shared" si="42"/>
        <v>#DIV/0!</v>
      </c>
    </row>
    <row r="87" spans="4:9" x14ac:dyDescent="0.3">
      <c r="D87" s="33" t="e">
        <f t="shared" si="37"/>
        <v>#DIV/0!</v>
      </c>
      <c r="E87" s="11">
        <f t="shared" si="38"/>
        <v>0</v>
      </c>
      <c r="F87" s="11">
        <f t="shared" si="39"/>
        <v>0</v>
      </c>
      <c r="G87" s="83" t="e">
        <f t="shared" si="40"/>
        <v>#DIV/0!</v>
      </c>
      <c r="H87" s="33">
        <f t="shared" si="41"/>
        <v>0</v>
      </c>
      <c r="I87" s="33" t="e">
        <f t="shared" si="42"/>
        <v>#DIV/0!</v>
      </c>
    </row>
    <row r="88" spans="4:9" x14ac:dyDescent="0.3">
      <c r="D88" s="33" t="e">
        <f t="shared" si="37"/>
        <v>#DIV/0!</v>
      </c>
      <c r="E88" s="11">
        <f t="shared" si="38"/>
        <v>0</v>
      </c>
      <c r="F88" s="11">
        <f t="shared" si="39"/>
        <v>0</v>
      </c>
      <c r="G88" s="83" t="e">
        <f t="shared" si="40"/>
        <v>#DIV/0!</v>
      </c>
      <c r="H88" s="33">
        <f t="shared" si="41"/>
        <v>0</v>
      </c>
      <c r="I88" s="33" t="e">
        <f t="shared" si="42"/>
        <v>#DIV/0!</v>
      </c>
    </row>
    <row r="89" spans="4:9" x14ac:dyDescent="0.3">
      <c r="D89" s="33" t="e">
        <f t="shared" si="37"/>
        <v>#DIV/0!</v>
      </c>
      <c r="E89" s="11">
        <f t="shared" si="38"/>
        <v>0</v>
      </c>
      <c r="F89" s="11">
        <f t="shared" si="39"/>
        <v>0</v>
      </c>
      <c r="G89" s="83" t="e">
        <f t="shared" si="40"/>
        <v>#DIV/0!</v>
      </c>
      <c r="H89" s="33">
        <f t="shared" si="41"/>
        <v>0</v>
      </c>
      <c r="I89" s="33" t="e">
        <f t="shared" si="42"/>
        <v>#DIV/0!</v>
      </c>
    </row>
    <row r="90" spans="4:9" x14ac:dyDescent="0.3">
      <c r="D90" s="33" t="e">
        <f t="shared" si="37"/>
        <v>#DIV/0!</v>
      </c>
      <c r="E90" s="11">
        <f t="shared" si="38"/>
        <v>0</v>
      </c>
      <c r="F90" s="11">
        <f t="shared" si="39"/>
        <v>0</v>
      </c>
      <c r="G90" s="83" t="e">
        <f t="shared" si="40"/>
        <v>#DIV/0!</v>
      </c>
      <c r="H90" s="33">
        <f t="shared" si="41"/>
        <v>0</v>
      </c>
      <c r="I90" s="33" t="e">
        <f t="shared" si="42"/>
        <v>#DIV/0!</v>
      </c>
    </row>
    <row r="91" spans="4:9" x14ac:dyDescent="0.3">
      <c r="D91" s="33" t="e">
        <f t="shared" si="37"/>
        <v>#DIV/0!</v>
      </c>
      <c r="E91" s="11">
        <f t="shared" si="38"/>
        <v>0</v>
      </c>
      <c r="F91" s="11">
        <f t="shared" si="39"/>
        <v>0</v>
      </c>
      <c r="G91" s="83" t="e">
        <f t="shared" si="40"/>
        <v>#DIV/0!</v>
      </c>
      <c r="H91" s="33">
        <f t="shared" si="41"/>
        <v>0</v>
      </c>
      <c r="I91" s="33" t="e">
        <f t="shared" si="42"/>
        <v>#DIV/0!</v>
      </c>
    </row>
    <row r="92" spans="4:9" x14ac:dyDescent="0.3">
      <c r="D92" s="33" t="e">
        <f t="shared" si="37"/>
        <v>#DIV/0!</v>
      </c>
      <c r="E92" s="11">
        <f t="shared" si="38"/>
        <v>0</v>
      </c>
      <c r="F92" s="11">
        <f t="shared" si="39"/>
        <v>0</v>
      </c>
      <c r="G92" s="83" t="e">
        <f t="shared" si="40"/>
        <v>#DIV/0!</v>
      </c>
      <c r="H92" s="33">
        <f t="shared" si="41"/>
        <v>0</v>
      </c>
      <c r="I92" s="33" t="e">
        <f t="shared" si="42"/>
        <v>#DIV/0!</v>
      </c>
    </row>
    <row r="93" spans="4:9" x14ac:dyDescent="0.3">
      <c r="D93" s="33" t="e">
        <f t="shared" si="37"/>
        <v>#DIV/0!</v>
      </c>
      <c r="E93" s="11">
        <f t="shared" si="38"/>
        <v>0</v>
      </c>
      <c r="F93" s="11">
        <f t="shared" si="39"/>
        <v>0</v>
      </c>
      <c r="G93" s="83" t="e">
        <f t="shared" si="40"/>
        <v>#DIV/0!</v>
      </c>
      <c r="H93" s="33">
        <f t="shared" si="41"/>
        <v>0</v>
      </c>
      <c r="I93" s="33" t="e">
        <f t="shared" si="42"/>
        <v>#DIV/0!</v>
      </c>
    </row>
    <row r="94" spans="4:9" x14ac:dyDescent="0.3">
      <c r="D94" s="33" t="e">
        <f t="shared" si="37"/>
        <v>#DIV/0!</v>
      </c>
      <c r="E94" s="11">
        <f t="shared" si="38"/>
        <v>0</v>
      </c>
      <c r="F94" s="11">
        <f t="shared" si="39"/>
        <v>0</v>
      </c>
      <c r="G94" s="83" t="e">
        <f t="shared" si="40"/>
        <v>#DIV/0!</v>
      </c>
      <c r="H94" s="33">
        <f t="shared" si="41"/>
        <v>0</v>
      </c>
      <c r="I94" s="33" t="e">
        <f t="shared" si="42"/>
        <v>#DIV/0!</v>
      </c>
    </row>
    <row r="95" spans="4:9" x14ac:dyDescent="0.3">
      <c r="D95" s="33" t="e">
        <f t="shared" si="37"/>
        <v>#DIV/0!</v>
      </c>
      <c r="E95" s="11">
        <f t="shared" si="38"/>
        <v>0</v>
      </c>
      <c r="F95" s="11">
        <f t="shared" si="39"/>
        <v>0</v>
      </c>
      <c r="G95" s="83" t="e">
        <f t="shared" si="40"/>
        <v>#DIV/0!</v>
      </c>
      <c r="H95" s="33">
        <f t="shared" si="41"/>
        <v>0</v>
      </c>
      <c r="I95" s="33" t="e">
        <f t="shared" si="42"/>
        <v>#DIV/0!</v>
      </c>
    </row>
    <row r="96" spans="4:9" x14ac:dyDescent="0.3">
      <c r="D96" s="33" t="e">
        <f t="shared" si="37"/>
        <v>#DIV/0!</v>
      </c>
      <c r="E96" s="11">
        <f t="shared" si="38"/>
        <v>0</v>
      </c>
      <c r="F96" s="11">
        <f t="shared" si="39"/>
        <v>0</v>
      </c>
      <c r="G96" s="83" t="e">
        <f t="shared" si="40"/>
        <v>#DIV/0!</v>
      </c>
      <c r="H96" s="33">
        <f t="shared" si="41"/>
        <v>0</v>
      </c>
      <c r="I96" s="33" t="e">
        <f t="shared" si="42"/>
        <v>#DIV/0!</v>
      </c>
    </row>
    <row r="97" spans="4:9" x14ac:dyDescent="0.3">
      <c r="D97" s="33" t="e">
        <f t="shared" si="37"/>
        <v>#DIV/0!</v>
      </c>
      <c r="E97" s="11">
        <f t="shared" si="38"/>
        <v>0</v>
      </c>
      <c r="F97" s="11">
        <f t="shared" si="39"/>
        <v>0</v>
      </c>
      <c r="G97" s="83" t="e">
        <f t="shared" si="40"/>
        <v>#DIV/0!</v>
      </c>
      <c r="H97" s="33">
        <f t="shared" si="41"/>
        <v>0</v>
      </c>
      <c r="I97" s="33" t="e">
        <f t="shared" si="42"/>
        <v>#DIV/0!</v>
      </c>
    </row>
    <row r="98" spans="4:9" x14ac:dyDescent="0.3">
      <c r="D98" s="33" t="e">
        <f t="shared" si="37"/>
        <v>#DIV/0!</v>
      </c>
      <c r="E98" s="11">
        <f t="shared" si="38"/>
        <v>0</v>
      </c>
      <c r="F98" s="11">
        <f t="shared" si="39"/>
        <v>0</v>
      </c>
      <c r="G98" s="83" t="e">
        <f t="shared" si="40"/>
        <v>#DIV/0!</v>
      </c>
      <c r="H98" s="33">
        <f t="shared" si="41"/>
        <v>0</v>
      </c>
      <c r="I98" s="33" t="e">
        <f t="shared" si="42"/>
        <v>#DIV/0!</v>
      </c>
    </row>
    <row r="99" spans="4:9" x14ac:dyDescent="0.3">
      <c r="D99" s="33" t="e">
        <f t="shared" si="37"/>
        <v>#DIV/0!</v>
      </c>
      <c r="E99" s="11">
        <f t="shared" si="38"/>
        <v>0</v>
      </c>
      <c r="F99" s="11">
        <f t="shared" si="39"/>
        <v>0</v>
      </c>
      <c r="G99" s="83" t="e">
        <f t="shared" si="40"/>
        <v>#DIV/0!</v>
      </c>
      <c r="H99" s="33">
        <f t="shared" si="41"/>
        <v>0</v>
      </c>
      <c r="I99" s="33" t="e">
        <f t="shared" si="42"/>
        <v>#DIV/0!</v>
      </c>
    </row>
    <row r="100" spans="4:9" x14ac:dyDescent="0.3">
      <c r="D100" s="33" t="e">
        <f t="shared" si="37"/>
        <v>#DIV/0!</v>
      </c>
      <c r="E100" s="11">
        <f t="shared" si="38"/>
        <v>0</v>
      </c>
      <c r="F100" s="11">
        <f t="shared" si="39"/>
        <v>0</v>
      </c>
      <c r="G100" s="83" t="e">
        <f t="shared" si="40"/>
        <v>#DIV/0!</v>
      </c>
      <c r="H100" s="33">
        <f t="shared" si="41"/>
        <v>0</v>
      </c>
      <c r="I100" s="33" t="e">
        <f t="shared" si="42"/>
        <v>#DIV/0!</v>
      </c>
    </row>
    <row r="101" spans="4:9" x14ac:dyDescent="0.3">
      <c r="D101" s="33" t="e">
        <f t="shared" si="37"/>
        <v>#DIV/0!</v>
      </c>
      <c r="E101" s="11">
        <f t="shared" si="38"/>
        <v>0</v>
      </c>
      <c r="F101" s="11">
        <f t="shared" si="39"/>
        <v>0</v>
      </c>
      <c r="G101" s="83" t="e">
        <f t="shared" si="40"/>
        <v>#DIV/0!</v>
      </c>
      <c r="H101" s="33">
        <f t="shared" si="41"/>
        <v>0</v>
      </c>
      <c r="I101" s="33" t="e">
        <f t="shared" si="42"/>
        <v>#DIV/0!</v>
      </c>
    </row>
    <row r="102" spans="4:9" x14ac:dyDescent="0.3">
      <c r="D102" s="33" t="e">
        <f t="shared" si="37"/>
        <v>#DIV/0!</v>
      </c>
      <c r="E102" s="11">
        <f t="shared" si="38"/>
        <v>0</v>
      </c>
      <c r="F102" s="11">
        <f t="shared" si="39"/>
        <v>0</v>
      </c>
      <c r="G102" s="83" t="e">
        <f t="shared" si="40"/>
        <v>#DIV/0!</v>
      </c>
      <c r="H102" s="33">
        <f t="shared" si="41"/>
        <v>0</v>
      </c>
      <c r="I102" s="33" t="e">
        <f t="shared" si="42"/>
        <v>#DIV/0!</v>
      </c>
    </row>
    <row r="103" spans="4:9" x14ac:dyDescent="0.3">
      <c r="D103" s="33" t="e">
        <f t="shared" si="37"/>
        <v>#DIV/0!</v>
      </c>
      <c r="E103" s="11">
        <f t="shared" si="38"/>
        <v>0</v>
      </c>
      <c r="F103" s="11">
        <f t="shared" si="39"/>
        <v>0</v>
      </c>
      <c r="G103" s="83" t="e">
        <f t="shared" si="40"/>
        <v>#DIV/0!</v>
      </c>
      <c r="H103" s="33">
        <f t="shared" si="41"/>
        <v>0</v>
      </c>
      <c r="I103" s="33" t="e">
        <f t="shared" si="42"/>
        <v>#DIV/0!</v>
      </c>
    </row>
    <row r="104" spans="4:9" x14ac:dyDescent="0.3">
      <c r="D104" s="33" t="e">
        <f t="shared" si="37"/>
        <v>#DIV/0!</v>
      </c>
      <c r="E104" s="11">
        <f t="shared" si="38"/>
        <v>0</v>
      </c>
      <c r="F104" s="11">
        <f t="shared" si="39"/>
        <v>0</v>
      </c>
      <c r="G104" s="83" t="e">
        <f t="shared" si="40"/>
        <v>#DIV/0!</v>
      </c>
      <c r="H104" s="33">
        <f t="shared" si="41"/>
        <v>0</v>
      </c>
      <c r="I104" s="33" t="e">
        <f t="shared" si="42"/>
        <v>#DIV/0!</v>
      </c>
    </row>
    <row r="105" spans="4:9" x14ac:dyDescent="0.3">
      <c r="D105" s="33" t="e">
        <f t="shared" si="37"/>
        <v>#DIV/0!</v>
      </c>
      <c r="E105" s="11">
        <f t="shared" si="38"/>
        <v>0</v>
      </c>
      <c r="F105" s="11">
        <f t="shared" si="39"/>
        <v>0</v>
      </c>
      <c r="G105" s="83" t="e">
        <f t="shared" si="40"/>
        <v>#DIV/0!</v>
      </c>
      <c r="H105" s="33">
        <f t="shared" si="41"/>
        <v>0</v>
      </c>
      <c r="I105" s="33" t="e">
        <f t="shared" si="42"/>
        <v>#DIV/0!</v>
      </c>
    </row>
    <row r="106" spans="4:9" x14ac:dyDescent="0.3">
      <c r="D106" s="33" t="e">
        <f t="shared" si="37"/>
        <v>#DIV/0!</v>
      </c>
      <c r="E106" s="11">
        <f t="shared" si="38"/>
        <v>0</v>
      </c>
      <c r="F106" s="11">
        <f t="shared" si="39"/>
        <v>0</v>
      </c>
      <c r="G106" s="83" t="e">
        <f t="shared" si="40"/>
        <v>#DIV/0!</v>
      </c>
      <c r="H106" s="33">
        <f t="shared" si="41"/>
        <v>0</v>
      </c>
      <c r="I106" s="33" t="e">
        <f t="shared" si="42"/>
        <v>#DIV/0!</v>
      </c>
    </row>
    <row r="107" spans="4:9" x14ac:dyDescent="0.3">
      <c r="D107" s="33" t="e">
        <f t="shared" si="37"/>
        <v>#DIV/0!</v>
      </c>
      <c r="E107" s="11">
        <f t="shared" si="38"/>
        <v>0</v>
      </c>
      <c r="F107" s="11">
        <f t="shared" si="39"/>
        <v>0</v>
      </c>
      <c r="G107" s="83" t="e">
        <f t="shared" si="40"/>
        <v>#DIV/0!</v>
      </c>
      <c r="H107" s="33">
        <f t="shared" si="41"/>
        <v>0</v>
      </c>
      <c r="I107" s="33" t="e">
        <f t="shared" si="42"/>
        <v>#DIV/0!</v>
      </c>
    </row>
    <row r="108" spans="4:9" x14ac:dyDescent="0.3">
      <c r="D108" s="33" t="e">
        <f t="shared" si="37"/>
        <v>#DIV/0!</v>
      </c>
      <c r="E108" s="11">
        <f t="shared" si="38"/>
        <v>0</v>
      </c>
      <c r="F108" s="11">
        <f t="shared" si="39"/>
        <v>0</v>
      </c>
      <c r="G108" s="83" t="e">
        <f t="shared" si="40"/>
        <v>#DIV/0!</v>
      </c>
      <c r="H108" s="33">
        <f t="shared" si="41"/>
        <v>0</v>
      </c>
      <c r="I108" s="33" t="e">
        <f t="shared" si="42"/>
        <v>#DIV/0!</v>
      </c>
    </row>
    <row r="109" spans="4:9" x14ac:dyDescent="0.3">
      <c r="D109" s="33" t="e">
        <f t="shared" si="37"/>
        <v>#DIV/0!</v>
      </c>
      <c r="E109" s="11">
        <f t="shared" si="38"/>
        <v>0</v>
      </c>
      <c r="F109" s="11">
        <f t="shared" si="39"/>
        <v>0</v>
      </c>
      <c r="G109" s="83" t="e">
        <f t="shared" si="40"/>
        <v>#DIV/0!</v>
      </c>
      <c r="H109" s="33">
        <f t="shared" si="41"/>
        <v>0</v>
      </c>
      <c r="I109" s="33" t="e">
        <f t="shared" si="42"/>
        <v>#DIV/0!</v>
      </c>
    </row>
    <row r="110" spans="4:9" x14ac:dyDescent="0.3">
      <c r="D110" s="33" t="e">
        <f t="shared" si="37"/>
        <v>#DIV/0!</v>
      </c>
      <c r="E110" s="11">
        <f t="shared" si="38"/>
        <v>0</v>
      </c>
      <c r="F110" s="11">
        <f t="shared" si="39"/>
        <v>0</v>
      </c>
      <c r="G110" s="83" t="e">
        <f t="shared" si="40"/>
        <v>#DIV/0!</v>
      </c>
      <c r="H110" s="33">
        <f t="shared" si="41"/>
        <v>0</v>
      </c>
      <c r="I110" s="33" t="e">
        <f t="shared" si="42"/>
        <v>#DIV/0!</v>
      </c>
    </row>
    <row r="111" spans="4:9" x14ac:dyDescent="0.3">
      <c r="D111" s="33" t="e">
        <f t="shared" si="37"/>
        <v>#DIV/0!</v>
      </c>
      <c r="E111" s="11">
        <f t="shared" si="38"/>
        <v>0</v>
      </c>
      <c r="F111" s="11">
        <f t="shared" si="39"/>
        <v>0</v>
      </c>
      <c r="G111" s="83" t="e">
        <f t="shared" si="40"/>
        <v>#DIV/0!</v>
      </c>
      <c r="H111" s="33">
        <f t="shared" si="41"/>
        <v>0</v>
      </c>
      <c r="I111" s="33" t="e">
        <f t="shared" si="42"/>
        <v>#DIV/0!</v>
      </c>
    </row>
    <row r="112" spans="4:9" x14ac:dyDescent="0.3">
      <c r="D112" s="33" t="e">
        <f t="shared" si="37"/>
        <v>#DIV/0!</v>
      </c>
      <c r="E112" s="11">
        <f t="shared" si="38"/>
        <v>0</v>
      </c>
      <c r="F112" s="11">
        <f t="shared" si="39"/>
        <v>0</v>
      </c>
      <c r="G112" s="83" t="e">
        <f t="shared" si="40"/>
        <v>#DIV/0!</v>
      </c>
      <c r="H112" s="33">
        <f t="shared" si="41"/>
        <v>0</v>
      </c>
      <c r="I112" s="33" t="e">
        <f t="shared" si="42"/>
        <v>#DIV/0!</v>
      </c>
    </row>
    <row r="113" spans="4:9" x14ac:dyDescent="0.3">
      <c r="D113" s="33" t="e">
        <f t="shared" si="37"/>
        <v>#DIV/0!</v>
      </c>
      <c r="E113" s="11">
        <f t="shared" si="38"/>
        <v>0</v>
      </c>
      <c r="F113" s="11">
        <f t="shared" si="39"/>
        <v>0</v>
      </c>
      <c r="G113" s="83" t="e">
        <f t="shared" si="40"/>
        <v>#DIV/0!</v>
      </c>
      <c r="H113" s="33">
        <f t="shared" si="41"/>
        <v>0</v>
      </c>
      <c r="I113" s="33" t="e">
        <f t="shared" si="42"/>
        <v>#DIV/0!</v>
      </c>
    </row>
    <row r="114" spans="4:9" x14ac:dyDescent="0.3">
      <c r="D114" s="33" t="e">
        <f t="shared" si="37"/>
        <v>#DIV/0!</v>
      </c>
      <c r="E114" s="11">
        <f t="shared" si="38"/>
        <v>0</v>
      </c>
      <c r="F114" s="11">
        <f t="shared" si="39"/>
        <v>0</v>
      </c>
      <c r="G114" s="83" t="e">
        <f t="shared" si="40"/>
        <v>#DIV/0!</v>
      </c>
      <c r="H114" s="33">
        <f t="shared" si="41"/>
        <v>0</v>
      </c>
      <c r="I114" s="33" t="e">
        <f t="shared" si="42"/>
        <v>#DIV/0!</v>
      </c>
    </row>
    <row r="115" spans="4:9" x14ac:dyDescent="0.3">
      <c r="D115" s="33" t="e">
        <f t="shared" si="37"/>
        <v>#DIV/0!</v>
      </c>
      <c r="E115" s="11">
        <f t="shared" si="38"/>
        <v>0</v>
      </c>
      <c r="F115" s="11">
        <f t="shared" si="39"/>
        <v>0</v>
      </c>
      <c r="G115" s="83" t="e">
        <f t="shared" si="40"/>
        <v>#DIV/0!</v>
      </c>
      <c r="H115" s="33">
        <f t="shared" si="41"/>
        <v>0</v>
      </c>
      <c r="I115" s="33" t="e">
        <f t="shared" si="42"/>
        <v>#DIV/0!</v>
      </c>
    </row>
    <row r="116" spans="4:9" x14ac:dyDescent="0.3">
      <c r="D116" s="33" t="e">
        <f t="shared" si="37"/>
        <v>#DIV/0!</v>
      </c>
      <c r="E116" s="11">
        <f t="shared" si="38"/>
        <v>0</v>
      </c>
      <c r="F116" s="11">
        <f t="shared" si="39"/>
        <v>0</v>
      </c>
      <c r="G116" s="83" t="e">
        <f t="shared" si="40"/>
        <v>#DIV/0!</v>
      </c>
      <c r="H116" s="33">
        <f t="shared" si="41"/>
        <v>0</v>
      </c>
      <c r="I116" s="33" t="e">
        <f t="shared" si="42"/>
        <v>#DIV/0!</v>
      </c>
    </row>
    <row r="117" spans="4:9" x14ac:dyDescent="0.3">
      <c r="D117" s="33" t="e">
        <f t="shared" si="37"/>
        <v>#DIV/0!</v>
      </c>
      <c r="E117" s="11">
        <f t="shared" si="38"/>
        <v>0</v>
      </c>
      <c r="F117" s="11">
        <f t="shared" si="39"/>
        <v>0</v>
      </c>
      <c r="G117" s="83" t="e">
        <f t="shared" si="40"/>
        <v>#DIV/0!</v>
      </c>
      <c r="H117" s="33">
        <f t="shared" si="41"/>
        <v>0</v>
      </c>
      <c r="I117" s="33" t="e">
        <f t="shared" si="42"/>
        <v>#DIV/0!</v>
      </c>
    </row>
    <row r="118" spans="4:9" x14ac:dyDescent="0.3">
      <c r="D118" s="33" t="e">
        <f t="shared" si="37"/>
        <v>#DIV/0!</v>
      </c>
      <c r="E118" s="11">
        <f t="shared" si="38"/>
        <v>0</v>
      </c>
      <c r="F118" s="11">
        <f t="shared" si="39"/>
        <v>0</v>
      </c>
      <c r="G118" s="83" t="e">
        <f t="shared" si="40"/>
        <v>#DIV/0!</v>
      </c>
      <c r="H118" s="33">
        <f t="shared" si="41"/>
        <v>0</v>
      </c>
      <c r="I118" s="33" t="e">
        <f t="shared" si="42"/>
        <v>#DIV/0!</v>
      </c>
    </row>
    <row r="119" spans="4:9" x14ac:dyDescent="0.3">
      <c r="D119" s="33" t="e">
        <f t="shared" si="37"/>
        <v>#DIV/0!</v>
      </c>
      <c r="E119" s="11">
        <f t="shared" si="38"/>
        <v>0</v>
      </c>
      <c r="F119" s="11">
        <f t="shared" si="39"/>
        <v>0</v>
      </c>
      <c r="G119" s="83" t="e">
        <f t="shared" si="40"/>
        <v>#DIV/0!</v>
      </c>
      <c r="H119" s="33">
        <f t="shared" si="41"/>
        <v>0</v>
      </c>
      <c r="I119" s="33" t="e">
        <f t="shared" si="42"/>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workbookViewId="0">
      <selection activeCell="O30" sqref="O30"/>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75</v>
      </c>
      <c r="C2" t="s">
        <v>45</v>
      </c>
      <c r="D2" t="s">
        <v>46</v>
      </c>
      <c r="E2" t="s">
        <v>66</v>
      </c>
      <c r="H2" t="s">
        <v>75</v>
      </c>
      <c r="I2" t="s">
        <v>45</v>
      </c>
      <c r="J2" t="s">
        <v>46</v>
      </c>
    </row>
    <row r="3" spans="2:10" x14ac:dyDescent="0.3">
      <c r="B3" s="1">
        <v>45947</v>
      </c>
      <c r="C3" t="s">
        <v>116</v>
      </c>
      <c r="D3">
        <f>SUMIFS(Table14[Debit], Table14[Date], Table5[[#This Row],[Date]], Table14[Party], "Rashan")</f>
        <v>0</v>
      </c>
      <c r="H3" s="1">
        <v>45947</v>
      </c>
      <c r="J3">
        <f>SUMIFS(Table14[Debit], Table14[Date], Table15[[#This Row],[Date]], Table14[Party], "Parts")</f>
        <v>0</v>
      </c>
    </row>
    <row r="4" spans="2:10" x14ac:dyDescent="0.3">
      <c r="B4" s="1">
        <v>45948</v>
      </c>
      <c r="C4" t="s">
        <v>116</v>
      </c>
      <c r="D4">
        <f>SUMIFS(Table14[Debit], Table14[Date], Table5[[#This Row],[Date]], Table14[Party], "Rashan")</f>
        <v>0</v>
      </c>
      <c r="H4" s="1">
        <v>45948</v>
      </c>
      <c r="I4" t="s">
        <v>55</v>
      </c>
      <c r="J4">
        <f>SUMIFS(Table14[Debit], Table14[Date], Table15[[#This Row],[Date]], Table14[Party], "Parts")</f>
        <v>44870</v>
      </c>
    </row>
    <row r="5" spans="2:10" x14ac:dyDescent="0.3">
      <c r="B5" s="1">
        <v>45949</v>
      </c>
      <c r="C5" t="s">
        <v>116</v>
      </c>
      <c r="D5">
        <f>SUMIFS(Table14[Debit], Table14[Date], Table5[[#This Row],[Date]], Table14[Party], "Rashan")</f>
        <v>0</v>
      </c>
      <c r="H5" s="1">
        <v>45949</v>
      </c>
      <c r="I5" t="s">
        <v>55</v>
      </c>
      <c r="J5">
        <f>SUMIFS(Table14[Debit], Table14[Date], Table15[[#This Row],[Date]], Table14[Party], "Parts")</f>
        <v>0</v>
      </c>
    </row>
    <row r="6" spans="2:10" x14ac:dyDescent="0.3">
      <c r="B6" s="1">
        <v>45950</v>
      </c>
      <c r="C6" t="s">
        <v>116</v>
      </c>
      <c r="D6">
        <f>SUMIFS(Table14[Debit], Table14[Date], Table5[[#This Row],[Date]], Table14[Party], "Rashan")</f>
        <v>0</v>
      </c>
      <c r="H6" s="1">
        <v>45950</v>
      </c>
      <c r="I6" t="s">
        <v>55</v>
      </c>
      <c r="J6">
        <f>SUMIFS(Table14[Debit], Table14[Date], Table15[[#This Row],[Date]], Table14[Party], "Parts")</f>
        <v>0</v>
      </c>
    </row>
    <row r="7" spans="2:10" x14ac:dyDescent="0.3">
      <c r="B7" s="1">
        <v>45951</v>
      </c>
      <c r="C7" t="s">
        <v>116</v>
      </c>
      <c r="D7">
        <f>SUMIFS(Table14[Debit], Table14[Date], Table5[[#This Row],[Date]], Table14[Party], "Rashan")</f>
        <v>0</v>
      </c>
      <c r="H7" s="1">
        <v>45951</v>
      </c>
      <c r="I7" t="s">
        <v>55</v>
      </c>
      <c r="J7">
        <f>SUMIFS(Table14[Debit], Table14[Date], Table15[[#This Row],[Date]], Table14[Party], "Parts")</f>
        <v>20800</v>
      </c>
    </row>
    <row r="8" spans="2:10" x14ac:dyDescent="0.3">
      <c r="B8" s="1">
        <v>45952</v>
      </c>
      <c r="C8" t="s">
        <v>116</v>
      </c>
      <c r="D8">
        <f>SUMIFS(Table14[Debit], Table14[Date], Table5[[#This Row],[Date]], Table14[Party], "Rashan")</f>
        <v>0</v>
      </c>
      <c r="H8" s="1">
        <v>45952</v>
      </c>
      <c r="J8">
        <f>SUMIFS(Table14[Debit], Table14[Date], Table15[[#This Row],[Date]], Table14[Party], "Parts")</f>
        <v>28310</v>
      </c>
    </row>
    <row r="9" spans="2:10" x14ac:dyDescent="0.3">
      <c r="B9" s="1">
        <v>45953</v>
      </c>
      <c r="C9" t="s">
        <v>116</v>
      </c>
      <c r="D9">
        <f>SUMIFS(Table14[Debit], Table14[Date], Table5[[#This Row],[Date]], Table14[Party], "Rashan")</f>
        <v>18245</v>
      </c>
      <c r="H9" s="1">
        <v>45953</v>
      </c>
      <c r="J9">
        <f>SUMIFS(Table14[Debit], Table14[Date], Table15[[#This Row],[Date]], Table14[Party], "Parts")</f>
        <v>9550</v>
      </c>
    </row>
    <row r="10" spans="2:10" x14ac:dyDescent="0.3">
      <c r="B10" s="1">
        <v>45954</v>
      </c>
      <c r="C10" t="s">
        <v>116</v>
      </c>
      <c r="D10">
        <f>SUMIFS(Table14[Debit], Table14[Date], Table5[[#This Row],[Date]], Table14[Party], "Rashan")</f>
        <v>0</v>
      </c>
      <c r="H10" s="1">
        <v>45954</v>
      </c>
      <c r="J10">
        <f>SUMIFS(Table14[Debit], Table14[Date], Table15[[#This Row],[Date]], Table14[Party], "Parts")</f>
        <v>0</v>
      </c>
    </row>
    <row r="11" spans="2:10" x14ac:dyDescent="0.3">
      <c r="B11" s="1">
        <v>45955</v>
      </c>
      <c r="C11" t="s">
        <v>116</v>
      </c>
      <c r="D11">
        <f>SUMIFS(Table14[Debit], Table14[Date], Table5[[#This Row],[Date]], Table14[Party], "Rashan")</f>
        <v>0</v>
      </c>
      <c r="H11" s="1">
        <v>45955</v>
      </c>
      <c r="J11">
        <f>SUMIFS(Table14[Debit], Table14[Date], Table15[[#This Row],[Date]], Table14[Party], "Parts")</f>
        <v>0</v>
      </c>
    </row>
    <row r="12" spans="2:10" x14ac:dyDescent="0.3">
      <c r="B12" s="1">
        <v>45956</v>
      </c>
      <c r="C12" t="s">
        <v>116</v>
      </c>
      <c r="D12">
        <f>SUMIFS(Table14[Debit], Table14[Date], Table5[[#This Row],[Date]], Table14[Party], "Rashan")</f>
        <v>0</v>
      </c>
      <c r="H12" s="1">
        <v>45956</v>
      </c>
      <c r="J12">
        <f>SUMIFS(Table14[Debit], Table14[Date], Table15[[#This Row],[Date]], Table14[Party], "Parts")</f>
        <v>0</v>
      </c>
    </row>
    <row r="13" spans="2:10" x14ac:dyDescent="0.3">
      <c r="B13" s="1">
        <v>45957</v>
      </c>
      <c r="C13" t="s">
        <v>116</v>
      </c>
      <c r="D13">
        <f>SUMIFS(Table14[Debit], Table14[Date], Table5[[#This Row],[Date]], Table14[Party], "Rashan")</f>
        <v>0</v>
      </c>
      <c r="H13" s="1">
        <v>45957</v>
      </c>
      <c r="J13">
        <f>SUMIFS(Table14[Debit], Table14[Date], Table15[[#This Row],[Date]], Table14[Party], "Parts")</f>
        <v>0</v>
      </c>
    </row>
    <row r="14" spans="2:10" x14ac:dyDescent="0.3">
      <c r="B14" s="1">
        <v>45958</v>
      </c>
      <c r="C14" t="s">
        <v>116</v>
      </c>
      <c r="D14">
        <f>SUMIFS(Table14[Debit], Table14[Date], Table5[[#This Row],[Date]], Table14[Party], "Rashan")</f>
        <v>0</v>
      </c>
      <c r="H14" s="1">
        <v>45958</v>
      </c>
      <c r="J14">
        <f>SUMIFS(Table14[Debit], Table14[Date], Table15[[#This Row],[Date]], Table14[Party], "Parts")</f>
        <v>0</v>
      </c>
    </row>
    <row r="15" spans="2:10" x14ac:dyDescent="0.3">
      <c r="B15" s="1">
        <v>45959</v>
      </c>
      <c r="C15" t="s">
        <v>116</v>
      </c>
      <c r="D15">
        <f>SUMIFS(Table14[Debit], Table14[Date], Table5[[#This Row],[Date]], Table14[Party], "Rashan")</f>
        <v>0</v>
      </c>
      <c r="H15" s="1">
        <v>45959</v>
      </c>
      <c r="J15">
        <f>SUMIFS(Table14[Debit], Table14[Date], Table15[[#This Row],[Date]], Table14[Party], "Parts")</f>
        <v>0</v>
      </c>
    </row>
    <row r="16" spans="2:10" x14ac:dyDescent="0.3">
      <c r="B16" s="1">
        <v>45960</v>
      </c>
      <c r="C16" t="s">
        <v>116</v>
      </c>
      <c r="D16">
        <f>SUMIFS(Table14[Debit], Table14[Date], Table5[[#This Row],[Date]], Table14[Party], "Rashan")</f>
        <v>0</v>
      </c>
      <c r="H16" s="1">
        <v>45960</v>
      </c>
      <c r="J16">
        <f>SUMIFS(Table14[Debit], Table14[Date], Table15[[#This Row],[Date]], Table14[Party], "Parts")</f>
        <v>0</v>
      </c>
    </row>
    <row r="17" spans="2:10" x14ac:dyDescent="0.3">
      <c r="B17" s="1">
        <v>45961</v>
      </c>
      <c r="C17" t="s">
        <v>116</v>
      </c>
      <c r="D17">
        <f>SUMIFS(Table14[Debit], Table14[Date], Table5[[#This Row],[Date]], Table14[Party], "Rashan")</f>
        <v>0</v>
      </c>
      <c r="H17" s="1">
        <v>45961</v>
      </c>
      <c r="J17">
        <f>SUMIFS(Table14[Debit], Table14[Date], Table15[[#This Row],[Date]], Table14[Party], "Parts")</f>
        <v>0</v>
      </c>
    </row>
    <row r="18" spans="2:10" x14ac:dyDescent="0.3">
      <c r="B18" s="1">
        <v>45962</v>
      </c>
      <c r="C18" t="s">
        <v>116</v>
      </c>
      <c r="D18">
        <f>SUMIFS(Table14[Debit], Table14[Date], Table5[[#This Row],[Date]], Table14[Party], "Rashan")</f>
        <v>0</v>
      </c>
      <c r="H18" s="1">
        <v>45962</v>
      </c>
      <c r="J18">
        <f>SUMIFS(Table14[Debit], Table14[Date], Table15[[#This Row],[Date]], Table14[Party], "Parts")</f>
        <v>0</v>
      </c>
    </row>
    <row r="19" spans="2:10" x14ac:dyDescent="0.3">
      <c r="B19" s="1">
        <v>45963</v>
      </c>
      <c r="C19" t="s">
        <v>116</v>
      </c>
      <c r="D19">
        <f>SUMIFS(Table14[Debit], Table14[Date], Table5[[#This Row],[Date]], Table14[Party], "Rashan")</f>
        <v>0</v>
      </c>
      <c r="H19" s="1">
        <v>45963</v>
      </c>
      <c r="J19">
        <f>SUMIFS(Table14[Debit], Table14[Date], Table15[[#This Row],[Date]], Table14[Party], "Parts")</f>
        <v>0</v>
      </c>
    </row>
    <row r="20" spans="2:10" x14ac:dyDescent="0.3">
      <c r="B20" s="1">
        <v>45964</v>
      </c>
      <c r="C20" t="s">
        <v>116</v>
      </c>
      <c r="D20">
        <f>SUMIFS(Table14[Debit], Table14[Date], Table5[[#This Row],[Date]], Table14[Party], "Rashan")</f>
        <v>0</v>
      </c>
      <c r="H20" s="1">
        <v>45964</v>
      </c>
      <c r="J20">
        <f>SUMIFS(Table14[Debit], Table14[Date], Table15[[#This Row],[Date]], Table14[Party], "Parts")</f>
        <v>0</v>
      </c>
    </row>
    <row r="21" spans="2:10" x14ac:dyDescent="0.3">
      <c r="B21" s="1">
        <v>45965</v>
      </c>
      <c r="C21" t="s">
        <v>116</v>
      </c>
      <c r="D21">
        <f>SUMIFS(Table14[Debit], Table14[Date], Table5[[#This Row],[Date]], Table14[Party], "Rashan")</f>
        <v>0</v>
      </c>
      <c r="H21" s="1">
        <v>45965</v>
      </c>
      <c r="J21">
        <f>SUMIFS(Table14[Debit], Table14[Date], Table15[[#This Row],[Date]], Table14[Party], "Parts")</f>
        <v>0</v>
      </c>
    </row>
    <row r="22" spans="2:10" x14ac:dyDescent="0.3">
      <c r="B22" s="1">
        <v>45966</v>
      </c>
      <c r="C22" t="s">
        <v>116</v>
      </c>
      <c r="D22">
        <f>SUMIFS(Table14[Debit], Table14[Date], Table5[[#This Row],[Date]], Table14[Party], "Rashan")</f>
        <v>0</v>
      </c>
      <c r="H22" s="1">
        <v>45966</v>
      </c>
      <c r="J22">
        <f>SUMIFS(Table14[Debit], Table14[Date], Table15[[#This Row],[Date]], Table14[Party], "Parts")</f>
        <v>0</v>
      </c>
    </row>
    <row r="23" spans="2:10" x14ac:dyDescent="0.3">
      <c r="B23" s="1">
        <v>45967</v>
      </c>
      <c r="C23" t="s">
        <v>116</v>
      </c>
      <c r="D23">
        <f>SUMIFS(Table14[Debit], Table14[Date], Table5[[#This Row],[Date]], Table14[Party], "Rashan")</f>
        <v>0</v>
      </c>
      <c r="H23" s="1">
        <v>45967</v>
      </c>
      <c r="J23">
        <f>SUMIFS(Table14[Debit], Table14[Date], Table15[[#This Row],[Date]], Table14[Party], "Parts")</f>
        <v>0</v>
      </c>
    </row>
    <row r="24" spans="2:10" x14ac:dyDescent="0.3">
      <c r="B24" s="1">
        <v>45968</v>
      </c>
      <c r="C24" t="s">
        <v>116</v>
      </c>
      <c r="D24">
        <f>SUMIFS(Table14[Debit], Table14[Date], Table5[[#This Row],[Date]], Table14[Party], "Rashan")</f>
        <v>0</v>
      </c>
      <c r="H24" s="1">
        <v>45968</v>
      </c>
      <c r="J24">
        <f>SUMIFS(Table14[Debit], Table14[Date], Table15[[#This Row],[Date]], Table14[Party], "Parts")</f>
        <v>0</v>
      </c>
    </row>
    <row r="25" spans="2:10" x14ac:dyDescent="0.3">
      <c r="B25" s="1">
        <v>45969</v>
      </c>
      <c r="C25" t="s">
        <v>116</v>
      </c>
      <c r="D25">
        <f>SUMIFS(Table14[Debit], Table14[Date], Table5[[#This Row],[Date]], Table14[Party], "Rashan")</f>
        <v>0</v>
      </c>
      <c r="H25" s="1">
        <v>45969</v>
      </c>
      <c r="J25">
        <f>SUMIFS(Table14[Debit], Table14[Date], Table15[[#This Row],[Date]], Table14[Party], "Parts")</f>
        <v>0</v>
      </c>
    </row>
    <row r="26" spans="2:10" x14ac:dyDescent="0.3">
      <c r="B26" s="1">
        <v>45970</v>
      </c>
      <c r="C26" t="s">
        <v>116</v>
      </c>
      <c r="D26">
        <f>SUMIFS(Table14[Debit], Table14[Date], Table5[[#This Row],[Date]], Table14[Party], "Rashan")</f>
        <v>0</v>
      </c>
      <c r="H26" s="1">
        <v>45970</v>
      </c>
      <c r="J26">
        <f>SUMIFS(Table14[Debit], Table14[Date], Table15[[#This Row],[Date]], Table14[Party], "Parts")</f>
        <v>0</v>
      </c>
    </row>
    <row r="27" spans="2:10" x14ac:dyDescent="0.3">
      <c r="B27" s="1">
        <v>45971</v>
      </c>
      <c r="C27" t="s">
        <v>116</v>
      </c>
      <c r="D27">
        <f>SUMIFS(Table14[Debit], Table14[Date], Table5[[#This Row],[Date]], Table14[Party], "Rashan")</f>
        <v>0</v>
      </c>
      <c r="H27" s="1">
        <v>45971</v>
      </c>
      <c r="J27">
        <f>SUMIFS(Table14[Debit], Table14[Date], Table15[[#This Row],[Date]], Table14[Party], "Parts")</f>
        <v>0</v>
      </c>
    </row>
    <row r="28" spans="2:10" x14ac:dyDescent="0.3">
      <c r="B28" s="1">
        <v>45972</v>
      </c>
      <c r="C28" t="s">
        <v>116</v>
      </c>
      <c r="D28">
        <f>SUMIFS(Table14[Debit], Table14[Date], Table5[[#This Row],[Date]], Table14[Party], "Rashan")</f>
        <v>0</v>
      </c>
      <c r="H28" s="1">
        <v>45972</v>
      </c>
      <c r="J28">
        <f>SUMIFS(Table14[Debit], Table14[Date], Table15[[#This Row],[Date]], Table14[Party], "Parts")</f>
        <v>0</v>
      </c>
    </row>
    <row r="29" spans="2:10" x14ac:dyDescent="0.3">
      <c r="B29" s="1">
        <v>45973</v>
      </c>
      <c r="C29" t="s">
        <v>116</v>
      </c>
      <c r="D29">
        <f>SUMIFS(Table14[Debit], Table14[Date], Table5[[#This Row],[Date]], Table14[Party], "Rashan")</f>
        <v>0</v>
      </c>
      <c r="H29" s="1">
        <v>45973</v>
      </c>
      <c r="J29">
        <f>SUMIFS(Table14[Debit], Table14[Date], Table15[[#This Row],[Date]], Table14[Party], "Parts")</f>
        <v>0</v>
      </c>
    </row>
    <row r="30" spans="2:10" x14ac:dyDescent="0.3">
      <c r="B30" s="1">
        <v>45974</v>
      </c>
      <c r="C30" t="s">
        <v>116</v>
      </c>
      <c r="D30">
        <f>SUMIFS(Table14[Debit], Table14[Date], Table5[[#This Row],[Date]], Table14[Party], "Rashan")</f>
        <v>0</v>
      </c>
      <c r="H30" s="1">
        <v>45974</v>
      </c>
      <c r="J30">
        <f>SUMIFS(Table14[Debit], Table14[Date], Table15[[#This Row],[Date]], Table14[Party], "Parts")</f>
        <v>0</v>
      </c>
    </row>
    <row r="31" spans="2:10" x14ac:dyDescent="0.3">
      <c r="B31" s="1">
        <v>45975</v>
      </c>
      <c r="C31" t="s">
        <v>116</v>
      </c>
      <c r="D31">
        <f>SUMIFS(Table14[Debit], Table14[Date], Table5[[#This Row],[Date]], Table14[Party], "Rashan")</f>
        <v>0</v>
      </c>
      <c r="H31" s="1">
        <v>45975</v>
      </c>
      <c r="J31">
        <f>SUMIFS(Table14[Debit], Table14[Date], Table15[[#This Row],[Date]], Table14[Party], "Parts")</f>
        <v>0</v>
      </c>
    </row>
    <row r="32" spans="2:10" x14ac:dyDescent="0.3">
      <c r="B32" s="1">
        <v>45976</v>
      </c>
      <c r="C32" t="s">
        <v>116</v>
      </c>
      <c r="D32">
        <f>SUMIFS(Table14[Debit], Table14[Date], Table5[[#This Row],[Date]], Table14[Party], "Rashan")</f>
        <v>0</v>
      </c>
      <c r="H32" s="1">
        <v>45976</v>
      </c>
      <c r="J32">
        <f>SUMIFS(Table14[Debit], Table14[Date], Table15[[#This Row],[Date]], Table14[Party], "Parts")</f>
        <v>0</v>
      </c>
    </row>
    <row r="33" spans="2:10" x14ac:dyDescent="0.3">
      <c r="B33" s="1">
        <v>45977</v>
      </c>
      <c r="C33" t="s">
        <v>116</v>
      </c>
      <c r="D33">
        <f>SUMIFS(Table14[Debit], Table14[Date], Table5[[#This Row],[Date]], Table14[Party], "Rashan")</f>
        <v>0</v>
      </c>
      <c r="H33" s="1">
        <v>45977</v>
      </c>
      <c r="J33">
        <f>SUMIFS(Table14[Debit], Table14[Date], Table15[[#This Row],[Date]], Table14[Party], "Parts")</f>
        <v>0</v>
      </c>
    </row>
    <row r="34" spans="2:10" x14ac:dyDescent="0.3">
      <c r="B34" s="1">
        <v>45978</v>
      </c>
      <c r="C34" t="s">
        <v>116</v>
      </c>
      <c r="D34">
        <f>SUMIFS(Table14[Debit], Table14[Date], Table5[[#This Row],[Date]], Table14[Party], "Rashan")</f>
        <v>0</v>
      </c>
      <c r="H34" s="1">
        <v>45978</v>
      </c>
      <c r="J34">
        <f>SUMIFS(Table14[Debit], Table14[Date], Table15[[#This Row],[Date]], Table14[Party], "Parts")</f>
        <v>0</v>
      </c>
    </row>
    <row r="35" spans="2:10" x14ac:dyDescent="0.3">
      <c r="B35" s="1"/>
      <c r="D35">
        <f>SUM(Table5[Amount])</f>
        <v>18245</v>
      </c>
      <c r="H35" s="1"/>
      <c r="J35">
        <f>SUM(Table15[Amount])</f>
        <v>103530</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28"/>
  <sheetViews>
    <sheetView workbookViewId="0">
      <selection activeCell="B4" sqref="B4"/>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6" t="str">
        <f>Billing!O5</f>
        <v>BSC</v>
      </c>
      <c r="B2" s="14">
        <f>Billing!W5</f>
        <v>16224741</v>
      </c>
      <c r="C2" s="101">
        <f>Billing!X5</f>
        <v>-232914.00658375584</v>
      </c>
    </row>
    <row r="3" spans="1:3" ht="18" x14ac:dyDescent="0.35">
      <c r="A3" s="86" t="str">
        <f>Billing!O6</f>
        <v>Ejaz Sahab</v>
      </c>
      <c r="B3" s="14">
        <f>Billing!W6</f>
        <v>859904</v>
      </c>
      <c r="C3" s="101">
        <f>Billing!X6</f>
        <v>1155421.5303584493</v>
      </c>
    </row>
    <row r="4" spans="1:3" ht="18" x14ac:dyDescent="0.35">
      <c r="A4" s="86" t="str">
        <f>Billing!O7</f>
        <v>Arshad</v>
      </c>
      <c r="B4" s="14">
        <f>Billing!W7</f>
        <v>3093935</v>
      </c>
      <c r="C4" s="102">
        <f>Billing!X7</f>
        <v>0.62545720580965281</v>
      </c>
    </row>
    <row r="5" spans="1:3" ht="18" x14ac:dyDescent="0.35">
      <c r="A5" s="86" t="str">
        <f>Billing!O8</f>
        <v>Shehzad Kamoki</v>
      </c>
      <c r="B5" s="14">
        <f>Billing!W8</f>
        <v>1268740</v>
      </c>
      <c r="C5" s="102">
        <f>Billing!X8</f>
        <v>530.34403803967871</v>
      </c>
    </row>
    <row r="6" spans="1:3" ht="18" x14ac:dyDescent="0.35">
      <c r="A6" s="86" t="str">
        <f>Billing!O9</f>
        <v>Sufi Nawaz Sahab</v>
      </c>
      <c r="B6" s="14">
        <f>Billing!W9</f>
        <v>8629100</v>
      </c>
      <c r="C6" s="101">
        <f>Billing!X9</f>
        <v>2594762.4725676663</v>
      </c>
    </row>
    <row r="7" spans="1:3" ht="18" x14ac:dyDescent="0.35">
      <c r="A7" s="86" t="str">
        <f>Billing!O10</f>
        <v>Sajad Khan</v>
      </c>
      <c r="B7" s="14">
        <f>Billing!W10</f>
        <v>4403436</v>
      </c>
      <c r="C7" s="101">
        <f>Billing!X10</f>
        <v>415428.30138990469</v>
      </c>
    </row>
    <row r="8" spans="1:3" ht="18" x14ac:dyDescent="0.35">
      <c r="A8" s="86" t="str">
        <f>Billing!O11</f>
        <v>Raaz Fabrics</v>
      </c>
      <c r="B8" s="14">
        <f>Billing!W11</f>
        <v>600000</v>
      </c>
      <c r="C8" s="101">
        <f>Billing!X11</f>
        <v>90919.89758595475</v>
      </c>
    </row>
    <row r="9" spans="1:3" ht="18" x14ac:dyDescent="0.35">
      <c r="A9" s="86" t="str">
        <f>Billing!O12</f>
        <v>Azam</v>
      </c>
      <c r="B9" s="14">
        <f>Billing!W12</f>
        <v>1617620</v>
      </c>
      <c r="C9" s="101">
        <f>Billing!X12</f>
        <v>467.05193855194375</v>
      </c>
    </row>
    <row r="10" spans="1:3" ht="18" x14ac:dyDescent="0.35">
      <c r="A10" s="86" t="str">
        <f>Billing!O13</f>
        <v>Ubaidullah</v>
      </c>
      <c r="B10" s="14">
        <f>Billing!W13</f>
        <v>451150</v>
      </c>
      <c r="C10" s="102">
        <f>Billing!X13</f>
        <v>180084.45501097303</v>
      </c>
    </row>
    <row r="11" spans="1:3" ht="18" x14ac:dyDescent="0.35">
      <c r="A11" s="86" t="str">
        <f>Billing!O14</f>
        <v>Ashraf Zia</v>
      </c>
      <c r="B11" s="14">
        <f>Billing!W14</f>
        <v>0</v>
      </c>
      <c r="C11" s="101">
        <f>Billing!X14</f>
        <v>255724.21360643749</v>
      </c>
    </row>
    <row r="12" spans="1:3" ht="18" x14ac:dyDescent="0.35">
      <c r="A12" s="86" t="str">
        <f>Billing!O15</f>
        <v>Hafiz Qureshi</v>
      </c>
      <c r="B12" s="14">
        <f>Billing!W15</f>
        <v>400000</v>
      </c>
      <c r="C12" s="101">
        <f>Billing!X15</f>
        <v>46881.858083394356</v>
      </c>
    </row>
    <row r="13" spans="1:3" ht="18" x14ac:dyDescent="0.35">
      <c r="A13" s="86" t="str">
        <f>Billing!O16</f>
        <v>Badshah Fabrics</v>
      </c>
      <c r="B13" s="14">
        <f>Billing!W16</f>
        <v>1370000</v>
      </c>
      <c r="C13" s="101">
        <f>Billing!X16</f>
        <v>1285543.1602048283</v>
      </c>
    </row>
    <row r="14" spans="1:3" ht="18" x14ac:dyDescent="0.35">
      <c r="A14" t="str">
        <f>Billing!O17</f>
        <v>Reject</v>
      </c>
      <c r="B14" s="14">
        <f>Billing!W17</f>
        <v>0</v>
      </c>
      <c r="C14" s="101">
        <f>Billing!X17</f>
        <v>0</v>
      </c>
    </row>
    <row r="15" spans="1:3" ht="18" x14ac:dyDescent="0.35">
      <c r="A15" t="str">
        <f>Billing!O18</f>
        <v>Amjad 7up</v>
      </c>
      <c r="B15" s="14">
        <f>Billing!W18</f>
        <v>0</v>
      </c>
      <c r="C15" s="101">
        <f>Billing!X18</f>
        <v>483851.49963423557</v>
      </c>
    </row>
    <row r="16" spans="1:3" ht="18" x14ac:dyDescent="0.35">
      <c r="A16" t="str">
        <f>Billing!O19</f>
        <v>Hazrat Khan</v>
      </c>
      <c r="B16" s="14">
        <f>Billing!W19</f>
        <v>0</v>
      </c>
      <c r="C16" s="101">
        <f>Billing!X19</f>
        <v>89155.084125822978</v>
      </c>
    </row>
    <row r="17" spans="1:3" ht="18" x14ac:dyDescent="0.35">
      <c r="A17" t="str">
        <f>Billing!O20</f>
        <v>Haseeb Shamsi</v>
      </c>
      <c r="B17" s="14">
        <f>Billing!W20</f>
        <v>0</v>
      </c>
      <c r="C17" s="101">
        <f>Billing!X20</f>
        <v>256272.86027798103</v>
      </c>
    </row>
    <row r="18" spans="1:3" ht="18" x14ac:dyDescent="0.35">
      <c r="A18" t="str">
        <f>Billing!O21</f>
        <v>Faizan</v>
      </c>
      <c r="B18" s="14">
        <f>Billing!W21</f>
        <v>415571</v>
      </c>
      <c r="C18" s="101">
        <f>Billing!X21</f>
        <v>10.565471836132929</v>
      </c>
    </row>
    <row r="19" spans="1:3" ht="18" x14ac:dyDescent="0.35">
      <c r="A19" t="str">
        <f>Billing!O22</f>
        <v>Shafique Ansari</v>
      </c>
      <c r="B19" s="14">
        <f>Billing!W22</f>
        <v>0</v>
      </c>
      <c r="C19" s="101">
        <f>Billing!X22</f>
        <v>90790.051207022683</v>
      </c>
    </row>
    <row r="20" spans="1:3" ht="18" x14ac:dyDescent="0.35">
      <c r="A20" t="str">
        <f>Billing!O23</f>
        <v>Amjad sohail</v>
      </c>
      <c r="B20" s="14">
        <f>Billing!W23</f>
        <v>0</v>
      </c>
      <c r="C20" s="101">
        <f>Billing!X23</f>
        <v>18237.015362106802</v>
      </c>
    </row>
    <row r="21" spans="1:3" ht="18" x14ac:dyDescent="0.35">
      <c r="A21">
        <f>Billing!O24</f>
        <v>0</v>
      </c>
      <c r="B21" s="14">
        <f>Billing!W24</f>
        <v>0</v>
      </c>
      <c r="C21" s="101">
        <f>Billing!X24</f>
        <v>0</v>
      </c>
    </row>
    <row r="22" spans="1:3" ht="18" x14ac:dyDescent="0.35">
      <c r="A22">
        <f>Billing!O25</f>
        <v>0</v>
      </c>
      <c r="B22" s="14">
        <f>Billing!W25</f>
        <v>0</v>
      </c>
      <c r="C22" s="101">
        <f>Billing!X25</f>
        <v>0</v>
      </c>
    </row>
    <row r="23" spans="1:3" ht="18" x14ac:dyDescent="0.35">
      <c r="A23">
        <f>Billing!O26</f>
        <v>0</v>
      </c>
      <c r="B23" s="14">
        <f>Billing!W26</f>
        <v>0</v>
      </c>
      <c r="C23" s="101">
        <f>Billing!X26</f>
        <v>0</v>
      </c>
    </row>
    <row r="24" spans="1:3" ht="18" x14ac:dyDescent="0.35">
      <c r="A24">
        <f>Billing!O27</f>
        <v>0</v>
      </c>
      <c r="B24" s="14">
        <f>Billing!W27</f>
        <v>0</v>
      </c>
      <c r="C24" s="101">
        <f>Billing!X27</f>
        <v>0</v>
      </c>
    </row>
    <row r="25" spans="1:3" ht="18" x14ac:dyDescent="0.35">
      <c r="A25">
        <f>Billing!O28</f>
        <v>0</v>
      </c>
      <c r="B25" s="14">
        <f>Billing!W28</f>
        <v>0</v>
      </c>
      <c r="C25" s="101">
        <f>Billing!X28</f>
        <v>0</v>
      </c>
    </row>
    <row r="26" spans="1:3" ht="18" x14ac:dyDescent="0.35">
      <c r="A26">
        <f>Billing!O29</f>
        <v>0</v>
      </c>
      <c r="B26" s="14">
        <f>Billing!W29</f>
        <v>0</v>
      </c>
      <c r="C26" s="101">
        <f>Billing!X29</f>
        <v>0</v>
      </c>
    </row>
    <row r="27" spans="1:3" ht="18" x14ac:dyDescent="0.35">
      <c r="A27">
        <f>Billing!O30</f>
        <v>0</v>
      </c>
      <c r="B27" s="14">
        <f>Billing!W30</f>
        <v>0</v>
      </c>
      <c r="C27" s="101">
        <f>Billing!X30</f>
        <v>0</v>
      </c>
    </row>
    <row r="28" spans="1:3" ht="18" x14ac:dyDescent="0.35">
      <c r="A28">
        <f>Billing!O31</f>
        <v>0</v>
      </c>
      <c r="B28" s="14">
        <f>Billing!W31</f>
        <v>0</v>
      </c>
      <c r="C28" s="101">
        <f>Billing!X31</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8"/>
  <sheetViews>
    <sheetView zoomScale="146" workbookViewId="0">
      <selection activeCell="B7" sqref="B7"/>
    </sheetView>
  </sheetViews>
  <sheetFormatPr defaultRowHeight="14.4" x14ac:dyDescent="0.3"/>
  <cols>
    <col min="1" max="1" width="13.44140625" customWidth="1"/>
    <col min="2" max="2" width="15.77734375" customWidth="1"/>
  </cols>
  <sheetData>
    <row r="1" spans="1:2" x14ac:dyDescent="0.3">
      <c r="A1" t="s">
        <v>172</v>
      </c>
      <c r="B1" t="s">
        <v>69</v>
      </c>
    </row>
    <row r="2" spans="1:2" x14ac:dyDescent="0.3">
      <c r="A2" t="str">
        <f>Billing!O5</f>
        <v>BSC</v>
      </c>
      <c r="B2" s="10">
        <f>_xlfn.XLOOKUP($A2,[1]Billing!$O$5:$O$29,[1]Billing!$W$5:$W$29)</f>
        <v>12854653</v>
      </c>
    </row>
    <row r="3" spans="1:2" x14ac:dyDescent="0.3">
      <c r="A3" t="str">
        <f>Billing!O6</f>
        <v>Ejaz Sahab</v>
      </c>
      <c r="B3" s="10">
        <f>_xlfn.XLOOKUP($A3,[1]Billing!$O$5:$O$29,[1]Billing!$W$5:$W$29)</f>
        <v>859904</v>
      </c>
    </row>
    <row r="4" spans="1:2" x14ac:dyDescent="0.3">
      <c r="A4" t="str">
        <f>Billing!O7</f>
        <v>Arshad</v>
      </c>
      <c r="B4" s="10">
        <f>_xlfn.XLOOKUP($A4,[1]Billing!$O$5:$O$29,[1]Billing!$W$5:$W$29)</f>
        <v>2306701</v>
      </c>
    </row>
    <row r="5" spans="1:2" x14ac:dyDescent="0.3">
      <c r="A5" t="str">
        <f>Billing!O8</f>
        <v>Shehzad Kamoki</v>
      </c>
      <c r="B5" s="10">
        <f>_xlfn.XLOOKUP($A5,[1]Billing!$O$5:$O$29,[1]Billing!$W$5:$W$29)</f>
        <v>1268740</v>
      </c>
    </row>
    <row r="6" spans="1:2" x14ac:dyDescent="0.3">
      <c r="A6" t="str">
        <f>Billing!O9</f>
        <v>Sufi Nawaz Sahab</v>
      </c>
      <c r="B6" s="10">
        <f>_xlfn.XLOOKUP($A6,[1]Billing!$O$5:$O$29,[1]Billing!$W$5:$W$29)</f>
        <v>8629100</v>
      </c>
    </row>
    <row r="7" spans="1:2" x14ac:dyDescent="0.3">
      <c r="A7" t="str">
        <f>Billing!O10</f>
        <v>Sajad Khan</v>
      </c>
      <c r="B7" s="10">
        <f>_xlfn.XLOOKUP($A7,[1]Billing!$O$5:$O$29,[1]Billing!$W$5:$W$29)</f>
        <v>3751266</v>
      </c>
    </row>
    <row r="8" spans="1:2" x14ac:dyDescent="0.3">
      <c r="A8" t="str">
        <f>Billing!O11</f>
        <v>Raaz Fabrics</v>
      </c>
      <c r="B8" s="10">
        <f>_xlfn.XLOOKUP($A8,[1]Billing!$O$5:$O$29,[1]Billing!$W$5:$W$29)</f>
        <v>600000</v>
      </c>
    </row>
    <row r="9" spans="1:2" x14ac:dyDescent="0.3">
      <c r="A9" t="str">
        <f>Billing!O12</f>
        <v>Azam</v>
      </c>
      <c r="B9" s="10">
        <f>_xlfn.XLOOKUP($A9,[1]Billing!$O$5:$O$29,[1]Billing!$W$5:$W$29)</f>
        <v>1617620</v>
      </c>
    </row>
    <row r="10" spans="1:2" x14ac:dyDescent="0.3">
      <c r="A10" t="str">
        <f>Billing!O13</f>
        <v>Ubaidullah</v>
      </c>
      <c r="B10" s="10">
        <f>_xlfn.XLOOKUP($A10,[1]Billing!$O$5:$O$29,[1]Billing!$W$5:$W$29)</f>
        <v>451150</v>
      </c>
    </row>
    <row r="11" spans="1:2" x14ac:dyDescent="0.3">
      <c r="A11" t="str">
        <f>Billing!O14</f>
        <v>Ashraf Zia</v>
      </c>
      <c r="B11" s="10">
        <f>_xlfn.XLOOKUP($A11,[1]Billing!$O$5:$O$29,[1]Billing!$W$5:$W$29)</f>
        <v>0</v>
      </c>
    </row>
    <row r="12" spans="1:2" x14ac:dyDescent="0.3">
      <c r="A12" t="str">
        <f>Billing!O15</f>
        <v>Hafiz Qureshi</v>
      </c>
      <c r="B12" s="10">
        <f>_xlfn.XLOOKUP($A12,[1]Billing!$O$5:$O$29,[1]Billing!$W$5:$W$29)</f>
        <v>400000</v>
      </c>
    </row>
    <row r="13" spans="1:2" x14ac:dyDescent="0.3">
      <c r="A13" t="str">
        <f>Billing!O16</f>
        <v>Badshah Fabrics</v>
      </c>
      <c r="B13" s="10">
        <f>_xlfn.XLOOKUP($A13,[1]Billing!$O$5:$O$29,[1]Billing!$W$5:$W$29)</f>
        <v>1370000</v>
      </c>
    </row>
    <row r="14" spans="1:2" x14ac:dyDescent="0.3">
      <c r="A14" t="str">
        <f>Billing!O17</f>
        <v>Reject</v>
      </c>
      <c r="B14" s="10">
        <f>_xlfn.XLOOKUP($A14,[1]Billing!$O$5:$O$29,[1]Billing!$W$5:$W$29)</f>
        <v>0</v>
      </c>
    </row>
    <row r="15" spans="1:2" x14ac:dyDescent="0.3">
      <c r="A15" t="str">
        <f>Billing!O18</f>
        <v>Amjad 7up</v>
      </c>
      <c r="B15" s="10">
        <f>_xlfn.XLOOKUP($A15,[1]Billing!$O$5:$O$29,[1]Billing!$W$5:$W$29)</f>
        <v>0</v>
      </c>
    </row>
    <row r="16" spans="1:2" x14ac:dyDescent="0.3">
      <c r="A16" t="str">
        <f>Billing!O19</f>
        <v>Hazrat Khan</v>
      </c>
      <c r="B16" s="10">
        <f>_xlfn.XLOOKUP($A16,[1]Billing!$O$5:$O$29,[1]Billing!$W$5:$W$29)</f>
        <v>0</v>
      </c>
    </row>
    <row r="17" spans="1:2" x14ac:dyDescent="0.3">
      <c r="A17" t="str">
        <f>Billing!O20</f>
        <v>Haseeb Shamsi</v>
      </c>
      <c r="B17" s="10">
        <f>_xlfn.XLOOKUP($A17,[1]Billing!$O$5:$O$29,[1]Billing!$W$5:$W$29)</f>
        <v>0</v>
      </c>
    </row>
    <row r="18" spans="1:2" x14ac:dyDescent="0.3">
      <c r="A18" t="str">
        <f>Billing!O21</f>
        <v>Faizan</v>
      </c>
      <c r="B18" s="10" t="e">
        <f>_xlfn.XLOOKUP($A18,[1]Billing!$O$5:$O$29,[1]Billing!$W$5:$W$29)</f>
        <v>#N/A</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2025-10-23T16:13:13Z</dcterms:modified>
  <cp:category/>
  <cp:contentStatus/>
</cp:coreProperties>
</file>