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pivotCache/pivotCacheDefinition5.xml" ContentType="application/vnd.openxmlformats-officedocument.spreadsheetml.pivotCacheDefinition+xml"/>
  <Override PartName="/xl/pivotCache/pivotCacheRecords5.xml" ContentType="application/vnd.openxmlformats-officedocument.spreadsheetml.pivotCacheRecords+xml"/>
  <Override PartName="/xl/pivotCache/pivotCacheDefinition6.xml" ContentType="application/vnd.openxmlformats-officedocument.spreadsheetml.pivotCacheDefinition+xml"/>
  <Override PartName="/xl/pivotCache/pivotCacheRecords6.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tables/table8.xml" ContentType="application/vnd.openxmlformats-officedocument.spreadsheetml.table+xml"/>
  <Override PartName="/xl/slicers/slicer1.xml" ContentType="application/vnd.ms-excel.slicer+xml"/>
  <Override PartName="/xl/pivotTables/pivotTable4.xml" ContentType="application/vnd.openxmlformats-officedocument.spreadsheetml.pivotTable+xml"/>
  <Override PartName="/xl/drawings/drawing2.xml" ContentType="application/vnd.openxmlformats-officedocument.drawing+xml"/>
  <Override PartName="/xl/tables/table9.xml" ContentType="application/vnd.openxmlformats-officedocument.spreadsheetml.table+xml"/>
  <Override PartName="/xl/slicers/slicer2.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slicers/slicer3.xml" ContentType="application/vnd.ms-excel.slicer+xml"/>
  <Override PartName="/xl/pivotTables/pivotTable6.xml" ContentType="application/vnd.openxmlformats-officedocument.spreadsheetml.pivot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pivotTables/pivotTable7.xml" ContentType="application/vnd.openxmlformats-officedocument.spreadsheetml.pivotTable+xml"/>
  <Override PartName="/xl/drawings/drawing4.xml" ContentType="application/vnd.openxmlformats-officedocument.drawing+xml"/>
  <Override PartName="/xl/tables/table17.xml" ContentType="application/vnd.openxmlformats-officedocument.spreadsheetml.table+xml"/>
  <Override PartName="/xl/slicers/slicer4.xml" ContentType="application/vnd.ms-excel.slicer+xml"/>
  <Override PartName="/xl/tables/table18.xml" ContentType="application/vnd.openxmlformats-officedocument.spreadsheetml.table+xml"/>
  <Override PartName="/xl/tables/table19.xml" ContentType="application/vnd.openxmlformats-officedocument.spreadsheetml.table+xml"/>
  <Override PartName="/xl/drawings/drawing5.xml" ContentType="application/vnd.openxmlformats-officedocument.drawing+xml"/>
  <Override PartName="/xl/tables/table20.xml" ContentType="application/vnd.openxmlformats-officedocument.spreadsheetml.table+xml"/>
  <Override PartName="/xl/tables/table21.xml" ContentType="application/vnd.openxmlformats-officedocument.spreadsheetml.table+xml"/>
  <Override PartName="/xl/slicers/slicer5.xml" ContentType="application/vnd.ms-excel.slicer+xml"/>
  <Override PartName="/xl/pivotTables/pivotTable8.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tables/table22.xml" ContentType="application/vnd.openxmlformats-officedocument.spreadsheetml.table+xml"/>
  <Override PartName="/xl/tables/table23.xml" ContentType="application/vnd.openxmlformats-officedocument.spreadsheetml.table+xml"/>
  <Override PartName="/xl/tables/table24.xml" ContentType="application/vnd.openxmlformats-officedocument.spreadsheetml.table+xml"/>
  <Override PartName="/xl/tables/table2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updateLinks="never"/>
  <mc:AlternateContent xmlns:mc="http://schemas.openxmlformats.org/markup-compatibility/2006">
    <mc:Choice Requires="x15">
      <x15ac:absPath xmlns:x15ac="http://schemas.microsoft.com/office/spreadsheetml/2010/11/ac" url="https://pern-my.sharepoint.com/personal/25020299_lums_edu_pk/Documents/Desktop/Factory/"/>
    </mc:Choice>
  </mc:AlternateContent>
  <xr:revisionPtr revIDLastSave="2014" documentId="8_{4BA2F63F-AD4E-4F04-A724-5F712AF3C5FD}" xr6:coauthVersionLast="47" xr6:coauthVersionMax="47" xr10:uidLastSave="{A1D55953-8741-47C1-B83F-53E89B7DABC8}"/>
  <bookViews>
    <workbookView xWindow="-108" yWindow="-108" windowWidth="23256" windowHeight="12456" activeTab="7" xr2:uid="{E7D9A63E-D9E8-4997-9BC3-9785CA208C4E}"/>
  </bookViews>
  <sheets>
    <sheet name="Billing" sheetId="9" r:id="rId1"/>
    <sheet name="Bill Print" sheetId="19" r:id="rId2"/>
    <sheet name="Expenses" sheetId="8" r:id="rId3"/>
    <sheet name="Profit" sheetId="10" r:id="rId4"/>
    <sheet name="Transport" sheetId="18" r:id="rId5"/>
    <sheet name="ledger" sheetId="1" r:id="rId6"/>
    <sheet name="Wood" sheetId="6" r:id="rId7"/>
    <sheet name="Cashbook" sheetId="17" r:id="rId8"/>
    <sheet name="Dyes" sheetId="7" r:id="rId9"/>
    <sheet name="Finish" sheetId="15" r:id="rId10"/>
    <sheet name="Electricity" sheetId="13" r:id="rId11"/>
    <sheet name="Miscellaneous" sheetId="11" r:id="rId12"/>
    <sheet name="Salary Acc" sheetId="12" r:id="rId13"/>
    <sheet name="pivot " sheetId="2" r:id="rId14"/>
    <sheet name="Running Acc" sheetId="14" r:id="rId15"/>
    <sheet name="Balance" sheetId="20" r:id="rId16"/>
    <sheet name="Cashflow" sheetId="21" r:id="rId17"/>
  </sheets>
  <externalReferences>
    <externalReference r:id="rId18"/>
  </externalReferences>
  <definedNames>
    <definedName name="_xlcn.WorksheetConnection_Khata2.xlsxTable4" hidden="1">Table4[]</definedName>
    <definedName name="_xlcn.WorksheetConnection_Khata2.xlsxTable41" hidden="1">Table4[]</definedName>
    <definedName name="Slicer_Date">#N/A</definedName>
    <definedName name="Slicer_Date1">#N/A</definedName>
    <definedName name="Slicer_Party">#N/A</definedName>
    <definedName name="Slicer_Party_Name">#N/A</definedName>
    <definedName name="Slicer_Party_Name1">#N/A</definedName>
    <definedName name="Slicer_Party_Name2">#N/A</definedName>
    <definedName name="Slicer_Person">#N/A</definedName>
    <definedName name="Slicer_Shipment_Number">#N/A</definedName>
    <definedName name="Table4_1" localSheetId="0" hidden="1">Billing!#REF!</definedName>
  </definedNames>
  <calcPr calcId="191028"/>
  <pivotCaches>
    <pivotCache cacheId="0" r:id="rId19"/>
    <pivotCache cacheId="1" r:id="rId20"/>
    <pivotCache cacheId="2" r:id="rId21"/>
    <pivotCache cacheId="3" r:id="rId22"/>
    <pivotCache cacheId="4" r:id="rId23"/>
    <pivotCache cacheId="5" r:id="rId24"/>
  </pivotCaches>
  <extLst>
    <ext xmlns:x14="http://schemas.microsoft.com/office/spreadsheetml/2009/9/main" uri="{BBE1A952-AA13-448e-AADC-164F8A28A991}">
      <x14:slicerCaches>
        <x14:slicerCache r:id="rId25"/>
      </x14:slicerCaches>
    </ex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Table4" name="Table4" connection="WorksheetConnection_Khata (2).xlsx!Table4"/>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71" i="1" l="1"/>
  <c r="J71" i="1" a="1"/>
  <c r="J71" i="1" s="1"/>
  <c r="I72" i="1"/>
  <c r="J72" i="1" a="1"/>
  <c r="J72" i="1" s="1"/>
  <c r="I73" i="1"/>
  <c r="J73" i="1" a="1"/>
  <c r="J73" i="1"/>
  <c r="I74" i="1"/>
  <c r="J74" i="1" s="1" a="1"/>
  <c r="J74" i="1" s="1"/>
  <c r="I75" i="1"/>
  <c r="J75" i="1" a="1"/>
  <c r="J75" i="1" s="1"/>
  <c r="I76" i="1"/>
  <c r="J76" i="1" a="1"/>
  <c r="J76" i="1" s="1"/>
  <c r="H31" i="6"/>
  <c r="G31" i="6"/>
  <c r="I31" i="6"/>
  <c r="I24" i="1"/>
  <c r="J24" i="1" s="1" a="1"/>
  <c r="J24" i="1" s="1"/>
  <c r="I5" i="1"/>
  <c r="J5" i="1" s="1" a="1"/>
  <c r="J5" i="1" s="1"/>
  <c r="I20" i="1"/>
  <c r="J20" i="1" s="1" a="1"/>
  <c r="J20" i="1" s="1"/>
  <c r="I28" i="1"/>
  <c r="J28" i="1" s="1" a="1"/>
  <c r="J28" i="1" s="1"/>
  <c r="I8" i="1"/>
  <c r="J8" i="1" s="1" a="1"/>
  <c r="J8" i="1" s="1"/>
  <c r="I11" i="1"/>
  <c r="J11" i="1" s="1" a="1"/>
  <c r="J11" i="1" s="1"/>
  <c r="I9" i="1"/>
  <c r="J9" i="1" s="1" a="1"/>
  <c r="J9" i="1" s="1"/>
  <c r="I3" i="1"/>
  <c r="J3" i="1" s="1" a="1"/>
  <c r="J3" i="1" s="1"/>
  <c r="I26" i="1"/>
  <c r="J26" i="1" s="1" a="1"/>
  <c r="J26" i="1" s="1"/>
  <c r="I25" i="1"/>
  <c r="J25" i="1" s="1" a="1"/>
  <c r="J25" i="1" s="1"/>
  <c r="I6" i="1"/>
  <c r="I4" i="1"/>
  <c r="J4" i="1" s="1" a="1"/>
  <c r="J4" i="1" s="1"/>
  <c r="I12" i="1"/>
  <c r="J12" i="1" s="1" a="1"/>
  <c r="J12" i="1" s="1"/>
  <c r="I22" i="1"/>
  <c r="J22" i="1" s="1" a="1"/>
  <c r="J22" i="1" s="1"/>
  <c r="I21" i="1"/>
  <c r="J21" i="1" s="1" a="1"/>
  <c r="J21" i="1" s="1"/>
  <c r="I27" i="1"/>
  <c r="J27" i="1" s="1" a="1"/>
  <c r="J27" i="1" s="1"/>
  <c r="I19" i="1"/>
  <c r="J19" i="1" s="1" a="1"/>
  <c r="J19" i="1" s="1"/>
  <c r="I2" i="1"/>
  <c r="J2" i="1" s="1" a="1"/>
  <c r="J2" i="1" s="1"/>
  <c r="I18" i="1"/>
  <c r="J18" i="1" s="1" a="1"/>
  <c r="J18" i="1" s="1"/>
  <c r="D3" i="17"/>
  <c r="I10" i="1"/>
  <c r="J10" i="1" s="1" a="1"/>
  <c r="J10" i="1" s="1"/>
  <c r="X26" i="9" a="1"/>
  <c r="X26" i="9" s="1"/>
  <c r="X27" i="9" a="1"/>
  <c r="X27" i="9" s="1"/>
  <c r="X28" i="9" a="1"/>
  <c r="X28" i="9" s="1"/>
  <c r="V26" i="9" a="1"/>
  <c r="V26" i="9" s="1"/>
  <c r="V27" i="9" a="1"/>
  <c r="V27" i="9" s="1"/>
  <c r="V28" i="9" a="1"/>
  <c r="V28" i="9" s="1"/>
  <c r="G66" i="1"/>
  <c r="I64" i="1"/>
  <c r="J64" i="1" s="1" a="1"/>
  <c r="J64" i="1" s="1"/>
  <c r="I65" i="1"/>
  <c r="J65" i="1" s="1" a="1"/>
  <c r="J65" i="1" s="1"/>
  <c r="I66" i="1"/>
  <c r="J66" i="1" s="1" a="1"/>
  <c r="J66" i="1" s="1"/>
  <c r="I67" i="1"/>
  <c r="J67" i="1" s="1" a="1"/>
  <c r="J67" i="1" s="1"/>
  <c r="I68" i="1"/>
  <c r="J68" i="1" s="1" a="1"/>
  <c r="J68" i="1" s="1"/>
  <c r="I69" i="1"/>
  <c r="J69" i="1" s="1" a="1"/>
  <c r="J69" i="1" s="1"/>
  <c r="I70" i="1"/>
  <c r="J70" i="1" s="1" a="1"/>
  <c r="J70" i="1" s="1"/>
  <c r="H29" i="6"/>
  <c r="I29" i="6" s="1"/>
  <c r="H28" i="6"/>
  <c r="I28" i="6" s="1"/>
  <c r="H27" i="6"/>
  <c r="I27" i="6" s="1"/>
  <c r="G26" i="6"/>
  <c r="G27" i="6"/>
  <c r="G28" i="6"/>
  <c r="G29" i="6"/>
  <c r="G30" i="6"/>
  <c r="I26" i="6"/>
  <c r="I30" i="6"/>
  <c r="I58" i="1"/>
  <c r="J58" i="1" s="1" a="1"/>
  <c r="J58" i="1" s="1"/>
  <c r="I59" i="1"/>
  <c r="J59" i="1" s="1" a="1"/>
  <c r="J59" i="1" s="1"/>
  <c r="I60" i="1"/>
  <c r="J60" i="1" s="1" a="1"/>
  <c r="J60" i="1" s="1"/>
  <c r="I61" i="1"/>
  <c r="J61" i="1" s="1" a="1"/>
  <c r="J61" i="1" s="1"/>
  <c r="I62" i="1"/>
  <c r="J62" i="1" s="1" a="1"/>
  <c r="J62" i="1" s="1"/>
  <c r="G63" i="1"/>
  <c r="I63" i="1" s="1"/>
  <c r="J63" i="1" s="1" a="1"/>
  <c r="J63" i="1" s="1"/>
  <c r="H25" i="6"/>
  <c r="I25" i="6" s="1"/>
  <c r="H24" i="6"/>
  <c r="I24" i="6" s="1"/>
  <c r="I50" i="1"/>
  <c r="J50" i="1" s="1" a="1"/>
  <c r="J50" i="1" s="1"/>
  <c r="I51" i="1"/>
  <c r="J51" i="1" s="1" a="1"/>
  <c r="J51" i="1" s="1"/>
  <c r="I52" i="1"/>
  <c r="J52" i="1" a="1"/>
  <c r="J52" i="1" s="1"/>
  <c r="I53" i="1"/>
  <c r="J53" i="1" s="1" a="1"/>
  <c r="J53" i="1" s="1"/>
  <c r="I54" i="1"/>
  <c r="J54" i="1" s="1" a="1"/>
  <c r="J54" i="1" s="1"/>
  <c r="I55" i="1"/>
  <c r="J55" i="1" s="1" a="1"/>
  <c r="J55" i="1" s="1"/>
  <c r="I56" i="1"/>
  <c r="J56" i="1" s="1" a="1"/>
  <c r="J56" i="1" s="1"/>
  <c r="I57" i="1"/>
  <c r="J57" i="1" s="1" a="1"/>
  <c r="J57" i="1" s="1"/>
  <c r="F8" i="15"/>
  <c r="F9" i="15"/>
  <c r="H22" i="6"/>
  <c r="I22" i="6" s="1"/>
  <c r="H21" i="6"/>
  <c r="I21" i="6" s="1"/>
  <c r="G22" i="6"/>
  <c r="G23" i="6"/>
  <c r="G24" i="6"/>
  <c r="G25" i="6"/>
  <c r="I23" i="6"/>
  <c r="H20" i="6"/>
  <c r="I20" i="6" s="1"/>
  <c r="G20" i="6"/>
  <c r="G21" i="6"/>
  <c r="H19" i="6"/>
  <c r="I19" i="6" s="1"/>
  <c r="H16" i="6"/>
  <c r="I16" i="6" s="1"/>
  <c r="H17" i="6"/>
  <c r="I17" i="6" s="1"/>
  <c r="H18" i="6"/>
  <c r="I18" i="6" s="1"/>
  <c r="G18" i="6"/>
  <c r="G19" i="6"/>
  <c r="G16" i="6"/>
  <c r="G17" i="6"/>
  <c r="I47" i="1"/>
  <c r="J47" i="1" s="1" a="1"/>
  <c r="J47" i="1" s="1"/>
  <c r="I48" i="1"/>
  <c r="J48" i="1" s="1" a="1"/>
  <c r="J48" i="1" s="1"/>
  <c r="I49" i="1"/>
  <c r="J49" i="1" s="1" a="1"/>
  <c r="J49" i="1" s="1"/>
  <c r="I44" i="1"/>
  <c r="J44" i="1" s="1" a="1"/>
  <c r="J44" i="1" s="1"/>
  <c r="I45" i="1"/>
  <c r="J45" i="1" s="1" a="1"/>
  <c r="J45" i="1" s="1"/>
  <c r="I46" i="1"/>
  <c r="J46" i="1" s="1" a="1"/>
  <c r="J46" i="1" s="1"/>
  <c r="C37" i="17"/>
  <c r="C179" i="17" s="1"/>
  <c r="K4" i="17" s="1"/>
  <c r="C48" i="17"/>
  <c r="C7" i="8" s="1"/>
  <c r="I43" i="1"/>
  <c r="J43" i="1" s="1" a="1"/>
  <c r="J43" i="1" s="1"/>
  <c r="I42" i="1"/>
  <c r="J42" i="1" s="1" a="1"/>
  <c r="J42" i="1" s="1"/>
  <c r="I41" i="1"/>
  <c r="J41" i="1" s="1" a="1"/>
  <c r="J41" i="1" s="1"/>
  <c r="I40" i="1"/>
  <c r="J40" i="1" s="1" a="1"/>
  <c r="J40" i="1" s="1"/>
  <c r="I39" i="1"/>
  <c r="J39" i="1" s="1" a="1"/>
  <c r="J39" i="1" s="1"/>
  <c r="I38" i="1"/>
  <c r="J38" i="1" s="1" a="1"/>
  <c r="J38" i="1" s="1"/>
  <c r="I37" i="1"/>
  <c r="J37" i="1" s="1" a="1"/>
  <c r="J37" i="1" s="1"/>
  <c r="I36" i="1"/>
  <c r="J36" i="1" s="1" a="1"/>
  <c r="J36" i="1" s="1"/>
  <c r="I35" i="1"/>
  <c r="J35" i="1" s="1" a="1"/>
  <c r="J35" i="1" s="1"/>
  <c r="I34" i="1"/>
  <c r="J34" i="1" s="1" a="1"/>
  <c r="J34" i="1" s="1"/>
  <c r="R26" i="9" a="1"/>
  <c r="R26" i="9" s="1"/>
  <c r="S26" i="9" a="1"/>
  <c r="S26" i="9" s="1"/>
  <c r="T26" i="9" a="1"/>
  <c r="T26" i="9" s="1"/>
  <c r="U26" i="9" a="1"/>
  <c r="U26" i="9" s="1"/>
  <c r="W26" i="9" a="1"/>
  <c r="W26" i="9" s="1"/>
  <c r="AA26" i="9"/>
  <c r="R27" i="9" a="1"/>
  <c r="R27" i="9" s="1"/>
  <c r="S27" i="9" a="1"/>
  <c r="S27" i="9" s="1"/>
  <c r="T27" i="9" a="1"/>
  <c r="T27" i="9" s="1"/>
  <c r="U27" i="9" a="1"/>
  <c r="U27" i="9" s="1"/>
  <c r="W27" i="9" a="1"/>
  <c r="W27" i="9" s="1"/>
  <c r="AA27" i="9"/>
  <c r="B24" i="20" s="1"/>
  <c r="R28" i="9" a="1"/>
  <c r="R28" i="9" s="1"/>
  <c r="S28" i="9" a="1"/>
  <c r="S28" i="9" s="1"/>
  <c r="T28" i="9" a="1"/>
  <c r="T28" i="9" s="1"/>
  <c r="U28" i="9" a="1"/>
  <c r="U28" i="9" s="1"/>
  <c r="W28" i="9" a="1"/>
  <c r="W28" i="9" s="1"/>
  <c r="AA28" i="9"/>
  <c r="B25" i="20" s="1"/>
  <c r="R29" i="9" a="1"/>
  <c r="R29" i="9" s="1"/>
  <c r="S29" i="9" a="1"/>
  <c r="S29" i="9" s="1"/>
  <c r="T29" i="9" a="1"/>
  <c r="T29" i="9" s="1"/>
  <c r="U29" i="9" a="1"/>
  <c r="U29" i="9" s="1"/>
  <c r="V29" i="9" a="1"/>
  <c r="V29" i="9" s="1"/>
  <c r="W29" i="9" a="1"/>
  <c r="W29" i="9" s="1"/>
  <c r="AA29" i="9"/>
  <c r="B26" i="20" s="1"/>
  <c r="R30" i="9" a="1"/>
  <c r="R30" i="9" s="1"/>
  <c r="S30" i="9" a="1"/>
  <c r="S30" i="9" s="1"/>
  <c r="T30" i="9" a="1"/>
  <c r="T30" i="9" s="1"/>
  <c r="U30" i="9" a="1"/>
  <c r="U30" i="9" s="1"/>
  <c r="V30" i="9" a="1"/>
  <c r="V30" i="9" s="1"/>
  <c r="W30" i="9" a="1"/>
  <c r="W30" i="9" s="1"/>
  <c r="AA30" i="9"/>
  <c r="B27" i="20" s="1"/>
  <c r="R31" i="9" a="1"/>
  <c r="R31" i="9" s="1"/>
  <c r="S31" i="9" a="1"/>
  <c r="S31" i="9" s="1"/>
  <c r="T31" i="9" a="1"/>
  <c r="T31" i="9" s="1"/>
  <c r="U31" i="9" a="1"/>
  <c r="U31" i="9" s="1"/>
  <c r="V31" i="9" a="1"/>
  <c r="V31" i="9" s="1"/>
  <c r="W31" i="9" a="1"/>
  <c r="W31" i="9" s="1"/>
  <c r="AA31" i="9"/>
  <c r="B28" i="20" s="1"/>
  <c r="R32" i="9" a="1"/>
  <c r="R32" i="9" s="1"/>
  <c r="S32" i="9" a="1"/>
  <c r="S32" i="9" s="1"/>
  <c r="T32" i="9" a="1"/>
  <c r="T32" i="9" s="1"/>
  <c r="U32" i="9" a="1"/>
  <c r="U32" i="9" s="1"/>
  <c r="V32" i="9" a="1"/>
  <c r="V32" i="9" s="1"/>
  <c r="W32" i="9" a="1"/>
  <c r="W32" i="9" s="1"/>
  <c r="AA32" i="9"/>
  <c r="R33" i="9" a="1"/>
  <c r="R33" i="9" s="1"/>
  <c r="S33" i="9" a="1"/>
  <c r="S33" i="9" s="1"/>
  <c r="T33" i="9" a="1"/>
  <c r="T33" i="9" s="1"/>
  <c r="U33" i="9" a="1"/>
  <c r="U33" i="9" s="1"/>
  <c r="V33" i="9" a="1"/>
  <c r="V33" i="9" s="1"/>
  <c r="W33" i="9" a="1"/>
  <c r="W33" i="9" s="1"/>
  <c r="AA33" i="9"/>
  <c r="R34" i="9" a="1"/>
  <c r="R34" i="9" s="1"/>
  <c r="S34" i="9" a="1"/>
  <c r="S34" i="9" s="1"/>
  <c r="T34" i="9" a="1"/>
  <c r="T34" i="9" s="1"/>
  <c r="U34" i="9" a="1"/>
  <c r="U34" i="9" s="1"/>
  <c r="V34" i="9" a="1"/>
  <c r="V34" i="9" s="1"/>
  <c r="W34" i="9" a="1"/>
  <c r="W34" i="9" s="1"/>
  <c r="AA34" i="9"/>
  <c r="R35" i="9" a="1"/>
  <c r="R35" i="9" s="1"/>
  <c r="S35" i="9" a="1"/>
  <c r="S35" i="9" s="1"/>
  <c r="T35" i="9" a="1"/>
  <c r="T35" i="9" s="1"/>
  <c r="U35" i="9" a="1"/>
  <c r="U35" i="9" s="1"/>
  <c r="V35" i="9" a="1"/>
  <c r="V35" i="9" s="1"/>
  <c r="W35" i="9" a="1"/>
  <c r="W35" i="9" s="1"/>
  <c r="AA35" i="9"/>
  <c r="H15" i="6"/>
  <c r="I15" i="6" s="1"/>
  <c r="G13" i="6"/>
  <c r="G14" i="6"/>
  <c r="G15" i="6"/>
  <c r="I13" i="6"/>
  <c r="I14" i="6"/>
  <c r="H11" i="6"/>
  <c r="I11" i="6" s="1"/>
  <c r="H12" i="6"/>
  <c r="I12" i="6" s="1"/>
  <c r="H10" i="6"/>
  <c r="I10" i="6" s="1"/>
  <c r="H7" i="6"/>
  <c r="I7" i="6" s="1"/>
  <c r="J4" i="14"/>
  <c r="C5" i="12"/>
  <c r="C6" i="12"/>
  <c r="C7" i="12"/>
  <c r="C8" i="12"/>
  <c r="C9" i="12"/>
  <c r="C10" i="12"/>
  <c r="C11" i="12"/>
  <c r="C12" i="12"/>
  <c r="C13" i="12"/>
  <c r="C14" i="12"/>
  <c r="C15" i="12"/>
  <c r="C16" i="12"/>
  <c r="C17" i="12"/>
  <c r="C18" i="12"/>
  <c r="C19" i="12"/>
  <c r="C20" i="12"/>
  <c r="C21" i="12"/>
  <c r="C22" i="12"/>
  <c r="C23" i="12"/>
  <c r="C24" i="12"/>
  <c r="C25" i="12"/>
  <c r="C26" i="12"/>
  <c r="C27" i="12"/>
  <c r="C28" i="12"/>
  <c r="C29" i="12"/>
  <c r="C30" i="12"/>
  <c r="C31" i="12"/>
  <c r="C32" i="12"/>
  <c r="C33" i="12"/>
  <c r="C34" i="12"/>
  <c r="C35" i="12"/>
  <c r="C36" i="12"/>
  <c r="C4" i="12"/>
  <c r="G2" i="7"/>
  <c r="G3" i="7"/>
  <c r="G4" i="7"/>
  <c r="H4" i="7" s="1"/>
  <c r="G5" i="7"/>
  <c r="H5" i="7" s="1"/>
  <c r="G6" i="7"/>
  <c r="H6" i="7" s="1"/>
  <c r="G7" i="7"/>
  <c r="H7" i="7" s="1"/>
  <c r="I35" i="12"/>
  <c r="G5" i="6"/>
  <c r="G6" i="6"/>
  <c r="G7" i="6"/>
  <c r="G8" i="6"/>
  <c r="G9" i="6"/>
  <c r="G10" i="6"/>
  <c r="G11" i="6"/>
  <c r="G12" i="6"/>
  <c r="G32" i="6" s="1"/>
  <c r="I8" i="6"/>
  <c r="I9" i="6"/>
  <c r="F5" i="15"/>
  <c r="F6" i="15"/>
  <c r="G8" i="15"/>
  <c r="G9" i="15"/>
  <c r="H9" i="15" s="1"/>
  <c r="B84" i="9" a="1"/>
  <c r="B84" i="9" s="1"/>
  <c r="J27" i="15"/>
  <c r="J26" i="15"/>
  <c r="J25" i="15"/>
  <c r="J30" i="15"/>
  <c r="C6" i="8"/>
  <c r="E15" i="7"/>
  <c r="E16" i="7"/>
  <c r="E17" i="7"/>
  <c r="E18" i="7"/>
  <c r="E19" i="7"/>
  <c r="E20" i="7"/>
  <c r="E21" i="7"/>
  <c r="E22" i="7"/>
  <c r="E23" i="7"/>
  <c r="E24" i="7"/>
  <c r="E25" i="7"/>
  <c r="E26" i="7"/>
  <c r="E27" i="7"/>
  <c r="E28" i="7"/>
  <c r="E29" i="7"/>
  <c r="E30" i="7"/>
  <c r="E31" i="7"/>
  <c r="E32" i="7"/>
  <c r="E33" i="7"/>
  <c r="E34" i="7"/>
  <c r="E35" i="7"/>
  <c r="E14" i="7"/>
  <c r="E83" i="2"/>
  <c r="F83" i="2"/>
  <c r="H83" i="2"/>
  <c r="I83" i="2"/>
  <c r="D83" i="2"/>
  <c r="E84" i="2"/>
  <c r="F84" i="2"/>
  <c r="H84" i="2"/>
  <c r="I84" i="2"/>
  <c r="D84" i="2"/>
  <c r="E85" i="2"/>
  <c r="F85" i="2"/>
  <c r="E86" i="2"/>
  <c r="F86" i="2"/>
  <c r="H86" i="2"/>
  <c r="I86" i="2"/>
  <c r="D86" i="2"/>
  <c r="E87" i="2"/>
  <c r="F87" i="2"/>
  <c r="H87" i="2"/>
  <c r="I87" i="2"/>
  <c r="D87" i="2"/>
  <c r="E88" i="2"/>
  <c r="F88" i="2"/>
  <c r="E89" i="2"/>
  <c r="F89" i="2"/>
  <c r="G89" i="2"/>
  <c r="E90" i="2"/>
  <c r="F90" i="2"/>
  <c r="H90" i="2"/>
  <c r="I90" i="2"/>
  <c r="D90" i="2"/>
  <c r="E91" i="2"/>
  <c r="F91" i="2"/>
  <c r="H91" i="2"/>
  <c r="I91" i="2"/>
  <c r="D91" i="2"/>
  <c r="E92" i="2"/>
  <c r="F92" i="2"/>
  <c r="G92" i="2"/>
  <c r="E93" i="2"/>
  <c r="F93" i="2"/>
  <c r="G93" i="2"/>
  <c r="E94" i="2"/>
  <c r="F94" i="2"/>
  <c r="G94" i="2"/>
  <c r="E95" i="2"/>
  <c r="F95" i="2"/>
  <c r="G95" i="2"/>
  <c r="E96" i="2"/>
  <c r="F96" i="2"/>
  <c r="H96" i="2"/>
  <c r="I96" i="2"/>
  <c r="D96" i="2"/>
  <c r="G96" i="2"/>
  <c r="E97" i="2"/>
  <c r="F97" i="2"/>
  <c r="G97" i="2"/>
  <c r="E98" i="2"/>
  <c r="F98" i="2"/>
  <c r="G98" i="2"/>
  <c r="E99" i="2"/>
  <c r="F99" i="2"/>
  <c r="G99" i="2"/>
  <c r="H99" i="2"/>
  <c r="I99" i="2"/>
  <c r="D99" i="2"/>
  <c r="E100" i="2"/>
  <c r="F100" i="2"/>
  <c r="G100" i="2"/>
  <c r="H100" i="2"/>
  <c r="I100" i="2"/>
  <c r="D100" i="2"/>
  <c r="E101" i="2"/>
  <c r="F101" i="2"/>
  <c r="G101" i="2"/>
  <c r="H101" i="2"/>
  <c r="I101" i="2"/>
  <c r="D101" i="2"/>
  <c r="E102" i="2"/>
  <c r="F102" i="2"/>
  <c r="G102" i="2"/>
  <c r="H102" i="2"/>
  <c r="I102" i="2"/>
  <c r="D102" i="2"/>
  <c r="E103" i="2"/>
  <c r="F103" i="2"/>
  <c r="G103" i="2"/>
  <c r="H103" i="2"/>
  <c r="I103" i="2"/>
  <c r="D103" i="2"/>
  <c r="E104" i="2"/>
  <c r="F104" i="2"/>
  <c r="G104" i="2"/>
  <c r="H104" i="2"/>
  <c r="I104" i="2"/>
  <c r="D104" i="2"/>
  <c r="E105" i="2"/>
  <c r="F105" i="2"/>
  <c r="G105" i="2"/>
  <c r="H105" i="2"/>
  <c r="I105" i="2"/>
  <c r="D105" i="2"/>
  <c r="E106" i="2"/>
  <c r="F106" i="2"/>
  <c r="G106" i="2"/>
  <c r="H106" i="2"/>
  <c r="I106" i="2"/>
  <c r="D106" i="2"/>
  <c r="E107" i="2"/>
  <c r="F107" i="2"/>
  <c r="G107" i="2"/>
  <c r="H107" i="2"/>
  <c r="I107" i="2"/>
  <c r="D107" i="2"/>
  <c r="E108" i="2"/>
  <c r="F108" i="2"/>
  <c r="G108" i="2"/>
  <c r="H108" i="2"/>
  <c r="I108" i="2"/>
  <c r="D108" i="2"/>
  <c r="E109" i="2"/>
  <c r="F109" i="2"/>
  <c r="G109" i="2"/>
  <c r="H109" i="2"/>
  <c r="I109" i="2"/>
  <c r="D109" i="2"/>
  <c r="E110" i="2"/>
  <c r="F110" i="2"/>
  <c r="G110" i="2"/>
  <c r="H110" i="2"/>
  <c r="I110" i="2"/>
  <c r="D110" i="2"/>
  <c r="E111" i="2"/>
  <c r="F111" i="2"/>
  <c r="G111" i="2"/>
  <c r="H111" i="2"/>
  <c r="I111" i="2"/>
  <c r="D111" i="2"/>
  <c r="E112" i="2"/>
  <c r="F112" i="2"/>
  <c r="G112" i="2"/>
  <c r="H112" i="2"/>
  <c r="I112" i="2"/>
  <c r="D112" i="2"/>
  <c r="E113" i="2"/>
  <c r="F113" i="2"/>
  <c r="G113" i="2"/>
  <c r="H113" i="2"/>
  <c r="I113" i="2"/>
  <c r="D113" i="2"/>
  <c r="E114" i="2"/>
  <c r="F114" i="2"/>
  <c r="G114" i="2"/>
  <c r="H114" i="2"/>
  <c r="I114" i="2"/>
  <c r="D114" i="2"/>
  <c r="E115" i="2"/>
  <c r="F115" i="2"/>
  <c r="G115" i="2"/>
  <c r="H115" i="2"/>
  <c r="I115" i="2"/>
  <c r="D115" i="2"/>
  <c r="E116" i="2"/>
  <c r="F116" i="2"/>
  <c r="G116" i="2"/>
  <c r="H116" i="2"/>
  <c r="I116" i="2"/>
  <c r="D116" i="2"/>
  <c r="E117" i="2"/>
  <c r="F117" i="2"/>
  <c r="G117" i="2"/>
  <c r="H117" i="2"/>
  <c r="I117" i="2"/>
  <c r="D117" i="2"/>
  <c r="E118" i="2"/>
  <c r="F118" i="2"/>
  <c r="G118" i="2"/>
  <c r="H118" i="2"/>
  <c r="I118" i="2"/>
  <c r="D118" i="2"/>
  <c r="E119" i="2"/>
  <c r="F119" i="2"/>
  <c r="G119" i="2"/>
  <c r="H119" i="2"/>
  <c r="I119" i="2"/>
  <c r="D119" i="2"/>
  <c r="E74" i="2"/>
  <c r="F74" i="2"/>
  <c r="E75" i="2"/>
  <c r="F75" i="2"/>
  <c r="H75" i="2"/>
  <c r="I75" i="2"/>
  <c r="D75" i="2"/>
  <c r="E76" i="2"/>
  <c r="F76" i="2"/>
  <c r="E77" i="2"/>
  <c r="F77" i="2"/>
  <c r="H77" i="2"/>
  <c r="I77" i="2"/>
  <c r="D77" i="2"/>
  <c r="E78" i="2"/>
  <c r="F78" i="2"/>
  <c r="H78" i="2"/>
  <c r="I78" i="2"/>
  <c r="D78" i="2"/>
  <c r="E79" i="2"/>
  <c r="F79" i="2"/>
  <c r="H79" i="2"/>
  <c r="I79" i="2"/>
  <c r="D79" i="2"/>
  <c r="E80" i="2"/>
  <c r="F80" i="2"/>
  <c r="H80" i="2"/>
  <c r="I80" i="2"/>
  <c r="D80" i="2"/>
  <c r="E81" i="2"/>
  <c r="F81" i="2"/>
  <c r="E82" i="2"/>
  <c r="F82" i="2"/>
  <c r="A23" i="20"/>
  <c r="A24" i="20"/>
  <c r="A25" i="20"/>
  <c r="A26" i="20"/>
  <c r="A27" i="20"/>
  <c r="A28" i="20"/>
  <c r="Q5" i="9" a="1"/>
  <c r="B49" i="9" a="1"/>
  <c r="L64" i="9"/>
  <c r="G5" i="15"/>
  <c r="G6" i="15"/>
  <c r="D30" i="18"/>
  <c r="I3" i="12"/>
  <c r="J3" i="14"/>
  <c r="I6" i="12"/>
  <c r="I7" i="12"/>
  <c r="I8" i="12"/>
  <c r="I9" i="12"/>
  <c r="I10" i="12"/>
  <c r="I11" i="12"/>
  <c r="I12" i="12"/>
  <c r="I13" i="12"/>
  <c r="I14" i="12"/>
  <c r="I15" i="12"/>
  <c r="I16" i="12"/>
  <c r="I17" i="12"/>
  <c r="I18" i="12"/>
  <c r="I19" i="12"/>
  <c r="I20" i="12"/>
  <c r="I21" i="12"/>
  <c r="I22" i="12"/>
  <c r="I23" i="12"/>
  <c r="I24" i="12"/>
  <c r="I25" i="12"/>
  <c r="I26" i="12"/>
  <c r="I27" i="12"/>
  <c r="I28" i="12"/>
  <c r="I29" i="12"/>
  <c r="I30" i="12"/>
  <c r="I31" i="12"/>
  <c r="I32" i="12"/>
  <c r="I33" i="12"/>
  <c r="I34" i="12"/>
  <c r="G4" i="6"/>
  <c r="E56" i="2"/>
  <c r="F56" i="2"/>
  <c r="E57" i="2"/>
  <c r="F57" i="2"/>
  <c r="H57" i="2"/>
  <c r="I57" i="2"/>
  <c r="D57" i="2"/>
  <c r="E58" i="2"/>
  <c r="F58" i="2"/>
  <c r="H58" i="2"/>
  <c r="I58" i="2"/>
  <c r="D58" i="2"/>
  <c r="E59" i="2"/>
  <c r="F59" i="2"/>
  <c r="H59" i="2"/>
  <c r="I59" i="2"/>
  <c r="D59" i="2"/>
  <c r="E60" i="2"/>
  <c r="F60" i="2"/>
  <c r="H60" i="2"/>
  <c r="I60" i="2"/>
  <c r="D60" i="2"/>
  <c r="E61" i="2"/>
  <c r="F61" i="2"/>
  <c r="H61" i="2"/>
  <c r="I61" i="2"/>
  <c r="D61" i="2"/>
  <c r="E62" i="2"/>
  <c r="F62" i="2"/>
  <c r="H62" i="2"/>
  <c r="I62" i="2"/>
  <c r="D62" i="2"/>
  <c r="E63" i="2"/>
  <c r="F63" i="2"/>
  <c r="H63" i="2"/>
  <c r="I63" i="2"/>
  <c r="D63" i="2"/>
  <c r="E64" i="2"/>
  <c r="F64" i="2"/>
  <c r="H64" i="2"/>
  <c r="I64" i="2"/>
  <c r="D64" i="2"/>
  <c r="E65" i="2"/>
  <c r="F65" i="2"/>
  <c r="E66" i="2"/>
  <c r="F66" i="2"/>
  <c r="H66" i="2"/>
  <c r="I66" i="2"/>
  <c r="D66" i="2"/>
  <c r="E67" i="2"/>
  <c r="F67" i="2"/>
  <c r="H67" i="2"/>
  <c r="I67" i="2"/>
  <c r="D67" i="2"/>
  <c r="E68" i="2"/>
  <c r="F68" i="2"/>
  <c r="H68" i="2"/>
  <c r="I68" i="2"/>
  <c r="D68" i="2"/>
  <c r="E69" i="2"/>
  <c r="F69" i="2"/>
  <c r="H69" i="2"/>
  <c r="I69" i="2"/>
  <c r="D69" i="2"/>
  <c r="E70" i="2"/>
  <c r="F70" i="2"/>
  <c r="H70" i="2"/>
  <c r="I70" i="2"/>
  <c r="D70" i="2"/>
  <c r="E71" i="2"/>
  <c r="F71" i="2"/>
  <c r="H71" i="2"/>
  <c r="I71" i="2"/>
  <c r="D71" i="2"/>
  <c r="E72" i="2"/>
  <c r="F72" i="2"/>
  <c r="E73" i="2"/>
  <c r="F73" i="2"/>
  <c r="H73" i="2"/>
  <c r="I73" i="2"/>
  <c r="D73" i="2"/>
  <c r="E45" i="2"/>
  <c r="F45" i="2"/>
  <c r="H45" i="2"/>
  <c r="I45" i="2"/>
  <c r="D45" i="2"/>
  <c r="E46" i="2"/>
  <c r="F46" i="2"/>
  <c r="H46" i="2"/>
  <c r="I46" i="2"/>
  <c r="D46" i="2"/>
  <c r="E47" i="2"/>
  <c r="F47" i="2"/>
  <c r="H47" i="2"/>
  <c r="I47" i="2"/>
  <c r="D47" i="2"/>
  <c r="E48" i="2"/>
  <c r="F48" i="2"/>
  <c r="H48" i="2"/>
  <c r="I48" i="2"/>
  <c r="D48" i="2"/>
  <c r="E49" i="2"/>
  <c r="F49" i="2"/>
  <c r="H49" i="2"/>
  <c r="I49" i="2"/>
  <c r="D49" i="2"/>
  <c r="E50" i="2"/>
  <c r="F50" i="2"/>
  <c r="H50" i="2"/>
  <c r="I50" i="2"/>
  <c r="D50" i="2"/>
  <c r="E51" i="2"/>
  <c r="F51" i="2"/>
  <c r="H51" i="2"/>
  <c r="I51" i="2"/>
  <c r="D51" i="2"/>
  <c r="E52" i="2"/>
  <c r="F52" i="2"/>
  <c r="H52" i="2"/>
  <c r="I52" i="2"/>
  <c r="D52" i="2"/>
  <c r="E53" i="2"/>
  <c r="F53" i="2"/>
  <c r="H53" i="2"/>
  <c r="I53" i="2"/>
  <c r="D53" i="2"/>
  <c r="E54" i="2"/>
  <c r="F54" i="2"/>
  <c r="H54" i="2"/>
  <c r="I54" i="2"/>
  <c r="D54" i="2"/>
  <c r="E55" i="2"/>
  <c r="F55" i="2"/>
  <c r="H55" i="2"/>
  <c r="I55" i="2"/>
  <c r="D55" i="2"/>
  <c r="C3" i="12"/>
  <c r="O7" i="17"/>
  <c r="D21" i="18"/>
  <c r="D22" i="18"/>
  <c r="D23" i="18"/>
  <c r="D24" i="18"/>
  <c r="D25" i="18"/>
  <c r="D26" i="18"/>
  <c r="D27" i="18"/>
  <c r="D28" i="18"/>
  <c r="D29" i="18"/>
  <c r="D31" i="18"/>
  <c r="D32" i="18"/>
  <c r="D33" i="18"/>
  <c r="D34" i="18"/>
  <c r="E21" i="18"/>
  <c r="E22" i="18"/>
  <c r="E23" i="18"/>
  <c r="E24" i="18"/>
  <c r="E25" i="18"/>
  <c r="E26" i="18"/>
  <c r="E27" i="18"/>
  <c r="E28" i="18"/>
  <c r="E29" i="18"/>
  <c r="E30" i="18"/>
  <c r="E31" i="18"/>
  <c r="E32" i="18"/>
  <c r="E33" i="18"/>
  <c r="E34" i="18"/>
  <c r="J21" i="14"/>
  <c r="J22" i="14"/>
  <c r="J23" i="14"/>
  <c r="J24" i="14"/>
  <c r="J25" i="14"/>
  <c r="J26" i="14"/>
  <c r="J27" i="14"/>
  <c r="J28" i="14"/>
  <c r="J29" i="14"/>
  <c r="J30" i="14"/>
  <c r="J31" i="14"/>
  <c r="J32" i="14"/>
  <c r="J33" i="14"/>
  <c r="J34" i="14"/>
  <c r="D17" i="14"/>
  <c r="D18" i="14"/>
  <c r="D19" i="14"/>
  <c r="D20" i="14"/>
  <c r="D21" i="14"/>
  <c r="D22" i="14"/>
  <c r="D23" i="14"/>
  <c r="D24" i="14"/>
  <c r="D25" i="14"/>
  <c r="D26" i="14"/>
  <c r="D27" i="14"/>
  <c r="D28" i="14"/>
  <c r="D29" i="14"/>
  <c r="D30" i="14"/>
  <c r="D31" i="14"/>
  <c r="D32" i="14"/>
  <c r="D33" i="14"/>
  <c r="D34" i="14"/>
  <c r="G3" i="6"/>
  <c r="G2" i="6"/>
  <c r="C19" i="8"/>
  <c r="D16" i="14"/>
  <c r="J18" i="14"/>
  <c r="J19" i="14"/>
  <c r="J20" i="14"/>
  <c r="E33" i="2"/>
  <c r="F33" i="2"/>
  <c r="G33" i="2" s="1"/>
  <c r="E34" i="2"/>
  <c r="F34" i="2"/>
  <c r="H34" i="2"/>
  <c r="I34" i="2"/>
  <c r="D34" i="2"/>
  <c r="E35" i="2"/>
  <c r="F35" i="2"/>
  <c r="H35" i="2"/>
  <c r="I35" i="2"/>
  <c r="D35" i="2"/>
  <c r="E36" i="2"/>
  <c r="F36" i="2"/>
  <c r="E37" i="2"/>
  <c r="F37" i="2"/>
  <c r="H37" i="2"/>
  <c r="I37" i="2"/>
  <c r="D37" i="2"/>
  <c r="E39" i="2"/>
  <c r="F39" i="2"/>
  <c r="H39" i="2"/>
  <c r="I39" i="2"/>
  <c r="D39" i="2"/>
  <c r="E40" i="2"/>
  <c r="F40" i="2"/>
  <c r="H40" i="2"/>
  <c r="I40" i="2"/>
  <c r="D40" i="2"/>
  <c r="E41" i="2"/>
  <c r="F41" i="2"/>
  <c r="E42" i="2"/>
  <c r="F42" i="2"/>
  <c r="E43" i="2"/>
  <c r="F43" i="2"/>
  <c r="H43" i="2"/>
  <c r="I43" i="2"/>
  <c r="D43" i="2"/>
  <c r="E44" i="2"/>
  <c r="F44" i="2"/>
  <c r="H44" i="2"/>
  <c r="I44" i="2"/>
  <c r="D44" i="2"/>
  <c r="F38" i="2"/>
  <c r="H38" i="2" s="1"/>
  <c r="I38" i="2" s="1"/>
  <c r="D38" i="2" s="1"/>
  <c r="E38" i="2"/>
  <c r="G38" i="2" s="1"/>
  <c r="I4" i="12"/>
  <c r="I5" i="12"/>
  <c r="D3" i="14"/>
  <c r="D4" i="14"/>
  <c r="D5" i="14"/>
  <c r="D6" i="14"/>
  <c r="D7" i="14"/>
  <c r="D8" i="14"/>
  <c r="D9" i="14"/>
  <c r="D10" i="14"/>
  <c r="D11" i="14"/>
  <c r="D12" i="14"/>
  <c r="D13" i="14"/>
  <c r="D14" i="14"/>
  <c r="D15" i="14"/>
  <c r="D3" i="18"/>
  <c r="D4" i="18"/>
  <c r="D5" i="18"/>
  <c r="D6" i="18"/>
  <c r="D7" i="18"/>
  <c r="D8" i="18"/>
  <c r="D9" i="18"/>
  <c r="D10" i="18"/>
  <c r="D11" i="18"/>
  <c r="D12" i="18"/>
  <c r="D13" i="18"/>
  <c r="D14" i="18"/>
  <c r="D15" i="18"/>
  <c r="D16" i="18"/>
  <c r="D17" i="18"/>
  <c r="D18" i="18"/>
  <c r="D19" i="18"/>
  <c r="D20" i="18"/>
  <c r="J5" i="14"/>
  <c r="J6" i="14"/>
  <c r="J7" i="14"/>
  <c r="J8" i="14"/>
  <c r="J9" i="14"/>
  <c r="J10" i="14"/>
  <c r="J11" i="14"/>
  <c r="J12" i="14"/>
  <c r="J13" i="14"/>
  <c r="J14" i="14"/>
  <c r="J16" i="14"/>
  <c r="J17" i="14"/>
  <c r="J4" i="19" a="1"/>
  <c r="J4" i="19" s="1"/>
  <c r="E8" i="18"/>
  <c r="E3" i="18"/>
  <c r="E4" i="18"/>
  <c r="E5" i="18"/>
  <c r="E6" i="18"/>
  <c r="E7" i="18"/>
  <c r="E9" i="18"/>
  <c r="E10" i="18"/>
  <c r="E11" i="18"/>
  <c r="E12" i="18"/>
  <c r="E13" i="18"/>
  <c r="E14" i="18"/>
  <c r="E15" i="18"/>
  <c r="E16" i="18"/>
  <c r="E17" i="18"/>
  <c r="E18" i="18"/>
  <c r="E19" i="18"/>
  <c r="E20" i="18"/>
  <c r="F21" i="2"/>
  <c r="H21" i="2" s="1"/>
  <c r="I21" i="2" s="1"/>
  <c r="D21" i="2" s="1"/>
  <c r="F22" i="2"/>
  <c r="F23" i="2"/>
  <c r="H23" i="2"/>
  <c r="I23" i="2" s="1"/>
  <c r="D23" i="2" s="1"/>
  <c r="F24" i="2"/>
  <c r="F25" i="2"/>
  <c r="H25" i="2" s="1"/>
  <c r="I25" i="2" s="1"/>
  <c r="D25" i="2" s="1"/>
  <c r="F26" i="2"/>
  <c r="H26" i="2" s="1"/>
  <c r="I26" i="2" s="1"/>
  <c r="D26" i="2" s="1"/>
  <c r="F27" i="2"/>
  <c r="H27" i="2"/>
  <c r="I27" i="2" s="1"/>
  <c r="D27" i="2" s="1"/>
  <c r="F28" i="2"/>
  <c r="F29" i="2"/>
  <c r="H29" i="2"/>
  <c r="I29" i="2" s="1"/>
  <c r="D29" i="2" s="1"/>
  <c r="F30" i="2"/>
  <c r="H30" i="2" s="1"/>
  <c r="I30" i="2" s="1"/>
  <c r="D30" i="2" s="1"/>
  <c r="F31" i="2"/>
  <c r="F32" i="2"/>
  <c r="H32" i="2" s="1"/>
  <c r="I32" i="2" s="1"/>
  <c r="D32" i="2" s="1"/>
  <c r="E22" i="2"/>
  <c r="E23" i="2"/>
  <c r="E24" i="2"/>
  <c r="E25" i="2"/>
  <c r="E26" i="2"/>
  <c r="E27" i="2"/>
  <c r="E28" i="2"/>
  <c r="E29" i="2"/>
  <c r="E30" i="2"/>
  <c r="E31" i="2"/>
  <c r="E32" i="2"/>
  <c r="E20" i="2"/>
  <c r="E21" i="2"/>
  <c r="N4" i="17"/>
  <c r="F20" i="2"/>
  <c r="H20" i="2" s="1"/>
  <c r="I20" i="2" s="1"/>
  <c r="D20" i="2" s="1"/>
  <c r="E15" i="2"/>
  <c r="F15" i="2"/>
  <c r="H15" i="2" s="1"/>
  <c r="I15" i="2" s="1"/>
  <c r="D15" i="2" s="1"/>
  <c r="E16" i="2"/>
  <c r="E17" i="2"/>
  <c r="E18" i="2"/>
  <c r="E19" i="2"/>
  <c r="E7" i="2"/>
  <c r="E8" i="2"/>
  <c r="E9" i="2"/>
  <c r="E10" i="2"/>
  <c r="E11" i="2"/>
  <c r="E12" i="2"/>
  <c r="E13" i="2"/>
  <c r="E14" i="2"/>
  <c r="E5" i="2"/>
  <c r="E6" i="2"/>
  <c r="E4" i="2"/>
  <c r="F13" i="2"/>
  <c r="F14" i="2"/>
  <c r="F16" i="2"/>
  <c r="H16" i="2"/>
  <c r="I16" i="2" s="1"/>
  <c r="D16" i="2" s="1"/>
  <c r="F17" i="2"/>
  <c r="F18" i="2"/>
  <c r="H18" i="2" s="1"/>
  <c r="I18" i="2" s="1"/>
  <c r="D18" i="2" s="1"/>
  <c r="F19" i="2"/>
  <c r="H19" i="2" s="1"/>
  <c r="I19" i="2" s="1"/>
  <c r="D19" i="2" s="1"/>
  <c r="C8" i="8"/>
  <c r="F11" i="2"/>
  <c r="H11" i="2" s="1"/>
  <c r="I11" i="2" s="1"/>
  <c r="F10" i="2"/>
  <c r="H10" i="2" s="1"/>
  <c r="I10" i="2" s="1"/>
  <c r="D10" i="2" s="1"/>
  <c r="F6" i="2"/>
  <c r="H6" i="2" s="1"/>
  <c r="I6" i="2" s="1"/>
  <c r="D6" i="2" s="1"/>
  <c r="F7" i="2"/>
  <c r="F8" i="2"/>
  <c r="H8" i="2" s="1"/>
  <c r="I8" i="2" s="1"/>
  <c r="D8" i="2" s="1"/>
  <c r="F9" i="2"/>
  <c r="H9" i="2" s="1"/>
  <c r="I9" i="2" s="1"/>
  <c r="D9" i="2" s="1"/>
  <c r="N3" i="7"/>
  <c r="N5" i="7"/>
  <c r="E6" i="11"/>
  <c r="D6" i="11"/>
  <c r="F12" i="2"/>
  <c r="H12" i="2" s="1"/>
  <c r="I12" i="2" s="1"/>
  <c r="D12" i="2" s="1"/>
  <c r="F5" i="2"/>
  <c r="H5" i="2"/>
  <c r="I5" i="2" s="1"/>
  <c r="D5" i="2" s="1"/>
  <c r="F3" i="2"/>
  <c r="F4" i="2"/>
  <c r="G4" i="2" s="1"/>
  <c r="J15" i="14"/>
  <c r="H92" i="2"/>
  <c r="I92" i="2"/>
  <c r="D92" i="2"/>
  <c r="G76" i="2"/>
  <c r="G88" i="2"/>
  <c r="G81" i="2"/>
  <c r="G72" i="2"/>
  <c r="G87" i="2"/>
  <c r="H94" i="2"/>
  <c r="I94" i="2"/>
  <c r="D94" i="2"/>
  <c r="G91" i="2"/>
  <c r="G90" i="2"/>
  <c r="H89" i="2"/>
  <c r="I89" i="2"/>
  <c r="D89" i="2"/>
  <c r="E8" i="7"/>
  <c r="G83" i="2"/>
  <c r="G80" i="2"/>
  <c r="H98" i="2"/>
  <c r="I98" i="2"/>
  <c r="D98" i="2"/>
  <c r="H93" i="2"/>
  <c r="I93" i="2"/>
  <c r="D93" i="2"/>
  <c r="G85" i="2"/>
  <c r="H88" i="2"/>
  <c r="I88" i="2"/>
  <c r="D88" i="2"/>
  <c r="G41" i="2"/>
  <c r="H95" i="2"/>
  <c r="I95" i="2"/>
  <c r="D95" i="2"/>
  <c r="G84" i="2"/>
  <c r="H97" i="2"/>
  <c r="I97" i="2"/>
  <c r="D97" i="2"/>
  <c r="G71" i="2"/>
  <c r="G60" i="2"/>
  <c r="G50" i="2"/>
  <c r="G67" i="2"/>
  <c r="G42" i="2"/>
  <c r="G36" i="2"/>
  <c r="G55" i="2"/>
  <c r="H72" i="2"/>
  <c r="I72" i="2"/>
  <c r="D72" i="2"/>
  <c r="G58" i="2"/>
  <c r="G35" i="2"/>
  <c r="G86" i="2"/>
  <c r="G70" i="2"/>
  <c r="G56" i="2"/>
  <c r="G39" i="2"/>
  <c r="G65" i="2"/>
  <c r="G44" i="2"/>
  <c r="G77" i="2"/>
  <c r="G75" i="2"/>
  <c r="G45" i="2"/>
  <c r="G64" i="2"/>
  <c r="G74" i="2"/>
  <c r="G68" i="2"/>
  <c r="G82" i="2"/>
  <c r="G78" i="2"/>
  <c r="H85" i="2"/>
  <c r="I85" i="2"/>
  <c r="D85" i="2"/>
  <c r="G47" i="2"/>
  <c r="G46" i="2"/>
  <c r="G79" i="2"/>
  <c r="G49" i="2"/>
  <c r="G52" i="2"/>
  <c r="H56" i="2"/>
  <c r="I56" i="2"/>
  <c r="D56" i="2"/>
  <c r="G53" i="2"/>
  <c r="H82" i="2"/>
  <c r="I82" i="2"/>
  <c r="D82" i="2"/>
  <c r="G34" i="2"/>
  <c r="G37" i="2"/>
  <c r="G40" i="2"/>
  <c r="G59" i="2"/>
  <c r="G63" i="2"/>
  <c r="H74" i="2"/>
  <c r="I74" i="2"/>
  <c r="D74" i="2"/>
  <c r="H81" i="2"/>
  <c r="I81" i="2"/>
  <c r="D81" i="2"/>
  <c r="H76" i="2"/>
  <c r="I76" i="2"/>
  <c r="D76" i="2"/>
  <c r="G32" i="2"/>
  <c r="H28" i="1" s="1"/>
  <c r="G43" i="2"/>
  <c r="G73" i="2"/>
  <c r="G69" i="2"/>
  <c r="G66" i="2"/>
  <c r="G62" i="2"/>
  <c r="G57" i="2"/>
  <c r="H33" i="2"/>
  <c r="I33" i="2" s="1"/>
  <c r="D33" i="2" s="1"/>
  <c r="H41" i="2"/>
  <c r="I41" i="2"/>
  <c r="D41" i="2"/>
  <c r="H65" i="2"/>
  <c r="I65" i="2"/>
  <c r="D65" i="2"/>
  <c r="G51" i="2"/>
  <c r="G54" i="2"/>
  <c r="G48" i="2"/>
  <c r="H36" i="2"/>
  <c r="I36" i="2"/>
  <c r="D36" i="2"/>
  <c r="H42" i="2"/>
  <c r="I42" i="2"/>
  <c r="D42" i="2"/>
  <c r="G61" i="2"/>
  <c r="H5" i="1"/>
  <c r="H27" i="1"/>
  <c r="H33" i="1"/>
  <c r="H19" i="1"/>
  <c r="H22" i="1"/>
  <c r="H2" i="1"/>
  <c r="H20" i="1"/>
  <c r="H8" i="1"/>
  <c r="H9" i="1"/>
  <c r="H12" i="1"/>
  <c r="H6" i="1"/>
  <c r="H13" i="1"/>
  <c r="E37" i="7"/>
  <c r="C5" i="8"/>
  <c r="B2" i="2"/>
  <c r="G8" i="2"/>
  <c r="H39" i="1" s="1"/>
  <c r="H22" i="2"/>
  <c r="I22" i="2" s="1"/>
  <c r="D22" i="2" s="1"/>
  <c r="F10" i="15"/>
  <c r="I29" i="1"/>
  <c r="J29" i="1" s="1" a="1"/>
  <c r="J29" i="1" s="1"/>
  <c r="I16" i="1"/>
  <c r="J16" i="1" s="1" a="1"/>
  <c r="J16" i="1" s="1"/>
  <c r="I15" i="1"/>
  <c r="J15" i="1" s="1" a="1"/>
  <c r="J15" i="1" s="1"/>
  <c r="I33" i="1"/>
  <c r="J33" i="1" s="1" a="1"/>
  <c r="J33" i="1" s="1"/>
  <c r="I14" i="1"/>
  <c r="J14" i="1" s="1" a="1"/>
  <c r="J14" i="1" s="1"/>
  <c r="I32" i="1"/>
  <c r="J32" i="1" s="1" a="1"/>
  <c r="J32" i="1" s="1"/>
  <c r="I13" i="1"/>
  <c r="J13" i="1" s="1" a="1"/>
  <c r="J13" i="1" s="1"/>
  <c r="I31" i="1"/>
  <c r="J31" i="1" s="1" a="1"/>
  <c r="J31" i="1" s="1"/>
  <c r="I30" i="1"/>
  <c r="J30" i="1" s="1" a="1"/>
  <c r="J30" i="1" s="1"/>
  <c r="I17" i="1"/>
  <c r="J17" i="1" s="1" a="1"/>
  <c r="J17" i="1" s="1"/>
  <c r="C2" i="2"/>
  <c r="G15" i="2" l="1"/>
  <c r="H49" i="1" s="1"/>
  <c r="G25" i="2"/>
  <c r="H63" i="1" s="1"/>
  <c r="G21" i="2"/>
  <c r="H58" i="1" s="1"/>
  <c r="H76" i="1"/>
  <c r="G14" i="2"/>
  <c r="H48" i="1" s="1"/>
  <c r="J69" i="9" a="1"/>
  <c r="J69" i="9" s="1"/>
  <c r="I69" i="9" a="1"/>
  <c r="I69" i="9" s="1"/>
  <c r="X25" i="9" a="1"/>
  <c r="X25" i="9" s="1"/>
  <c r="V25" i="9" a="1"/>
  <c r="V25" i="9" s="1"/>
  <c r="G69" i="9" a="1"/>
  <c r="G69" i="9" s="1"/>
  <c r="K69" i="9" s="1"/>
  <c r="H69" i="9" a="1"/>
  <c r="H69" i="9" s="1"/>
  <c r="G68" i="9" a="1"/>
  <c r="G68" i="9" s="1"/>
  <c r="J68" i="9" a="1"/>
  <c r="J68" i="9" s="1"/>
  <c r="V24" i="9" a="1"/>
  <c r="V24" i="9" s="1"/>
  <c r="I68" i="9" a="1"/>
  <c r="I68" i="9" s="1"/>
  <c r="X24" i="9" a="1"/>
  <c r="X24" i="9" s="1"/>
  <c r="H68" i="9" a="1"/>
  <c r="H68" i="9" s="1"/>
  <c r="X14" i="9" a="1"/>
  <c r="X14" i="9" s="1"/>
  <c r="J58" i="9" a="1"/>
  <c r="J58" i="9" s="1"/>
  <c r="I64" i="9" a="1"/>
  <c r="I64" i="9" s="1"/>
  <c r="I59" i="9" a="1"/>
  <c r="I59" i="9" s="1"/>
  <c r="J57" i="9" a="1"/>
  <c r="J57" i="9" s="1"/>
  <c r="I58" i="9" a="1"/>
  <c r="I58" i="9" s="1"/>
  <c r="J56" i="9" a="1"/>
  <c r="J56" i="9" s="1"/>
  <c r="I57" i="9" a="1"/>
  <c r="I57" i="9" s="1"/>
  <c r="J50" i="9" a="1"/>
  <c r="J50" i="9" s="1"/>
  <c r="I52" i="9" a="1"/>
  <c r="I52" i="9" s="1"/>
  <c r="I51" i="9" a="1"/>
  <c r="I51" i="9" s="1"/>
  <c r="I50" i="9" a="1"/>
  <c r="I50" i="9" s="1"/>
  <c r="J65" i="9" a="1"/>
  <c r="J65" i="9" s="1"/>
  <c r="J63" i="9" a="1"/>
  <c r="J63" i="9" s="1"/>
  <c r="J62" i="9" a="1"/>
  <c r="J62" i="9" s="1"/>
  <c r="K6" i="6"/>
  <c r="C4" i="8" s="1"/>
  <c r="I23" i="1"/>
  <c r="J23" i="1" s="1" a="1"/>
  <c r="J23" i="1" s="1"/>
  <c r="D2" i="17"/>
  <c r="D179" i="17" s="1"/>
  <c r="I7" i="1"/>
  <c r="J7" i="1" s="1" a="1"/>
  <c r="J7" i="1" s="1"/>
  <c r="I65" i="9" a="1"/>
  <c r="I65" i="9" s="1"/>
  <c r="J64" i="9" a="1"/>
  <c r="J64" i="9" s="1"/>
  <c r="J51" i="9" a="1"/>
  <c r="J51" i="9" s="1"/>
  <c r="I63" i="9" a="1"/>
  <c r="I63" i="9" s="1"/>
  <c r="I56" i="9" a="1"/>
  <c r="I56" i="9" s="1"/>
  <c r="J55" i="9" a="1"/>
  <c r="J55" i="9" s="1"/>
  <c r="I62" i="9" a="1"/>
  <c r="I62" i="9" s="1"/>
  <c r="J61" i="9" a="1"/>
  <c r="J61" i="9" s="1"/>
  <c r="I55" i="9" a="1"/>
  <c r="I55" i="9" s="1"/>
  <c r="J54" i="9" a="1"/>
  <c r="J54" i="9" s="1"/>
  <c r="I61" i="9" a="1"/>
  <c r="I61" i="9" s="1"/>
  <c r="J60" i="9" a="1"/>
  <c r="J60" i="9" s="1"/>
  <c r="I67" i="9" a="1"/>
  <c r="I67" i="9" s="1"/>
  <c r="I54" i="9" a="1"/>
  <c r="I54" i="9" s="1"/>
  <c r="J67" i="9" a="1"/>
  <c r="J67" i="9" s="1"/>
  <c r="J53" i="9" a="1"/>
  <c r="J53" i="9" s="1"/>
  <c r="I60" i="9" a="1"/>
  <c r="I60" i="9" s="1"/>
  <c r="I53" i="9" a="1"/>
  <c r="I53" i="9" s="1"/>
  <c r="J66" i="9" a="1"/>
  <c r="J66" i="9" s="1"/>
  <c r="J59" i="9" a="1"/>
  <c r="J59" i="9" s="1"/>
  <c r="I66" i="9" a="1"/>
  <c r="I66" i="9" s="1"/>
  <c r="J52" i="9" a="1"/>
  <c r="J52" i="9" s="1"/>
  <c r="X19" i="9" a="1"/>
  <c r="X19" i="9" s="1"/>
  <c r="X12" i="9" a="1"/>
  <c r="X12" i="9" s="1"/>
  <c r="X11" i="9" a="1"/>
  <c r="X11" i="9" s="1"/>
  <c r="X18" i="9" a="1"/>
  <c r="X18" i="9" s="1"/>
  <c r="X17" i="9" a="1"/>
  <c r="X17" i="9" s="1"/>
  <c r="X23" i="9" a="1"/>
  <c r="X23" i="9" s="1"/>
  <c r="X10" i="9" a="1"/>
  <c r="X10" i="9" s="1"/>
  <c r="X16" i="9" a="1"/>
  <c r="X16" i="9" s="1"/>
  <c r="X22" i="9" a="1"/>
  <c r="X22" i="9" s="1"/>
  <c r="X9" i="9" a="1"/>
  <c r="X9" i="9" s="1"/>
  <c r="X15" i="9" a="1"/>
  <c r="X15" i="9" s="1"/>
  <c r="X21" i="9" a="1"/>
  <c r="X21" i="9" s="1"/>
  <c r="X8" i="9" a="1"/>
  <c r="X8" i="9" s="1"/>
  <c r="H50" i="9" a="1"/>
  <c r="H50" i="9" s="1"/>
  <c r="X20" i="9" a="1"/>
  <c r="X20" i="9" s="1"/>
  <c r="X7" i="9" a="1"/>
  <c r="X7" i="9" s="1"/>
  <c r="X13" i="9" a="1"/>
  <c r="X13" i="9" s="1"/>
  <c r="X6" i="9" a="1"/>
  <c r="X6" i="9" s="1"/>
  <c r="G62" i="9" a="1"/>
  <c r="G62" i="9" s="1"/>
  <c r="W23" i="9" a="1"/>
  <c r="W23" i="9" s="1"/>
  <c r="G59" i="9" a="1"/>
  <c r="G59" i="9" s="1"/>
  <c r="H62" i="9" a="1"/>
  <c r="H62" i="9" s="1"/>
  <c r="G58" i="9" a="1"/>
  <c r="G58" i="9" s="1"/>
  <c r="H61" i="9" a="1"/>
  <c r="H61" i="9" s="1"/>
  <c r="G61" i="9" a="1"/>
  <c r="G61" i="9" s="1"/>
  <c r="H63" i="9" a="1"/>
  <c r="H63" i="9" s="1"/>
  <c r="G52" i="9" a="1"/>
  <c r="G52" i="9" s="1"/>
  <c r="H56" i="9" a="1"/>
  <c r="H56" i="9" s="1"/>
  <c r="H55" i="9" a="1"/>
  <c r="H55" i="9" s="1"/>
  <c r="G57" i="9" a="1"/>
  <c r="G57" i="9" s="1"/>
  <c r="G67" i="9" a="1"/>
  <c r="G67" i="9" s="1"/>
  <c r="H54" i="9" a="1"/>
  <c r="H54" i="9" s="1"/>
  <c r="W22" i="9" a="1"/>
  <c r="W22" i="9" s="1"/>
  <c r="G66" i="9" a="1"/>
  <c r="G66" i="9" s="1"/>
  <c r="H60" i="9" a="1"/>
  <c r="H60" i="9" s="1"/>
  <c r="G65" i="9" a="1"/>
  <c r="G65" i="9" s="1"/>
  <c r="H53" i="9" a="1"/>
  <c r="H53" i="9" s="1"/>
  <c r="G51" i="9" a="1"/>
  <c r="G51" i="9" s="1"/>
  <c r="H66" i="9" a="1"/>
  <c r="H66" i="9" s="1"/>
  <c r="H59" i="9" a="1"/>
  <c r="H59" i="9" s="1"/>
  <c r="W21" i="9" a="1"/>
  <c r="W21" i="9" s="1"/>
  <c r="G56" i="9" a="1"/>
  <c r="G56" i="9" s="1"/>
  <c r="H67" i="9" a="1"/>
  <c r="H67" i="9" s="1"/>
  <c r="G55" i="9" a="1"/>
  <c r="G55" i="9" s="1"/>
  <c r="G64" i="9" a="1"/>
  <c r="G64" i="9" s="1"/>
  <c r="H52" i="9" a="1"/>
  <c r="H52" i="9" s="1"/>
  <c r="G50" i="9" a="1"/>
  <c r="G50" i="9" s="1"/>
  <c r="H65" i="9" a="1"/>
  <c r="H65" i="9" s="1"/>
  <c r="H58" i="9" a="1"/>
  <c r="H58" i="9" s="1"/>
  <c r="G54" i="9" a="1"/>
  <c r="G54" i="9" s="1"/>
  <c r="G63" i="9" a="1"/>
  <c r="G63" i="9" s="1"/>
  <c r="H51" i="9" a="1"/>
  <c r="H51" i="9" s="1"/>
  <c r="G60" i="9" a="1"/>
  <c r="G60" i="9" s="1"/>
  <c r="G53" i="9" a="1"/>
  <c r="G53" i="9" s="1"/>
  <c r="H64" i="9" a="1"/>
  <c r="H64" i="9" s="1"/>
  <c r="H57" i="9" a="1"/>
  <c r="H57" i="9" s="1"/>
  <c r="V23" i="9" a="1"/>
  <c r="V23" i="9" s="1"/>
  <c r="V22" i="9" a="1"/>
  <c r="V22" i="9" s="1"/>
  <c r="V21" i="9" a="1"/>
  <c r="V21" i="9" s="1"/>
  <c r="H29" i="1"/>
  <c r="H18" i="1"/>
  <c r="G24" i="2"/>
  <c r="H61" i="1" s="1"/>
  <c r="G20" i="2"/>
  <c r="H56" i="1" s="1"/>
  <c r="H16" i="1"/>
  <c r="H32" i="1"/>
  <c r="H40" i="1"/>
  <c r="H11" i="1"/>
  <c r="H25" i="1"/>
  <c r="H26" i="1"/>
  <c r="H10" i="1"/>
  <c r="G29" i="2"/>
  <c r="G31" i="2"/>
  <c r="H4" i="1"/>
  <c r="H15" i="1"/>
  <c r="H31" i="1"/>
  <c r="G10" i="2"/>
  <c r="H44" i="1" s="1"/>
  <c r="G6" i="2"/>
  <c r="H37" i="1" s="1"/>
  <c r="H7" i="1"/>
  <c r="H24" i="1"/>
  <c r="H17" i="1"/>
  <c r="G16" i="2"/>
  <c r="H50" i="1" s="1"/>
  <c r="G27" i="2"/>
  <c r="H68" i="1" s="1"/>
  <c r="H3" i="1"/>
  <c r="H21" i="1"/>
  <c r="H30" i="1"/>
  <c r="G9" i="2"/>
  <c r="H41" i="1" s="1"/>
  <c r="H14" i="1"/>
  <c r="H23" i="1"/>
  <c r="H42" i="1"/>
  <c r="G17" i="2"/>
  <c r="H51" i="1" s="1"/>
  <c r="H4" i="2"/>
  <c r="I4" i="2" s="1"/>
  <c r="D4" i="2" s="1"/>
  <c r="G23" i="2"/>
  <c r="H60" i="1" s="1"/>
  <c r="G30" i="2"/>
  <c r="H72" i="1" s="1"/>
  <c r="G12" i="2"/>
  <c r="G7" i="2"/>
  <c r="H38" i="1" s="1"/>
  <c r="G22" i="2"/>
  <c r="H59" i="1" s="1"/>
  <c r="G28" i="2"/>
  <c r="H67" i="1" s="1"/>
  <c r="G5" i="2"/>
  <c r="H35" i="1" s="1"/>
  <c r="H14" i="2"/>
  <c r="I14" i="2" s="1"/>
  <c r="D14" i="2" s="1"/>
  <c r="G13" i="2"/>
  <c r="H47" i="1" s="1"/>
  <c r="G19" i="2"/>
  <c r="H53" i="1" s="1"/>
  <c r="G18" i="2"/>
  <c r="H55" i="1" s="1"/>
  <c r="H57" i="1"/>
  <c r="G11" i="2"/>
  <c r="H43" i="1" s="1"/>
  <c r="H31" i="2"/>
  <c r="I31" i="2" s="1"/>
  <c r="D31" i="2" s="1"/>
  <c r="H28" i="2"/>
  <c r="I28" i="2" s="1"/>
  <c r="D28" i="2" s="1"/>
  <c r="H24" i="2"/>
  <c r="I24" i="2" s="1"/>
  <c r="D24" i="2" s="1"/>
  <c r="G26" i="2"/>
  <c r="H7" i="2"/>
  <c r="I7" i="2" s="1"/>
  <c r="D7" i="2" s="1"/>
  <c r="H17" i="2"/>
  <c r="I17" i="2" s="1"/>
  <c r="D17" i="2" s="1"/>
  <c r="H13" i="2"/>
  <c r="I13" i="2" s="1"/>
  <c r="D13" i="2" s="1"/>
  <c r="H65" i="1"/>
  <c r="H62" i="1"/>
  <c r="H66" i="1"/>
  <c r="T25" i="9" a="1"/>
  <c r="T25" i="9" s="1"/>
  <c r="AA24" i="9"/>
  <c r="B21" i="20" s="1"/>
  <c r="AA25" i="9"/>
  <c r="B22" i="20" s="1"/>
  <c r="A22" i="20"/>
  <c r="L69" i="9"/>
  <c r="S25" i="9" a="1"/>
  <c r="S25" i="9" s="1"/>
  <c r="R25" i="9" a="1"/>
  <c r="R25" i="9" s="1"/>
  <c r="U25" i="9" a="1"/>
  <c r="U25" i="9" s="1"/>
  <c r="W25" i="9" a="1"/>
  <c r="W25" i="9" s="1"/>
  <c r="L99" i="9"/>
  <c r="AA20" i="9" s="1"/>
  <c r="B17" i="20" s="1"/>
  <c r="G98" i="9"/>
  <c r="V19" i="9" s="1" a="1"/>
  <c r="V19" i="9" s="1"/>
  <c r="E95" i="9"/>
  <c r="T16" i="9" s="1" a="1"/>
  <c r="T16" i="9" s="1"/>
  <c r="F95" i="9"/>
  <c r="U16" i="9" s="1" a="1"/>
  <c r="U16" i="9" s="1"/>
  <c r="L87" i="9"/>
  <c r="AA8" i="9" s="1"/>
  <c r="B5" i="20" s="1"/>
  <c r="L85" i="9"/>
  <c r="AA6" i="9" s="1"/>
  <c r="B3" i="20" s="1"/>
  <c r="F90" i="9"/>
  <c r="U11" i="9" s="1" a="1"/>
  <c r="U11" i="9" s="1"/>
  <c r="H89" i="9"/>
  <c r="W10" i="9" s="1" a="1"/>
  <c r="W10" i="9" s="1"/>
  <c r="E96" i="9"/>
  <c r="T17" i="9" s="1" a="1"/>
  <c r="T17" i="9" s="1"/>
  <c r="C96" i="9"/>
  <c r="R17" i="9" s="1" a="1"/>
  <c r="R17" i="9" s="1"/>
  <c r="F97" i="9"/>
  <c r="U18" i="9" s="1" a="1"/>
  <c r="U18" i="9" s="1"/>
  <c r="D96" i="9"/>
  <c r="S17" i="9" s="1" a="1"/>
  <c r="S17" i="9" s="1"/>
  <c r="H96" i="9"/>
  <c r="W17" i="9" s="1" a="1"/>
  <c r="W17" i="9" s="1"/>
  <c r="D94" i="9"/>
  <c r="S15" i="9" s="1" a="1"/>
  <c r="S15" i="9" s="1"/>
  <c r="H87" i="9"/>
  <c r="W8" i="9" s="1" a="1"/>
  <c r="W8" i="9" s="1"/>
  <c r="U21" i="9" a="1"/>
  <c r="U21" i="9" s="1"/>
  <c r="H97" i="9"/>
  <c r="W18" i="9" s="1" a="1"/>
  <c r="W18" i="9" s="1"/>
  <c r="H90" i="9"/>
  <c r="W11" i="9" s="1" a="1"/>
  <c r="W11" i="9" s="1"/>
  <c r="C99" i="9"/>
  <c r="R20" i="9" s="1" a="1"/>
  <c r="R20" i="9" s="1"/>
  <c r="L97" i="9"/>
  <c r="AA18" i="9" s="1"/>
  <c r="A11" i="21"/>
  <c r="B11" i="21" s="1"/>
  <c r="L53" i="9"/>
  <c r="U23" i="9" a="1"/>
  <c r="U23" i="9" s="1"/>
  <c r="L59" i="9"/>
  <c r="G99" i="9"/>
  <c r="V20" i="9" s="1" a="1"/>
  <c r="V20" i="9" s="1"/>
  <c r="G91" i="9"/>
  <c r="V12" i="9" s="1" a="1"/>
  <c r="V12" i="9" s="1"/>
  <c r="F85" i="9"/>
  <c r="U6" i="9" s="1" a="1"/>
  <c r="U6" i="9" s="1"/>
  <c r="F87" i="9"/>
  <c r="U8" i="9" s="1" a="1"/>
  <c r="U8" i="9" s="1"/>
  <c r="R23" i="9" a="1"/>
  <c r="R23" i="9" s="1"/>
  <c r="G90" i="9"/>
  <c r="V11" i="9" s="1" a="1"/>
  <c r="V11" i="9" s="1"/>
  <c r="H93" i="9"/>
  <c r="W14" i="9" s="1" a="1"/>
  <c r="W14" i="9" s="1"/>
  <c r="D97" i="9"/>
  <c r="S18" i="9" s="1" a="1"/>
  <c r="S18" i="9" s="1"/>
  <c r="L94" i="9"/>
  <c r="AA15" i="9" s="1"/>
  <c r="B12" i="20" s="1"/>
  <c r="D99" i="9"/>
  <c r="S20" i="9" s="1" a="1"/>
  <c r="S20" i="9" s="1"/>
  <c r="C94" i="9"/>
  <c r="R15" i="9" s="1" a="1"/>
  <c r="R15" i="9" s="1"/>
  <c r="B7" i="9"/>
  <c r="L56" i="9"/>
  <c r="L92" i="9"/>
  <c r="AA13" i="9" s="1"/>
  <c r="B10" i="20" s="1"/>
  <c r="G92" i="9"/>
  <c r="V13" i="9" s="1" a="1"/>
  <c r="V13" i="9" s="1"/>
  <c r="G86" i="9"/>
  <c r="V7" i="9" s="1" a="1"/>
  <c r="V7" i="9" s="1"/>
  <c r="G87" i="9"/>
  <c r="V8" i="9" s="1" a="1"/>
  <c r="V8" i="9" s="1"/>
  <c r="F99" i="9"/>
  <c r="U20" i="9" s="1" a="1"/>
  <c r="U20" i="9" s="1"/>
  <c r="L65" i="9"/>
  <c r="B18" i="9"/>
  <c r="C18" i="9" s="1"/>
  <c r="E99" i="9"/>
  <c r="T20" i="9" s="1" a="1"/>
  <c r="T20" i="9" s="1"/>
  <c r="E94" i="9"/>
  <c r="T15" i="9" s="1" a="1"/>
  <c r="T15" i="9" s="1"/>
  <c r="D98" i="9"/>
  <c r="S19" i="9" s="1" a="1"/>
  <c r="S19" i="9" s="1"/>
  <c r="C86" i="9"/>
  <c r="R7" i="9" s="1" a="1"/>
  <c r="R7" i="9" s="1"/>
  <c r="B13" i="9"/>
  <c r="E13" i="9" s="1"/>
  <c r="L51" i="9"/>
  <c r="R22" i="9" a="1"/>
  <c r="R22" i="9" s="1"/>
  <c r="L93" i="9"/>
  <c r="AA14" i="9" s="1"/>
  <c r="B11" i="20" s="1"/>
  <c r="G96" i="9"/>
  <c r="V17" i="9" s="1" a="1"/>
  <c r="V17" i="9" s="1"/>
  <c r="E92" i="9"/>
  <c r="T13" i="9" s="1" a="1"/>
  <c r="T13" i="9" s="1"/>
  <c r="F94" i="9"/>
  <c r="U15" i="9" s="1" a="1"/>
  <c r="U15" i="9" s="1"/>
  <c r="E87" i="9"/>
  <c r="T8" i="9" s="1" a="1"/>
  <c r="T8" i="9" s="1"/>
  <c r="L61" i="9"/>
  <c r="R24" i="9" a="1"/>
  <c r="R24" i="9" s="1"/>
  <c r="L62" i="9"/>
  <c r="B15" i="9"/>
  <c r="E15" i="9" s="1"/>
  <c r="H98" i="9"/>
  <c r="W19" i="9" s="1" a="1"/>
  <c r="W19" i="9" s="1"/>
  <c r="C93" i="9"/>
  <c r="R14" i="9" s="1" a="1"/>
  <c r="R14" i="9" s="1"/>
  <c r="B11" i="9"/>
  <c r="E11" i="9" s="1"/>
  <c r="G94" i="9"/>
  <c r="V15" i="9" s="1" a="1"/>
  <c r="V15" i="9" s="1"/>
  <c r="D87" i="9"/>
  <c r="S8" i="9" s="1" a="1"/>
  <c r="S8" i="9" s="1"/>
  <c r="U24" i="9" a="1"/>
  <c r="U24" i="9" s="1"/>
  <c r="D95" i="9"/>
  <c r="S16" i="9" s="1" a="1"/>
  <c r="S16" i="9" s="1"/>
  <c r="F88" i="9"/>
  <c r="U9" i="9" s="1" a="1"/>
  <c r="U9" i="9" s="1"/>
  <c r="G95" i="9"/>
  <c r="V16" i="9" s="1" a="1"/>
  <c r="V16" i="9" s="1"/>
  <c r="C88" i="9"/>
  <c r="R9" i="9" s="1" a="1"/>
  <c r="R9" i="9" s="1"/>
  <c r="W24" i="9" a="1"/>
  <c r="W24" i="9" s="1"/>
  <c r="E98" i="9"/>
  <c r="T19" i="9" s="1" a="1"/>
  <c r="T19" i="9" s="1"/>
  <c r="G93" i="9"/>
  <c r="V14" i="9" s="1" a="1"/>
  <c r="V14" i="9" s="1"/>
  <c r="C95" i="9"/>
  <c r="R16" i="9" s="1" a="1"/>
  <c r="R16" i="9" s="1"/>
  <c r="E86" i="9"/>
  <c r="T7" i="9" s="1" a="1"/>
  <c r="T7" i="9" s="1"/>
  <c r="A11" i="20"/>
  <c r="T22" i="9" a="1"/>
  <c r="T22" i="9" s="1"/>
  <c r="A10" i="21"/>
  <c r="B10" i="21" s="1"/>
  <c r="AA21" i="9"/>
  <c r="B18" i="20" s="1"/>
  <c r="A15" i="21"/>
  <c r="B15" i="21" s="1"/>
  <c r="A8" i="21"/>
  <c r="B8" i="21" s="1"/>
  <c r="F92" i="9"/>
  <c r="U13" i="9" s="1" a="1"/>
  <c r="U13" i="9" s="1"/>
  <c r="D89" i="9"/>
  <c r="S10" i="9" s="1" a="1"/>
  <c r="S10" i="9" s="1"/>
  <c r="H85" i="9"/>
  <c r="W6" i="9" s="1" a="1"/>
  <c r="W6" i="9" s="1"/>
  <c r="D85" i="9"/>
  <c r="S6" i="9" s="1" a="1"/>
  <c r="S6" i="9" s="1"/>
  <c r="C91" i="9"/>
  <c r="R12" i="9" s="1" a="1"/>
  <c r="R12" i="9" s="1"/>
  <c r="E97" i="9"/>
  <c r="T18" i="9" s="1" a="1"/>
  <c r="T18" i="9" s="1"/>
  <c r="AA22" i="9"/>
  <c r="B19" i="20" s="1"/>
  <c r="A3" i="20"/>
  <c r="L66" i="9"/>
  <c r="S24" i="9" a="1"/>
  <c r="S24" i="9" s="1"/>
  <c r="L58" i="9"/>
  <c r="L68" i="9"/>
  <c r="A12" i="20"/>
  <c r="T24" i="9" a="1"/>
  <c r="T24" i="9" s="1"/>
  <c r="L63" i="9"/>
  <c r="B5" i="9"/>
  <c r="C5" i="9" s="1"/>
  <c r="E85" i="9"/>
  <c r="T6" i="9" s="1" a="1"/>
  <c r="T6" i="9" s="1"/>
  <c r="L89" i="9"/>
  <c r="AA10" i="9" s="1"/>
  <c r="B7" i="20" s="1"/>
  <c r="H86" i="9"/>
  <c r="W7" i="9" s="1" a="1"/>
  <c r="W7" i="9" s="1"/>
  <c r="H91" i="9"/>
  <c r="W12" i="9" s="1" a="1"/>
  <c r="W12" i="9" s="1"/>
  <c r="C87" i="9"/>
  <c r="R8" i="9" s="1" a="1"/>
  <c r="R8" i="9" s="1"/>
  <c r="A9" i="21"/>
  <c r="B9" i="21" s="1"/>
  <c r="A9" i="20"/>
  <c r="L50" i="9"/>
  <c r="Z35" i="9"/>
  <c r="AB35" i="9" s="1"/>
  <c r="Z31" i="9"/>
  <c r="AB31" i="9" s="1"/>
  <c r="C28" i="20" s="1"/>
  <c r="Z29" i="9"/>
  <c r="AB29" i="9" s="1"/>
  <c r="C26" i="20" s="1"/>
  <c r="Z30" i="9"/>
  <c r="AB30" i="9" s="1"/>
  <c r="C27" i="20" s="1"/>
  <c r="Z33" i="9"/>
  <c r="AB33" i="9" s="1"/>
  <c r="Z28" i="9"/>
  <c r="AB28" i="9" s="1"/>
  <c r="C25" i="20" s="1"/>
  <c r="Z32" i="9"/>
  <c r="AB32" i="9" s="1"/>
  <c r="Z34" i="9"/>
  <c r="AB34" i="9" s="1"/>
  <c r="Z27" i="9"/>
  <c r="AB27" i="9" s="1"/>
  <c r="C24" i="20" s="1"/>
  <c r="AA23" i="9"/>
  <c r="B20" i="20" s="1"/>
  <c r="A8" i="20"/>
  <c r="A7" i="20"/>
  <c r="A4" i="20"/>
  <c r="A14" i="20"/>
  <c r="A12" i="21"/>
  <c r="B12" i="21" s="1"/>
  <c r="A21" i="20"/>
  <c r="Z26" i="9"/>
  <c r="AB26" i="9" s="1"/>
  <c r="C23" i="20" s="1"/>
  <c r="A16" i="20"/>
  <c r="A13" i="20"/>
  <c r="A7" i="21"/>
  <c r="B7" i="21" s="1"/>
  <c r="A13" i="21"/>
  <c r="B13" i="21" s="1"/>
  <c r="K77" i="1"/>
  <c r="B14" i="9"/>
  <c r="B49" i="9"/>
  <c r="D91" i="9"/>
  <c r="S12" i="9" s="1" a="1"/>
  <c r="S12" i="9" s="1"/>
  <c r="D90" i="9"/>
  <c r="S11" i="9" s="1" a="1"/>
  <c r="S11" i="9" s="1"/>
  <c r="C98" i="9"/>
  <c r="R19" i="9" s="1" a="1"/>
  <c r="R19" i="9" s="1"/>
  <c r="L86" i="9"/>
  <c r="AA7" i="9" s="1"/>
  <c r="H95" i="9"/>
  <c r="W16" i="9" s="1" a="1"/>
  <c r="W16" i="9" s="1"/>
  <c r="D86" i="9"/>
  <c r="S7" i="9" s="1" a="1"/>
  <c r="S7" i="9" s="1"/>
  <c r="G88" i="9"/>
  <c r="V9" i="9" s="1" a="1"/>
  <c r="V9" i="9" s="1"/>
  <c r="E90" i="9"/>
  <c r="T11" i="9" s="1" a="1"/>
  <c r="T11" i="9" s="1"/>
  <c r="H92" i="9"/>
  <c r="W13" i="9" s="1" a="1"/>
  <c r="W13" i="9" s="1"/>
  <c r="C89" i="9"/>
  <c r="R10" i="9" s="1" a="1"/>
  <c r="R10" i="9" s="1"/>
  <c r="U22" i="9" a="1"/>
  <c r="U22" i="9" s="1"/>
  <c r="B3" i="9"/>
  <c r="L67" i="9"/>
  <c r="B10" i="9"/>
  <c r="B16" i="9"/>
  <c r="B4" i="9"/>
  <c r="L55" i="9"/>
  <c r="L88" i="9"/>
  <c r="AA9" i="9" s="1"/>
  <c r="B6" i="20" s="1"/>
  <c r="L95" i="9"/>
  <c r="AA16" i="9" s="1"/>
  <c r="D88" i="9"/>
  <c r="S9" i="9" s="1" a="1"/>
  <c r="S9" i="9" s="1"/>
  <c r="F98" i="9"/>
  <c r="U19" i="9" s="1" a="1"/>
  <c r="U19" i="9" s="1"/>
  <c r="G85" i="9"/>
  <c r="V6" i="9" s="1" a="1"/>
  <c r="V6" i="9" s="1"/>
  <c r="E91" i="9"/>
  <c r="T12" i="9" s="1" a="1"/>
  <c r="T12" i="9" s="1"/>
  <c r="L57" i="9"/>
  <c r="L60" i="9"/>
  <c r="L52" i="9"/>
  <c r="L54" i="9"/>
  <c r="F89" i="9"/>
  <c r="U10" i="9" s="1" a="1"/>
  <c r="U10" i="9" s="1"/>
  <c r="H88" i="9"/>
  <c r="W9" i="9" s="1" a="1"/>
  <c r="W9" i="9" s="1"/>
  <c r="F96" i="9"/>
  <c r="U17" i="9" s="1" a="1"/>
  <c r="U17" i="9" s="1"/>
  <c r="L98" i="9"/>
  <c r="AA19" i="9" s="1"/>
  <c r="L91" i="9"/>
  <c r="AA12" i="9" s="1"/>
  <c r="E89" i="9"/>
  <c r="T10" i="9" s="1" a="1"/>
  <c r="T10" i="9" s="1"/>
  <c r="F91" i="9"/>
  <c r="U12" i="9" s="1" a="1"/>
  <c r="U12" i="9" s="1"/>
  <c r="L90" i="9"/>
  <c r="AA11" i="9" s="1"/>
  <c r="B8" i="20" s="1"/>
  <c r="H99" i="9"/>
  <c r="W20" i="9" s="1" a="1"/>
  <c r="W20" i="9" s="1"/>
  <c r="F86" i="9"/>
  <c r="U7" i="9" s="1" a="1"/>
  <c r="U7" i="9" s="1"/>
  <c r="D92" i="9"/>
  <c r="S13" i="9" s="1" a="1"/>
  <c r="S13" i="9" s="1"/>
  <c r="B8" i="9"/>
  <c r="L96" i="9"/>
  <c r="AA17" i="9" s="1"/>
  <c r="B14" i="20" s="1"/>
  <c r="S23" i="9" a="1"/>
  <c r="S23" i="9" s="1"/>
  <c r="T21" i="9" a="1"/>
  <c r="T21" i="9" s="1"/>
  <c r="B9" i="9"/>
  <c r="T23" i="9" a="1"/>
  <c r="T23" i="9" s="1"/>
  <c r="H94" i="9"/>
  <c r="W15" i="9" s="1" a="1"/>
  <c r="W15" i="9" s="1"/>
  <c r="G97" i="9"/>
  <c r="V18" i="9" s="1" a="1"/>
  <c r="V18" i="9" s="1"/>
  <c r="E93" i="9"/>
  <c r="T14" i="9" s="1" a="1"/>
  <c r="T14" i="9" s="1"/>
  <c r="C85" i="9"/>
  <c r="R6" i="9" s="1" a="1"/>
  <c r="R6" i="9" s="1"/>
  <c r="C90" i="9"/>
  <c r="R11" i="9" s="1" a="1"/>
  <c r="R11" i="9" s="1"/>
  <c r="R21" i="9" a="1"/>
  <c r="R21" i="9" s="1"/>
  <c r="B12" i="9"/>
  <c r="S21" i="9" a="1"/>
  <c r="S21" i="9" s="1"/>
  <c r="F93" i="9"/>
  <c r="U14" i="9" s="1" a="1"/>
  <c r="U14" i="9" s="1"/>
  <c r="D93" i="9"/>
  <c r="S14" i="9" s="1" a="1"/>
  <c r="S14" i="9" s="1"/>
  <c r="C97" i="9"/>
  <c r="R18" i="9" s="1" a="1"/>
  <c r="R18" i="9" s="1"/>
  <c r="C92" i="9"/>
  <c r="R13" i="9" s="1" a="1"/>
  <c r="R13" i="9" s="1"/>
  <c r="E88" i="9"/>
  <c r="T9" i="9" s="1" a="1"/>
  <c r="T9" i="9" s="1"/>
  <c r="G89" i="9"/>
  <c r="V10" i="9" s="1" a="1"/>
  <c r="V10" i="9" s="1"/>
  <c r="A17" i="21"/>
  <c r="B17" i="21" s="1"/>
  <c r="A20" i="20"/>
  <c r="A17" i="20"/>
  <c r="A4" i="21"/>
  <c r="B4" i="21" s="1"/>
  <c r="A5" i="20"/>
  <c r="A18" i="20"/>
  <c r="A6" i="20"/>
  <c r="A19" i="20"/>
  <c r="A5" i="21"/>
  <c r="B5" i="21" s="1"/>
  <c r="A10" i="20"/>
  <c r="A18" i="21"/>
  <c r="B18" i="21" s="1"/>
  <c r="A15" i="20"/>
  <c r="A6" i="21"/>
  <c r="B6" i="21" s="1"/>
  <c r="A14" i="21"/>
  <c r="B14" i="21" s="1"/>
  <c r="A3" i="21"/>
  <c r="B3" i="21" s="1"/>
  <c r="A16" i="21"/>
  <c r="B16" i="21" s="1"/>
  <c r="Q5" i="9"/>
  <c r="B6" i="9"/>
  <c r="S22" i="9" a="1"/>
  <c r="S22" i="9" s="1"/>
  <c r="B17" i="9"/>
  <c r="N6" i="17"/>
  <c r="B23" i="20"/>
  <c r="D35" i="14"/>
  <c r="C10" i="8" s="1"/>
  <c r="I36" i="12"/>
  <c r="H8" i="7"/>
  <c r="J35" i="14"/>
  <c r="C12" i="8" s="1"/>
  <c r="G10" i="15"/>
  <c r="C37" i="12"/>
  <c r="E35" i="18"/>
  <c r="D35" i="18"/>
  <c r="C11" i="8" s="1"/>
  <c r="I32" i="6"/>
  <c r="L42" i="6" s="1"/>
  <c r="H32" i="6"/>
  <c r="C16" i="10"/>
  <c r="H8" i="15"/>
  <c r="H10" i="15" s="1"/>
  <c r="D2" i="2"/>
  <c r="H52" i="1" l="1"/>
  <c r="H54" i="1"/>
  <c r="H73" i="1"/>
  <c r="H75" i="1"/>
  <c r="H70" i="1"/>
  <c r="H74" i="1"/>
  <c r="K68" i="9"/>
  <c r="M68" i="9" s="1"/>
  <c r="K61" i="9"/>
  <c r="M61" i="9" s="1"/>
  <c r="N5" i="17"/>
  <c r="N7" i="17" s="1"/>
  <c r="C19" i="10" s="1"/>
  <c r="C12" i="10"/>
  <c r="K56" i="9"/>
  <c r="K63" i="9"/>
  <c r="M63" i="9" s="1"/>
  <c r="K54" i="9"/>
  <c r="M54" i="9" s="1"/>
  <c r="K58" i="9"/>
  <c r="K50" i="9"/>
  <c r="M50" i="9" s="1"/>
  <c r="I77" i="1" a="1"/>
  <c r="I77" i="1" s="1"/>
  <c r="K65" i="9"/>
  <c r="M65" i="9" s="1"/>
  <c r="K64" i="9"/>
  <c r="M64" i="9" s="1"/>
  <c r="K55" i="9"/>
  <c r="M55" i="9" s="1"/>
  <c r="K53" i="9"/>
  <c r="M53" i="9" s="1"/>
  <c r="K67" i="9"/>
  <c r="M67" i="9" s="1"/>
  <c r="K62" i="9"/>
  <c r="M62" i="9" s="1"/>
  <c r="K59" i="9"/>
  <c r="M59" i="9" s="1"/>
  <c r="J49" i="9" a="1"/>
  <c r="J49" i="9" s="1"/>
  <c r="I49" i="9" a="1"/>
  <c r="I49" i="9" s="1"/>
  <c r="H49" i="9" a="1"/>
  <c r="H49" i="9" s="1"/>
  <c r="K60" i="9"/>
  <c r="M60" i="9" s="1"/>
  <c r="K57" i="9"/>
  <c r="M57" i="9" s="1"/>
  <c r="K66" i="9"/>
  <c r="M66" i="9" s="1"/>
  <c r="K52" i="9"/>
  <c r="M52" i="9" s="1"/>
  <c r="K51" i="9"/>
  <c r="M51" i="9" s="1"/>
  <c r="X5" i="9" a="1"/>
  <c r="X5" i="9" s="1"/>
  <c r="K98" i="9"/>
  <c r="M98" i="9" s="1"/>
  <c r="G49" i="9" a="1"/>
  <c r="G49" i="9" s="1"/>
  <c r="H71" i="1"/>
  <c r="Z14" i="9"/>
  <c r="AB14" i="9" s="1"/>
  <c r="C11" i="20" s="1"/>
  <c r="M56" i="9"/>
  <c r="H36" i="1"/>
  <c r="H45" i="1"/>
  <c r="H46" i="1"/>
  <c r="H34" i="1"/>
  <c r="H64" i="1"/>
  <c r="H69" i="1"/>
  <c r="Z25" i="9"/>
  <c r="AB25" i="9" s="1"/>
  <c r="C22" i="20" s="1"/>
  <c r="M69" i="9"/>
  <c r="K92" i="9"/>
  <c r="M92" i="9" s="1"/>
  <c r="Z12" i="9"/>
  <c r="AB12" i="9" s="1"/>
  <c r="C9" i="20" s="1"/>
  <c r="K90" i="9"/>
  <c r="M90" i="9" s="1"/>
  <c r="C11" i="9"/>
  <c r="Z16" i="9"/>
  <c r="AB16" i="9" s="1"/>
  <c r="C13" i="20" s="1"/>
  <c r="C13" i="9"/>
  <c r="C15" i="9"/>
  <c r="Z24" i="9"/>
  <c r="AB24" i="9" s="1"/>
  <c r="C21" i="20" s="1"/>
  <c r="M58" i="9"/>
  <c r="K96" i="9"/>
  <c r="M96" i="9" s="1"/>
  <c r="Z21" i="9"/>
  <c r="AB21" i="9" s="1"/>
  <c r="C18" i="20" s="1"/>
  <c r="Z11" i="9"/>
  <c r="AB11" i="9" s="1"/>
  <c r="C8" i="20" s="1"/>
  <c r="E18" i="9"/>
  <c r="K87" i="9"/>
  <c r="M87" i="9" s="1"/>
  <c r="Z15" i="9"/>
  <c r="AB15" i="9" s="1"/>
  <c r="C12" i="20" s="1"/>
  <c r="Z19" i="9"/>
  <c r="AB19" i="9" s="1"/>
  <c r="C16" i="20" s="1"/>
  <c r="K93" i="9"/>
  <c r="M93" i="9" s="1"/>
  <c r="C7" i="9"/>
  <c r="E7" i="9" a="1"/>
  <c r="E7" i="9" s="1"/>
  <c r="K95" i="9"/>
  <c r="M95" i="9" s="1"/>
  <c r="Z20" i="9"/>
  <c r="AB20" i="9" s="1"/>
  <c r="C17" i="20" s="1"/>
  <c r="E5" i="9"/>
  <c r="Z8" i="9"/>
  <c r="AB8" i="9" s="1"/>
  <c r="C5" i="20" s="1"/>
  <c r="Z22" i="9"/>
  <c r="AB22" i="9" s="1"/>
  <c r="E20" i="19" s="1" a="1"/>
  <c r="E20" i="19" s="1"/>
  <c r="K85" i="9"/>
  <c r="M85" i="9" s="1"/>
  <c r="E18" i="19" a="1"/>
  <c r="E18" i="19" s="1"/>
  <c r="Z13" i="9"/>
  <c r="AB13" i="9" s="1"/>
  <c r="C10" i="20" s="1"/>
  <c r="K99" i="9"/>
  <c r="M99" i="9" s="1"/>
  <c r="K91" i="9"/>
  <c r="M91" i="9" s="1"/>
  <c r="Z7" i="9"/>
  <c r="AB7" i="9" s="1"/>
  <c r="C4" i="20" s="1"/>
  <c r="Z23" i="9"/>
  <c r="AB23" i="9" s="1"/>
  <c r="C20" i="20" s="1"/>
  <c r="K86" i="9"/>
  <c r="M86" i="9" s="1"/>
  <c r="Z6" i="9"/>
  <c r="AB6" i="9" s="1"/>
  <c r="C3" i="20" s="1"/>
  <c r="B9" i="20"/>
  <c r="B16" i="20"/>
  <c r="C6" i="9"/>
  <c r="E6" i="9"/>
  <c r="K88" i="9"/>
  <c r="M88" i="9" s="1"/>
  <c r="Z9" i="9"/>
  <c r="AB9" i="9" s="1"/>
  <c r="C6" i="20" s="1"/>
  <c r="J6" i="1"/>
  <c r="J77" i="1" s="1" a="1"/>
  <c r="J77" i="1" s="1"/>
  <c r="B15" i="20"/>
  <c r="Z17" i="9"/>
  <c r="AB17" i="9" s="1"/>
  <c r="C14" i="20" s="1"/>
  <c r="E14" i="9"/>
  <c r="C14" i="9"/>
  <c r="B13" i="20"/>
  <c r="E8" i="9"/>
  <c r="C8" i="9"/>
  <c r="B4" i="20"/>
  <c r="K94" i="9"/>
  <c r="M94" i="9" s="1"/>
  <c r="C17" i="9"/>
  <c r="E17" i="9"/>
  <c r="C3" i="9"/>
  <c r="E3" i="9"/>
  <c r="D8" i="19" a="1"/>
  <c r="D8" i="19" s="1"/>
  <c r="D10" i="19" a="1"/>
  <c r="D10" i="19" s="1"/>
  <c r="A2" i="21"/>
  <c r="B2" i="21" s="1"/>
  <c r="A2" i="20"/>
  <c r="D12" i="19" a="1"/>
  <c r="D12" i="19" s="1"/>
  <c r="D14" i="19" a="1"/>
  <c r="D14" i="19" s="1"/>
  <c r="Z10" i="9"/>
  <c r="AB10" i="9" s="1"/>
  <c r="C7" i="20" s="1"/>
  <c r="K89" i="9"/>
  <c r="M89" i="9" s="1"/>
  <c r="C4" i="9"/>
  <c r="E4" i="9"/>
  <c r="C10" i="9"/>
  <c r="E10" i="9"/>
  <c r="E9" i="9"/>
  <c r="C9" i="9"/>
  <c r="D49" i="9" a="1"/>
  <c r="D49" i="9" s="1"/>
  <c r="G84" i="9"/>
  <c r="V5" i="9" s="1" a="1"/>
  <c r="V5" i="9" s="1"/>
  <c r="H84" i="9"/>
  <c r="W5" i="9" s="1" a="1"/>
  <c r="W5" i="9" s="1"/>
  <c r="D84" i="9"/>
  <c r="S5" i="9" s="1" a="1"/>
  <c r="S5" i="9" s="1"/>
  <c r="E49" i="9" a="1"/>
  <c r="E49" i="9" s="1"/>
  <c r="C14" i="19" a="1"/>
  <c r="C14" i="19" s="1"/>
  <c r="L84" i="9"/>
  <c r="AA5" i="9" s="1"/>
  <c r="C49" i="9" a="1"/>
  <c r="C49" i="9" s="1"/>
  <c r="E84" i="9"/>
  <c r="T5" i="9" s="1" a="1"/>
  <c r="T5" i="9" s="1"/>
  <c r="F49" i="9" a="1"/>
  <c r="F49" i="9" s="1"/>
  <c r="L49" i="9"/>
  <c r="F84" i="9"/>
  <c r="U5" i="9" s="1" a="1"/>
  <c r="U5" i="9" s="1"/>
  <c r="B2" i="9"/>
  <c r="C12" i="19" a="1"/>
  <c r="C12" i="19" s="1"/>
  <c r="C84" i="9"/>
  <c r="R5" i="9" s="1" a="1"/>
  <c r="R5" i="9" s="1"/>
  <c r="Z18" i="9"/>
  <c r="AB18" i="9" s="1"/>
  <c r="C15" i="20" s="1"/>
  <c r="K97" i="9"/>
  <c r="M97" i="9" s="1"/>
  <c r="C12" i="9"/>
  <c r="E12" i="9"/>
  <c r="E16" i="9"/>
  <c r="C16" i="9"/>
  <c r="F35" i="18"/>
  <c r="C9" i="8"/>
  <c r="C14" i="8" s="1"/>
  <c r="C4" i="10" s="1"/>
  <c r="K5" i="17"/>
  <c r="K6" i="17" s="1"/>
  <c r="F179" i="17"/>
  <c r="P7" i="17" l="1"/>
  <c r="K49" i="9"/>
  <c r="Z5" i="9"/>
  <c r="AB5" i="9" s="1"/>
  <c r="C2" i="20" s="1"/>
  <c r="C19" i="20"/>
  <c r="E14" i="19"/>
  <c r="B2" i="20"/>
  <c r="M49" i="9"/>
  <c r="C21" i="9"/>
  <c r="E12" i="19"/>
  <c r="E2" i="9"/>
  <c r="C2" i="9"/>
  <c r="K84" i="9"/>
  <c r="M84" i="9" s="1"/>
  <c r="C15" i="10"/>
  <c r="C17" i="10" s="1"/>
  <c r="E16" i="19" l="1"/>
  <c r="C23" i="9"/>
  <c r="C3" i="10" s="1"/>
  <c r="C11" i="10" l="1"/>
  <c r="C13" i="10" s="1"/>
  <c r="C21" i="10" s="1"/>
  <c r="C5" i="10"/>
  <c r="F21" i="10" s="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00000000-0015-0000-FFFF-FFFF01000000}" name="WorksheetConnection_Khata (2).xlsx!Table4" type="102" refreshedVersion="8" minRefreshableVersion="5" refreshOnLoad="1" saveData="1">
    <extLst>
      <ext xmlns:x15="http://schemas.microsoft.com/office/spreadsheetml/2010/11/main" uri="{DE250136-89BD-433C-8126-D09CA5730AF9}">
        <x15:connection id="Table4" autoDelete="1">
          <x15:rangePr sourceName="_xlcn.WorksheetConnection_Khata2.xlsxTable4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<sst xmlns="http://schemas.openxmlformats.org/spreadsheetml/2006/main" count="1201" uniqueCount="331">
  <si>
    <t>Billing</t>
  </si>
  <si>
    <t>Billing Total</t>
  </si>
  <si>
    <t>Party Name</t>
  </si>
  <si>
    <t>Tiyaar</t>
  </si>
  <si>
    <t>Rate</t>
  </si>
  <si>
    <t>Total</t>
  </si>
  <si>
    <t>Row Labels</t>
  </si>
  <si>
    <t>Sum of Tiyaar</t>
  </si>
  <si>
    <t>Sum of Total</t>
  </si>
  <si>
    <t>Arshad</t>
  </si>
  <si>
    <t>Gaz</t>
  </si>
  <si>
    <t>Total Metres</t>
  </si>
  <si>
    <t>Total Chamki</t>
  </si>
  <si>
    <t>Total Super Silky</t>
  </si>
  <si>
    <t>Billing (Chamki/Crinkle)</t>
  </si>
  <si>
    <t>Billing (Super Chamki)</t>
  </si>
  <si>
    <t>Adjusted Bill</t>
  </si>
  <si>
    <t>Amount Paid</t>
  </si>
  <si>
    <t>Balance</t>
  </si>
  <si>
    <t>Rate (Chamki)</t>
  </si>
  <si>
    <t>Rate (Super Silky)</t>
  </si>
  <si>
    <t>BSC</t>
  </si>
  <si>
    <t>Ejaz Sahab</t>
  </si>
  <si>
    <t>Shehzad Kamoki</t>
  </si>
  <si>
    <t>Sufi Nawaz Sahab</t>
  </si>
  <si>
    <t>Sajad Khan</t>
  </si>
  <si>
    <t>Raaz Fabrics</t>
  </si>
  <si>
    <t>Hafiz Qureshi</t>
  </si>
  <si>
    <t>Grand Total</t>
  </si>
  <si>
    <t>Total:</t>
  </si>
  <si>
    <t>(Real Figure)</t>
  </si>
  <si>
    <t>Total influx</t>
  </si>
  <si>
    <t>(considering 10.5)</t>
  </si>
  <si>
    <t>Parties:</t>
  </si>
  <si>
    <t>Party Names:</t>
  </si>
  <si>
    <t>Ubaidullah</t>
  </si>
  <si>
    <t>Description</t>
  </si>
  <si>
    <t>Total Gazana/gaz</t>
  </si>
  <si>
    <t>Gazana/meters</t>
  </si>
  <si>
    <t>Total Chamki-crinkle/meters</t>
  </si>
  <si>
    <t>Total Super Silky/meters</t>
  </si>
  <si>
    <t>Total Billing</t>
  </si>
  <si>
    <t>Total Paid</t>
  </si>
  <si>
    <t>Total Balance</t>
  </si>
  <si>
    <t>Expenses</t>
  </si>
  <si>
    <t>Type</t>
  </si>
  <si>
    <t>Amount</t>
  </si>
  <si>
    <t>Wood</t>
  </si>
  <si>
    <t>Dyes/Chemical</t>
  </si>
  <si>
    <t xml:space="preserve">Finish </t>
  </si>
  <si>
    <t>Misc</t>
  </si>
  <si>
    <t>Electricity</t>
  </si>
  <si>
    <t>Salary</t>
  </si>
  <si>
    <t>Running Acc</t>
  </si>
  <si>
    <t>Transport</t>
  </si>
  <si>
    <t>Parts</t>
  </si>
  <si>
    <t>Stock (for next 15th)</t>
  </si>
  <si>
    <t>Stock</t>
  </si>
  <si>
    <t>quantity</t>
  </si>
  <si>
    <t>Column3</t>
  </si>
  <si>
    <t>mann</t>
  </si>
  <si>
    <t>Starch</t>
  </si>
  <si>
    <t>Kg</t>
  </si>
  <si>
    <t>Pva</t>
  </si>
  <si>
    <t>Dyes</t>
  </si>
  <si>
    <t>Nil</t>
  </si>
  <si>
    <t>Column1</t>
  </si>
  <si>
    <t>Column2</t>
  </si>
  <si>
    <t>Profit</t>
  </si>
  <si>
    <t>Credit</t>
  </si>
  <si>
    <t>Debit</t>
  </si>
  <si>
    <t>Exp Balance</t>
  </si>
  <si>
    <t>Cash in hand</t>
  </si>
  <si>
    <t>Difference</t>
  </si>
  <si>
    <t>My share:</t>
  </si>
  <si>
    <t>Date</t>
  </si>
  <si>
    <t>Diff</t>
  </si>
  <si>
    <t>Bill Number</t>
  </si>
  <si>
    <t>Quality</t>
  </si>
  <si>
    <t>Shipment Number</t>
  </si>
  <si>
    <t>Kora/metre</t>
  </si>
  <si>
    <t>Tiyaar/gaz</t>
  </si>
  <si>
    <t>shortage %</t>
  </si>
  <si>
    <t>tiyar/meters</t>
  </si>
  <si>
    <t>billing</t>
  </si>
  <si>
    <t>Chamki</t>
  </si>
  <si>
    <t>Crinkle</t>
  </si>
  <si>
    <t>Silky</t>
  </si>
  <si>
    <t>(All)</t>
  </si>
  <si>
    <t>Sum of Tiyaar/gaz</t>
  </si>
  <si>
    <t>Sum of tiyar/meters</t>
  </si>
  <si>
    <t>Sum of billing</t>
  </si>
  <si>
    <t>Vehicle Number</t>
  </si>
  <si>
    <t>Weight</t>
  </si>
  <si>
    <t>Rent</t>
  </si>
  <si>
    <t>Paid</t>
  </si>
  <si>
    <t>balance</t>
  </si>
  <si>
    <t>Malik Zaheer</t>
  </si>
  <si>
    <t>Closing Balance CF</t>
  </si>
  <si>
    <t>Aqib</t>
  </si>
  <si>
    <t>-</t>
  </si>
  <si>
    <t>Gari #</t>
  </si>
  <si>
    <t>Sum of Weight</t>
  </si>
  <si>
    <t>Sum of total</t>
  </si>
  <si>
    <t>Sum of Paid</t>
  </si>
  <si>
    <t>Sum of balance</t>
  </si>
  <si>
    <t>(blank)</t>
  </si>
  <si>
    <t>amount</t>
  </si>
  <si>
    <t>Actual</t>
  </si>
  <si>
    <t>Cash in hand (July):</t>
  </si>
  <si>
    <t>Bank Withdrawal</t>
  </si>
  <si>
    <t>Bank</t>
  </si>
  <si>
    <t>Cash</t>
  </si>
  <si>
    <t>Party</t>
  </si>
  <si>
    <t>Mode</t>
  </si>
  <si>
    <t>Withdrawal</t>
  </si>
  <si>
    <t>Rashan</t>
  </si>
  <si>
    <t>H3R</t>
  </si>
  <si>
    <t>Unicolour</t>
  </si>
  <si>
    <t>Faysal Akraam</t>
  </si>
  <si>
    <t>Finish</t>
  </si>
  <si>
    <t>Sum of Credit</t>
  </si>
  <si>
    <t>Sum of Debit</t>
  </si>
  <si>
    <t>Chemical Name</t>
  </si>
  <si>
    <t>Boxes</t>
  </si>
  <si>
    <t>Price</t>
  </si>
  <si>
    <t>info</t>
  </si>
  <si>
    <t>chemicals</t>
  </si>
  <si>
    <t>Navy Blue</t>
  </si>
  <si>
    <t>Rubine B</t>
  </si>
  <si>
    <t>Sum of Price</t>
  </si>
  <si>
    <t>Sum of Balance</t>
  </si>
  <si>
    <t>Blue SE2R</t>
  </si>
  <si>
    <t>Red F3BS</t>
  </si>
  <si>
    <t>Violet 3R</t>
  </si>
  <si>
    <t>Violet 5R</t>
  </si>
  <si>
    <t>Yellow 10GF</t>
  </si>
  <si>
    <t>Item</t>
  </si>
  <si>
    <t>Quantity</t>
  </si>
  <si>
    <t>Bill number</t>
  </si>
  <si>
    <t>Units</t>
  </si>
  <si>
    <t>Advance</t>
  </si>
  <si>
    <t>Person</t>
  </si>
  <si>
    <t>Shipment number</t>
  </si>
  <si>
    <t>Max of Kora/metre</t>
  </si>
  <si>
    <t>cost</t>
  </si>
  <si>
    <t>Max of Kora/gaz</t>
  </si>
  <si>
    <t>Tiyar/metre</t>
  </si>
  <si>
    <t>Cost</t>
  </si>
  <si>
    <t>Yellow 4G</t>
  </si>
  <si>
    <t>Scarlet B</t>
  </si>
  <si>
    <t>Ashraf Zia</t>
  </si>
  <si>
    <t>Rafaqat</t>
  </si>
  <si>
    <t>gazana</t>
  </si>
  <si>
    <t>sum</t>
  </si>
  <si>
    <t>Azam</t>
  </si>
  <si>
    <t>Blue GSL</t>
  </si>
  <si>
    <t>Billing (Previous)</t>
  </si>
  <si>
    <t>Billing September</t>
  </si>
  <si>
    <t>boxes</t>
  </si>
  <si>
    <t>kgs</t>
  </si>
  <si>
    <t>total</t>
  </si>
  <si>
    <t>Black</t>
  </si>
  <si>
    <t>Red FB</t>
  </si>
  <si>
    <t>Yellow GG</t>
  </si>
  <si>
    <t>T blue</t>
  </si>
  <si>
    <t>LAST Month Stock</t>
  </si>
  <si>
    <t>BP26</t>
  </si>
  <si>
    <t>AS Traders</t>
  </si>
  <si>
    <t>PVA</t>
  </si>
  <si>
    <t>Badshah Fabrics</t>
  </si>
  <si>
    <t>Khalid Sahab</t>
  </si>
  <si>
    <t>Party Names</t>
  </si>
  <si>
    <t>Reject</t>
  </si>
  <si>
    <t>Kaleem ullah</t>
  </si>
  <si>
    <t>Qadeer Driver:</t>
  </si>
  <si>
    <t>21500 old advance</t>
  </si>
  <si>
    <t>20000 paid (Salary0</t>
  </si>
  <si>
    <t>21500-17000</t>
  </si>
  <si>
    <t>4500 advance left</t>
  </si>
  <si>
    <t>Amjad 7up</t>
  </si>
  <si>
    <t>Hazrat Khan</t>
  </si>
  <si>
    <t>Ishaq</t>
  </si>
  <si>
    <t>Haseeb Shamsi</t>
  </si>
  <si>
    <t>September Closing CF</t>
  </si>
  <si>
    <t>(Last month)</t>
  </si>
  <si>
    <t>oct-Nov</t>
  </si>
  <si>
    <t>Closing September CF</t>
  </si>
  <si>
    <t>September closing CF</t>
  </si>
  <si>
    <t>TKL 364</t>
  </si>
  <si>
    <t>TKQ 364</t>
  </si>
  <si>
    <t>advance salary</t>
  </si>
  <si>
    <t>khalid sahab</t>
  </si>
  <si>
    <t>LPG</t>
  </si>
  <si>
    <t>Omer</t>
  </si>
  <si>
    <t>3rd wood</t>
  </si>
  <si>
    <t>Saqlain</t>
  </si>
  <si>
    <t>unloading</t>
  </si>
  <si>
    <t>Faizan</t>
  </si>
  <si>
    <t>bill clear</t>
  </si>
  <si>
    <t>TID:601224</t>
  </si>
  <si>
    <t>Sajad khan</t>
  </si>
  <si>
    <t>looper</t>
  </si>
  <si>
    <t>boiler</t>
  </si>
  <si>
    <t>Boiler parts</t>
  </si>
  <si>
    <t>generator</t>
  </si>
  <si>
    <t>madina dyes</t>
  </si>
  <si>
    <t>Black,Violet 3R,Rubine B, yellow 4G</t>
  </si>
  <si>
    <t>LES 3747</t>
  </si>
  <si>
    <t>Temp</t>
  </si>
  <si>
    <t>unloading left</t>
  </si>
  <si>
    <t>Bricks//boiler</t>
  </si>
  <si>
    <t>Dasti</t>
  </si>
  <si>
    <t>bore pipes//loom</t>
  </si>
  <si>
    <t>copper</t>
  </si>
  <si>
    <t>copper sale</t>
  </si>
  <si>
    <t>copper purchase</t>
  </si>
  <si>
    <t>petrol//bike</t>
  </si>
  <si>
    <t>C 8901</t>
  </si>
  <si>
    <t>SGI 9875</t>
  </si>
  <si>
    <t>Mazdoor</t>
  </si>
  <si>
    <t>Ali raza</t>
  </si>
  <si>
    <t>sunsuper theka</t>
  </si>
  <si>
    <t>zulfiqar sahab advance</t>
  </si>
  <si>
    <t>boiler//oxy cylinder</t>
  </si>
  <si>
    <t>Sajid</t>
  </si>
  <si>
    <t>Kora karaya</t>
  </si>
  <si>
    <t>Shafique Ansari</t>
  </si>
  <si>
    <t>(317*775 + 100*650)</t>
  </si>
  <si>
    <t>16 small+45 bori starch. 2 bp26</t>
  </si>
  <si>
    <t>bank charges</t>
  </si>
  <si>
    <t>petrol</t>
  </si>
  <si>
    <t>clip repair</t>
  </si>
  <si>
    <t>belt</t>
  </si>
  <si>
    <t>motor wind</t>
  </si>
  <si>
    <t>stationary</t>
  </si>
  <si>
    <t>TID:670025</t>
  </si>
  <si>
    <t>Malik zaheer</t>
  </si>
  <si>
    <t>NP9</t>
  </si>
  <si>
    <t>Bill clear total</t>
  </si>
  <si>
    <t>mazdoor (5900+100advance)</t>
  </si>
  <si>
    <t>ghulam mustafa</t>
  </si>
  <si>
    <t>wheels</t>
  </si>
  <si>
    <t>TID:113078</t>
  </si>
  <si>
    <t>electric bill</t>
  </si>
  <si>
    <t>electric bill//last month</t>
  </si>
  <si>
    <t>jazz device</t>
  </si>
  <si>
    <t>food</t>
  </si>
  <si>
    <t>toll</t>
  </si>
  <si>
    <t>Amjad sohail</t>
  </si>
  <si>
    <t>BAHL</t>
  </si>
  <si>
    <t>kharcha arhsad</t>
  </si>
  <si>
    <t>Baans</t>
  </si>
  <si>
    <t>atiq ur rehman</t>
  </si>
  <si>
    <t>haseen khan</t>
  </si>
  <si>
    <t>package</t>
  </si>
  <si>
    <t>bolts</t>
  </si>
  <si>
    <t>oil</t>
  </si>
  <si>
    <t>LXT 8141</t>
  </si>
  <si>
    <t>BSC kaprra adjust</t>
  </si>
  <si>
    <t>afzaal hussein</t>
  </si>
  <si>
    <t>8 days</t>
  </si>
  <si>
    <t>bearings</t>
  </si>
  <si>
    <t>bulbs</t>
  </si>
  <si>
    <t>TID:525299</t>
  </si>
  <si>
    <t>mazdoor</t>
  </si>
  <si>
    <t>khalid sahab clinic</t>
  </si>
  <si>
    <t>clip karaya</t>
  </si>
  <si>
    <t>headlights</t>
  </si>
  <si>
    <t>folding repair</t>
  </si>
  <si>
    <t>Master Tanveer</t>
  </si>
  <si>
    <t>tahir</t>
  </si>
  <si>
    <t>bearings small</t>
  </si>
  <si>
    <t>spoons</t>
  </si>
  <si>
    <t>dye bags</t>
  </si>
  <si>
    <t>parts</t>
  </si>
  <si>
    <t>TID:247528</t>
  </si>
  <si>
    <t>Chain Acc</t>
  </si>
  <si>
    <t>TID:409607</t>
  </si>
  <si>
    <t>chain Acc</t>
  </si>
  <si>
    <t>RPT 5560</t>
  </si>
  <si>
    <t>266 mann</t>
  </si>
  <si>
    <t>TID:511418</t>
  </si>
  <si>
    <t>Atta 10bags</t>
  </si>
  <si>
    <t>TAT 098</t>
  </si>
  <si>
    <t>wood</t>
  </si>
  <si>
    <t>chai</t>
  </si>
  <si>
    <t>TID:534706</t>
  </si>
  <si>
    <t>clips advance</t>
  </si>
  <si>
    <t>266 man</t>
  </si>
  <si>
    <t>1821+1820+1819</t>
  </si>
  <si>
    <t>CAR 6957</t>
  </si>
  <si>
    <t>package device</t>
  </si>
  <si>
    <t>5000 khalid sahab</t>
  </si>
  <si>
    <t>ARB dasti</t>
  </si>
  <si>
    <t>sajad khan (100000)</t>
  </si>
  <si>
    <t>Amjad Sohail</t>
  </si>
  <si>
    <t>cheque</t>
  </si>
  <si>
    <t>amjad sohail cheque</t>
  </si>
  <si>
    <t>mubashir</t>
  </si>
  <si>
    <t>E 9399</t>
  </si>
  <si>
    <t>starch</t>
  </si>
  <si>
    <t>Haseeb shamsi</t>
  </si>
  <si>
    <t>Sohaib shamsi</t>
  </si>
  <si>
    <t>Hazrat khan</t>
  </si>
  <si>
    <t>353250 poora</t>
  </si>
  <si>
    <t>food/home</t>
  </si>
  <si>
    <t>695k cash+ 305 transfer</t>
  </si>
  <si>
    <t>TID:773769</t>
  </si>
  <si>
    <t>M tag</t>
  </si>
  <si>
    <t>Screws</t>
  </si>
  <si>
    <t>bottles</t>
  </si>
  <si>
    <t>boiler theka</t>
  </si>
  <si>
    <t>Slub</t>
  </si>
  <si>
    <t>Satin</t>
  </si>
  <si>
    <t>Billing (Slub)</t>
  </si>
  <si>
    <t>Billing (Satin)</t>
  </si>
  <si>
    <t>Qadeer Driver</t>
  </si>
  <si>
    <t>car kharcha</t>
  </si>
  <si>
    <t>oxygen cylinder</t>
  </si>
  <si>
    <t>FDS 1187</t>
  </si>
  <si>
    <t>137 mann</t>
  </si>
  <si>
    <t>301 Mann</t>
  </si>
  <si>
    <t>KFC home</t>
  </si>
  <si>
    <t>juices etc</t>
  </si>
  <si>
    <t>challan-omer</t>
  </si>
  <si>
    <t>189+100+50+*169*</t>
  </si>
  <si>
    <t>169k (sufi)</t>
  </si>
  <si>
    <t>500k poora</t>
  </si>
  <si>
    <t>301 mann</t>
  </si>
  <si>
    <t>Badshah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</si>
</sst>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 #,##0.00_-;_-* &quot;-&quot;??_-;_-@_-"/>
    <numFmt numFmtId="164" formatCode="_-* #,##0_-;\-* #,##0_-;_-* &quot;-&quot;??_-;_-@_-"/>
    <numFmt numFmtId="165" formatCode="_-* #,##0.0_-;\-* #,##0.0_-;_-* &quot;-&quot;??_-;_-@_-"/>
  </numFmts>
  <fonts count="13" x14ac:knownFonts="1">
    <font>
      <sz val="11"/>
      <color theme="1"/>
      <name val="Aptos Narrow"/>
      <family val="2"/>
      <scheme val="minor"/>
    </font>
    <font>
      <b/>
      <sz val="11"/>
      <color theme="1"/>
      <name val="Aptos Narrow"/>
      <family val="2"/>
      <scheme val="minor"/>
    </font>
    <font>
      <b/>
      <i/>
      <sz val="11"/>
      <color theme="1"/>
      <name val="Aptos Narrow"/>
      <family val="2"/>
      <scheme val="minor"/>
    </font>
    <font>
      <b/>
      <i/>
      <u/>
      <sz val="20"/>
      <color theme="1"/>
      <name val="Aptos Narrow"/>
      <family val="2"/>
      <scheme val="minor"/>
    </font>
    <font>
      <sz val="8"/>
      <name val="Aptos Narrow"/>
      <family val="2"/>
      <scheme val="minor"/>
    </font>
    <font>
      <b/>
      <i/>
      <u/>
      <sz val="22"/>
      <color theme="1"/>
      <name val="Aptos Narrow"/>
      <family val="2"/>
      <scheme val="minor"/>
    </font>
    <font>
      <sz val="11"/>
      <color theme="1"/>
      <name val="Aptos Narrow"/>
      <family val="2"/>
      <scheme val="minor"/>
    </font>
    <font>
      <sz val="6"/>
      <name val="Yu Gothic"/>
      <family val="2"/>
      <charset val="128"/>
    </font>
    <font>
      <b/>
      <sz val="14"/>
      <color theme="1"/>
      <name val="Aptos Narrow"/>
      <family val="2"/>
      <scheme val="minor"/>
    </font>
    <font>
      <b/>
      <sz val="12"/>
      <color theme="1"/>
      <name val="Aptos Narrow"/>
      <family val="2"/>
      <scheme val="minor"/>
    </font>
    <font>
      <b/>
      <sz val="16"/>
      <color theme="1"/>
      <name val="Aptos Narrow"/>
      <family val="2"/>
      <scheme val="minor"/>
    </font>
    <font>
      <sz val="14"/>
      <color theme="1"/>
      <name val="Aptos Narrow"/>
      <family val="2"/>
      <scheme val="minor"/>
    </font>
    <font>
      <b/>
      <sz val="11"/>
      <color theme="0"/>
      <name val="Aptos Narrow"/>
      <family val="2"/>
      <scheme val="minor"/>
    </font>
  </fonts>
  <fills count="9">
    <fill>
      <patternFill patternType="none"/>
    </fill>
    <fill>
      <patternFill patternType="gray125"/>
    </fill>
    <fill>
      <patternFill patternType="solid">
        <fgColor rgb="FFFFFF00"/>
        <bgColor indexed="64"/>
      </patternFill>
    </fill>
    <fill>
      <patternFill patternType="solid">
        <fgColor theme="3" tint="0.749992370372631"/>
        <bgColor indexed="64"/>
      </patternFill>
    </fill>
    <fill>
      <patternFill patternType="solid">
        <fgColor theme="4" tint="0.59999389629810485"/>
        <bgColor indexed="64"/>
      </patternFill>
    </fill>
    <fill>
      <patternFill patternType="solid">
        <fgColor theme="4" tint="0.79998168889431442"/>
        <bgColor indexed="64"/>
      </patternFill>
    </fill>
    <fill>
      <patternFill patternType="solid">
        <fgColor theme="1"/>
        <bgColor indexed="64"/>
      </patternFill>
    </fill>
    <fill>
      <patternFill patternType="solid">
        <fgColor rgb="FFFF0000"/>
        <bgColor indexed="64"/>
      </patternFill>
    </fill>
    <fill>
      <patternFill patternType="solid">
        <fgColor rgb="FF92D050"/>
        <bgColor indexed="64"/>
      </patternFill>
    </fill>
  </fills>
  <borders count="27">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double">
        <color theme="4"/>
      </top>
      <bottom style="thin">
        <color theme="4" tint="0.39997558519241921"/>
      </bottom>
      <diagonal/>
    </border>
    <border>
      <left style="thin">
        <color indexed="64"/>
      </left>
      <right/>
      <top/>
      <bottom style="thin">
        <color indexed="64"/>
      </bottom>
      <diagonal/>
    </border>
    <border>
      <left/>
      <right style="thin">
        <color indexed="64"/>
      </right>
      <top/>
      <bottom style="thin">
        <color indexed="64"/>
      </bottom>
      <diagonal/>
    </border>
    <border>
      <left style="thin">
        <color theme="4" tint="0.39997558519241921"/>
      </left>
      <right/>
      <top style="thin">
        <color theme="4" tint="0.39997558519241921"/>
      </top>
      <bottom style="thin">
        <color theme="4" tint="0.39997558519241921"/>
      </bottom>
      <diagonal/>
    </border>
    <border>
      <left style="thin">
        <color theme="4" tint="0.39997558519241921"/>
      </left>
      <right/>
      <top style="thin">
        <color theme="4" tint="0.39997558519241921"/>
      </top>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diagonal/>
    </border>
    <border>
      <left style="thin">
        <color auto="1"/>
      </left>
      <right/>
      <top style="thin">
        <color auto="1"/>
      </top>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rgb="FF505050"/>
      </left>
      <right/>
      <top style="medium">
        <color rgb="FF505050"/>
      </top>
      <bottom style="medium">
        <color rgb="FF505050"/>
      </bottom>
      <diagonal/>
    </border>
    <border>
      <left/>
      <right style="medium">
        <color rgb="FF505050"/>
      </right>
      <top style="medium">
        <color rgb="FF505050"/>
      </top>
      <bottom style="medium">
        <color rgb="FF505050"/>
      </bottom>
      <diagonal/>
    </border>
    <border>
      <left style="medium">
        <color indexed="64"/>
      </left>
      <right style="medium">
        <color indexed="64"/>
      </right>
      <top style="medium">
        <color indexed="64"/>
      </top>
      <bottom style="medium">
        <color indexed="64"/>
      </bottom>
      <diagonal/>
    </border>
    <border>
      <left/>
      <right/>
      <top style="thin">
        <color auto="1"/>
      </top>
      <bottom/>
      <diagonal/>
    </border>
    <border>
      <left/>
      <right/>
      <top/>
      <bottom style="thin">
        <color auto="1"/>
      </bottom>
      <diagonal/>
    </border>
    <border>
      <left style="thin">
        <color auto="1"/>
      </left>
      <right style="thin">
        <color auto="1"/>
      </right>
      <top style="thin">
        <color auto="1"/>
      </top>
      <bottom/>
      <diagonal/>
    </border>
  </borders>
  <cellStyleXfs count="2">
    <xf numFmtId="0" fontId="0" fillId="0" borderId="0"/>
    <xf numFmtId="43" fontId="6" fillId="0" borderId="0" applyFont="0" applyFill="0" applyBorder="0" applyAlignment="0" applyProtection="0"/>
  </cellStyleXfs>
  <cellXfs count="125">
    <xf numFmtId="0" fontId="0" fillId="0" borderId="0" xfId="0"/>
    <xf numFmtId="14" fontId="0" fillId="0" borderId="0" xfId="0" applyNumberFormat="1"/>
    <xf numFmtId="0" fontId="1" fillId="0" borderId="1" xfId="0" applyFont="1" applyBorder="1" applyAlignment="1">
      <alignment horizontal="center" vertical="top"/>
    </xf>
    <xf numFmtId="0" fontId="0" fillId="0" borderId="0" xfId="0" pivotButton="1"/>
    <xf numFmtId="0" fontId="0" fillId="0" borderId="0" xfId="0" applyAlignment="1">
      <alignment horizontal="left"/>
    </xf>
    <xf numFmtId="2" fontId="0" fillId="0" borderId="0" xfId="0" applyNumberFormat="1"/>
    <xf numFmtId="0" fontId="2" fillId="0" borderId="0" xfId="0" applyFont="1"/>
    <xf numFmtId="0" fontId="3" fillId="0" borderId="0" xfId="0" applyFont="1"/>
    <xf numFmtId="0" fontId="1" fillId="0" borderId="3" xfId="0" applyFont="1" applyBorder="1" applyAlignment="1">
      <alignment horizontal="center" vertical="top"/>
    </xf>
    <xf numFmtId="0" fontId="5" fillId="0" borderId="0" xfId="0" applyFont="1"/>
    <xf numFmtId="43" fontId="0" fillId="0" borderId="0" xfId="1" applyFont="1"/>
    <xf numFmtId="164" fontId="0" fillId="0" borderId="0" xfId="1" applyNumberFormat="1" applyFont="1"/>
    <xf numFmtId="164" fontId="1" fillId="0" borderId="3" xfId="1" applyNumberFormat="1" applyFont="1" applyBorder="1" applyAlignment="1">
      <alignment horizontal="center" vertical="top"/>
    </xf>
    <xf numFmtId="164" fontId="1" fillId="0" borderId="3" xfId="1" applyNumberFormat="1" applyFont="1" applyBorder="1"/>
    <xf numFmtId="164" fontId="0" fillId="0" borderId="0" xfId="0" applyNumberFormat="1"/>
    <xf numFmtId="164" fontId="2" fillId="0" borderId="0" xfId="1" applyNumberFormat="1" applyFont="1"/>
    <xf numFmtId="164" fontId="0" fillId="0" borderId="0" xfId="0" applyNumberFormat="1" applyAlignment="1">
      <alignment horizontal="left"/>
    </xf>
    <xf numFmtId="164" fontId="1" fillId="0" borderId="4" xfId="0" applyNumberFormat="1" applyFont="1" applyBorder="1"/>
    <xf numFmtId="1" fontId="0" fillId="0" borderId="0" xfId="0" applyNumberFormat="1"/>
    <xf numFmtId="0" fontId="0" fillId="2" borderId="0" xfId="0" applyFill="1"/>
    <xf numFmtId="164" fontId="0" fillId="2" borderId="0" xfId="1" applyNumberFormat="1" applyFont="1" applyFill="1"/>
    <xf numFmtId="164" fontId="0" fillId="0" borderId="0" xfId="1" applyNumberFormat="1" applyFont="1" applyFill="1"/>
    <xf numFmtId="0" fontId="0" fillId="0" borderId="1" xfId="0" applyBorder="1"/>
    <xf numFmtId="164" fontId="0" fillId="0" borderId="1" xfId="1" applyNumberFormat="1" applyFont="1" applyBorder="1"/>
    <xf numFmtId="0" fontId="1" fillId="3" borderId="1" xfId="0" applyFont="1" applyFill="1" applyBorder="1"/>
    <xf numFmtId="0" fontId="1" fillId="0" borderId="1" xfId="0" applyFont="1" applyBorder="1"/>
    <xf numFmtId="164" fontId="0" fillId="2" borderId="0" xfId="0" applyNumberFormat="1" applyFill="1"/>
    <xf numFmtId="14" fontId="0" fillId="0" borderId="0" xfId="0" applyNumberFormat="1" applyAlignment="1">
      <alignment horizontal="left"/>
    </xf>
    <xf numFmtId="14" fontId="0" fillId="0" borderId="0" xfId="1" applyNumberFormat="1" applyFont="1"/>
    <xf numFmtId="0" fontId="0" fillId="0" borderId="0" xfId="1" applyNumberFormat="1" applyFont="1"/>
    <xf numFmtId="0" fontId="1" fillId="0" borderId="1" xfId="1" applyNumberFormat="1" applyFont="1" applyBorder="1" applyAlignment="1">
      <alignment horizontal="center" vertical="top"/>
    </xf>
    <xf numFmtId="0" fontId="1" fillId="0" borderId="2" xfId="1" applyNumberFormat="1" applyFont="1" applyBorder="1" applyAlignment="1">
      <alignment horizontal="center" vertical="top"/>
    </xf>
    <xf numFmtId="165" fontId="0" fillId="0" borderId="0" xfId="1" applyNumberFormat="1" applyFont="1"/>
    <xf numFmtId="43" fontId="0" fillId="0" borderId="0" xfId="0" applyNumberFormat="1"/>
    <xf numFmtId="164" fontId="0" fillId="4" borderId="0" xfId="1" applyNumberFormat="1" applyFont="1" applyFill="1"/>
    <xf numFmtId="164" fontId="0" fillId="6" borderId="0" xfId="0" applyNumberFormat="1" applyFill="1"/>
    <xf numFmtId="0" fontId="1" fillId="5" borderId="1" xfId="0" applyFont="1" applyFill="1" applyBorder="1"/>
    <xf numFmtId="164" fontId="1" fillId="5" borderId="1" xfId="0" applyNumberFormat="1" applyFont="1" applyFill="1" applyBorder="1"/>
    <xf numFmtId="164" fontId="1" fillId="5" borderId="1" xfId="1" applyNumberFormat="1" applyFont="1" applyFill="1" applyBorder="1"/>
    <xf numFmtId="164" fontId="0" fillId="0" borderId="3" xfId="0" pivotButton="1" applyNumberFormat="1" applyBorder="1"/>
    <xf numFmtId="164" fontId="0" fillId="0" borderId="5" xfId="0" applyNumberFormat="1" applyBorder="1"/>
    <xf numFmtId="164" fontId="0" fillId="0" borderId="6" xfId="0" applyNumberFormat="1" applyBorder="1"/>
    <xf numFmtId="164" fontId="1" fillId="0" borderId="1" xfId="1" applyNumberFormat="1" applyFont="1" applyBorder="1"/>
    <xf numFmtId="14" fontId="0" fillId="0" borderId="8" xfId="0" applyNumberFormat="1" applyBorder="1"/>
    <xf numFmtId="164" fontId="0" fillId="0" borderId="1" xfId="0" applyNumberFormat="1" applyBorder="1"/>
    <xf numFmtId="0" fontId="2" fillId="0" borderId="1" xfId="0" applyFont="1" applyBorder="1"/>
    <xf numFmtId="164" fontId="2" fillId="0" borderId="1" xfId="0" applyNumberFormat="1" applyFont="1" applyBorder="1"/>
    <xf numFmtId="0" fontId="0" fillId="0" borderId="0" xfId="0" applyAlignment="1">
      <alignment horizontal="left" indent="1"/>
    </xf>
    <xf numFmtId="165" fontId="0" fillId="0" borderId="0" xfId="0" applyNumberFormat="1"/>
    <xf numFmtId="164" fontId="0" fillId="0" borderId="0" xfId="0" pivotButton="1" applyNumberFormat="1"/>
    <xf numFmtId="0" fontId="0" fillId="0" borderId="9" xfId="0" applyBorder="1"/>
    <xf numFmtId="164" fontId="0" fillId="0" borderId="10" xfId="0" applyNumberFormat="1" applyBorder="1"/>
    <xf numFmtId="0" fontId="0" fillId="0" borderId="6" xfId="0" applyBorder="1"/>
    <xf numFmtId="0" fontId="0" fillId="0" borderId="11" xfId="0" applyBorder="1"/>
    <xf numFmtId="164" fontId="0" fillId="0" borderId="12" xfId="0" applyNumberFormat="1" applyBorder="1"/>
    <xf numFmtId="0" fontId="0" fillId="0" borderId="5" xfId="0" applyBorder="1"/>
    <xf numFmtId="0" fontId="0" fillId="0" borderId="10" xfId="0" applyBorder="1"/>
    <xf numFmtId="0" fontId="1" fillId="0" borderId="11" xfId="0" applyFont="1" applyBorder="1"/>
    <xf numFmtId="164" fontId="1" fillId="0" borderId="12" xfId="0" applyNumberFormat="1" applyFont="1" applyBorder="1"/>
    <xf numFmtId="164" fontId="0" fillId="7" borderId="0" xfId="0" applyNumberFormat="1" applyFill="1"/>
    <xf numFmtId="0" fontId="8" fillId="0" borderId="0" xfId="0" applyFont="1"/>
    <xf numFmtId="0" fontId="0" fillId="0" borderId="13" xfId="0" applyBorder="1"/>
    <xf numFmtId="164" fontId="0" fillId="0" borderId="14" xfId="0" applyNumberFormat="1" applyBorder="1"/>
    <xf numFmtId="0" fontId="0" fillId="0" borderId="15" xfId="0" applyBorder="1"/>
    <xf numFmtId="164" fontId="0" fillId="0" borderId="16" xfId="0" applyNumberFormat="1" applyBorder="1"/>
    <xf numFmtId="0" fontId="1" fillId="0" borderId="19" xfId="0" applyFont="1" applyBorder="1"/>
    <xf numFmtId="164" fontId="1" fillId="0" borderId="20" xfId="0" applyNumberFormat="1" applyFont="1" applyBorder="1"/>
    <xf numFmtId="0" fontId="9" fillId="0" borderId="0" xfId="0" applyFont="1"/>
    <xf numFmtId="165" fontId="0" fillId="0" borderId="1" xfId="1" applyNumberFormat="1" applyFont="1" applyBorder="1"/>
    <xf numFmtId="0" fontId="10" fillId="3" borderId="1" xfId="0" applyFont="1" applyFill="1" applyBorder="1"/>
    <xf numFmtId="0" fontId="11" fillId="0" borderId="0" xfId="0" applyFont="1"/>
    <xf numFmtId="165" fontId="8" fillId="0" borderId="0" xfId="1" applyNumberFormat="1" applyFont="1" applyBorder="1"/>
    <xf numFmtId="165" fontId="11" fillId="0" borderId="0" xfId="1" applyNumberFormat="1" applyFont="1" applyBorder="1"/>
    <xf numFmtId="164" fontId="8" fillId="0" borderId="0" xfId="1" applyNumberFormat="1" applyFont="1" applyBorder="1"/>
    <xf numFmtId="164" fontId="11" fillId="0" borderId="0" xfId="1" applyNumberFormat="1" applyFont="1" applyBorder="1"/>
    <xf numFmtId="43" fontId="0" fillId="0" borderId="1" xfId="1" applyFont="1" applyBorder="1"/>
    <xf numFmtId="0" fontId="1" fillId="0" borderId="15" xfId="0" applyFont="1" applyBorder="1"/>
    <xf numFmtId="164" fontId="1" fillId="0" borderId="16" xfId="0" applyNumberFormat="1" applyFont="1" applyBorder="1"/>
    <xf numFmtId="164" fontId="1" fillId="0" borderId="18" xfId="0" applyNumberFormat="1" applyFont="1" applyBorder="1"/>
    <xf numFmtId="0" fontId="1" fillId="0" borderId="17" xfId="0" applyFont="1" applyBorder="1"/>
    <xf numFmtId="0" fontId="1" fillId="0" borderId="21" xfId="0" applyFont="1" applyBorder="1"/>
    <xf numFmtId="164" fontId="1" fillId="0" borderId="22" xfId="0" applyNumberFormat="1" applyFont="1" applyBorder="1"/>
    <xf numFmtId="0" fontId="1" fillId="5" borderId="0" xfId="0" applyFont="1" applyFill="1"/>
    <xf numFmtId="2" fontId="1" fillId="0" borderId="0" xfId="0" applyNumberFormat="1" applyFont="1"/>
    <xf numFmtId="0" fontId="12" fillId="0" borderId="19" xfId="0" applyFont="1" applyBorder="1"/>
    <xf numFmtId="43" fontId="12" fillId="0" borderId="23" xfId="0" applyNumberFormat="1" applyFont="1" applyBorder="1"/>
    <xf numFmtId="0" fontId="1" fillId="0" borderId="0" xfId="0" applyFont="1"/>
    <xf numFmtId="0" fontId="1" fillId="0" borderId="0" xfId="0" applyFont="1" applyAlignment="1">
      <alignment horizontal="center" vertical="top"/>
    </xf>
    <xf numFmtId="164" fontId="1" fillId="0" borderId="0" xfId="1" applyNumberFormat="1" applyFont="1" applyBorder="1" applyAlignment="1">
      <alignment horizontal="center" vertical="top"/>
    </xf>
    <xf numFmtId="164" fontId="1" fillId="0" borderId="0" xfId="1" applyNumberFormat="1" applyFont="1" applyBorder="1"/>
    <xf numFmtId="14" fontId="1" fillId="0" borderId="0" xfId="0" applyNumberFormat="1" applyFont="1" applyAlignment="1">
      <alignment horizontal="center" vertical="top"/>
    </xf>
    <xf numFmtId="14" fontId="1" fillId="0" borderId="7" xfId="0" applyNumberFormat="1" applyFont="1" applyBorder="1"/>
    <xf numFmtId="164" fontId="1" fillId="0" borderId="0" xfId="1" applyNumberFormat="1" applyFont="1"/>
    <xf numFmtId="0" fontId="1" fillId="0" borderId="0" xfId="0" applyFont="1" applyAlignment="1">
      <alignment horizontal="center"/>
    </xf>
    <xf numFmtId="0" fontId="0" fillId="0" borderId="3" xfId="0" applyBorder="1"/>
    <xf numFmtId="0" fontId="0" fillId="0" borderId="24" xfId="0" applyBorder="1"/>
    <xf numFmtId="165" fontId="8" fillId="0" borderId="0" xfId="1" applyNumberFormat="1" applyFont="1"/>
    <xf numFmtId="165" fontId="8" fillId="0" borderId="23" xfId="1" applyNumberFormat="1" applyFont="1" applyBorder="1"/>
    <xf numFmtId="164" fontId="8" fillId="0" borderId="23" xfId="1" applyNumberFormat="1" applyFont="1" applyBorder="1"/>
    <xf numFmtId="164" fontId="8" fillId="7" borderId="23" xfId="1" applyNumberFormat="1" applyFont="1" applyFill="1" applyBorder="1"/>
    <xf numFmtId="165" fontId="0" fillId="7" borderId="0" xfId="1" applyNumberFormat="1" applyFont="1" applyFill="1"/>
    <xf numFmtId="164" fontId="8" fillId="7" borderId="0" xfId="0" applyNumberFormat="1" applyFont="1" applyFill="1"/>
    <xf numFmtId="164" fontId="8" fillId="8" borderId="0" xfId="0" applyNumberFormat="1" applyFont="1" applyFill="1"/>
    <xf numFmtId="165" fontId="0" fillId="8" borderId="0" xfId="0" applyNumberFormat="1" applyFill="1"/>
    <xf numFmtId="0" fontId="1" fillId="0" borderId="0" xfId="0" applyFont="1" applyAlignment="1">
      <alignment horizontal="center" vertical="center"/>
    </xf>
    <xf numFmtId="14" fontId="1" fillId="0" borderId="0" xfId="0" applyNumberFormat="1" applyFont="1"/>
    <xf numFmtId="0" fontId="1" fillId="0" borderId="26" xfId="0" applyFont="1" applyBorder="1"/>
    <xf numFmtId="14" fontId="0" fillId="0" borderId="24" xfId="1" applyNumberFormat="1" applyFont="1" applyBorder="1"/>
    <xf numFmtId="0" fontId="0" fillId="0" borderId="24" xfId="1" applyNumberFormat="1" applyFont="1" applyBorder="1"/>
    <xf numFmtId="164" fontId="0" fillId="0" borderId="24" xfId="1" applyNumberFormat="1" applyFont="1" applyBorder="1"/>
    <xf numFmtId="165" fontId="0" fillId="0" borderId="24" xfId="1" applyNumberFormat="1" applyFont="1" applyBorder="1"/>
    <xf numFmtId="14" fontId="0" fillId="0" borderId="25" xfId="1" applyNumberFormat="1" applyFont="1" applyBorder="1"/>
    <xf numFmtId="0" fontId="0" fillId="0" borderId="25" xfId="1" applyNumberFormat="1" applyFont="1" applyBorder="1"/>
    <xf numFmtId="164" fontId="0" fillId="0" borderId="25" xfId="1" applyNumberFormat="1" applyFont="1" applyBorder="1"/>
    <xf numFmtId="165" fontId="0" fillId="0" borderId="25" xfId="1" applyNumberFormat="1" applyFont="1" applyBorder="1"/>
    <xf numFmtId="14" fontId="0" fillId="0" borderId="7" xfId="0" applyNumberFormat="1" applyBorder="1"/>
    <xf numFmtId="0" fontId="0" fillId="0" borderId="0" xfId="0" applyAlignment="1">
      <alignment horizontal="center"/>
    </xf>
    <xf numFmtId="164" fontId="0" fillId="0" borderId="0" xfId="1" applyNumberFormat="1" applyFont="1" applyBorder="1"/>
    <xf numFmtId="0" fontId="1" fillId="0" borderId="0" xfId="0" applyFont="1" applyAlignment="1">
      <alignment horizontal="left" vertical="top"/>
    </xf>
    <xf numFmtId="14" fontId="0" fillId="0" borderId="0" xfId="1" applyNumberFormat="1" applyFont="1" applyBorder="1"/>
    <xf numFmtId="0" fontId="0" fillId="0" borderId="0" xfId="1" applyNumberFormat="1" applyFont="1" applyBorder="1"/>
    <xf numFmtId="165" fontId="0" fillId="0" borderId="0" xfId="1" applyNumberFormat="1" applyFont="1" applyBorder="1"/>
    <xf numFmtId="0" fontId="6" fillId="0" borderId="0" xfId="1" applyNumberFormat="1" applyFont="1" applyBorder="1"/>
    <xf numFmtId="0" fontId="1" fillId="0" borderId="1" xfId="0" applyFont="1" applyBorder="1" applyAlignment="1">
      <alignment horizontal="left"/>
    </xf>
    <xf numFmtId="164" fontId="1" fillId="0" borderId="1" xfId="0" applyNumberFormat="1" applyFont="1" applyBorder="1" applyAlignment="1">
      <alignment horizontal="left"/>
    </xf>
  </cellXfs>
  <cellStyles count="2">
    <cellStyle name="Comma" xfId="1" builtinId="3"/>
    <cellStyle name="Normal" xfId="0" builtinId="0"/>
  </cellStyles>
  <dxfs count="128">
    <dxf>
      <numFmt numFmtId="164" formatCode="_-* #,##0_-;\-* #,##0_-;_-* &quot;-&quot;??_-;_-@_-"/>
      <fill>
        <patternFill patternType="solid">
          <fgColor indexed="64"/>
          <bgColor rgb="FFFF0000"/>
        </patternFill>
      </fill>
    </dxf>
    <dxf>
      <numFmt numFmtId="164" formatCode="_-* #,##0_-;\-* #,##0_-;_-* &quot;-&quot;??_-;_-@_-"/>
    </dxf>
    <dxf>
      <numFmt numFmtId="164" formatCode="_-* #,##0_-;\-* #,##0_-;_-* &quot;-&quot;??_-;_-@_-"/>
    </dxf>
    <dxf>
      <numFmt numFmtId="19" formatCode="dd/mm/yyyy"/>
      <border diagonalUp="0" diagonalDown="0" outline="0">
        <left style="thin">
          <color theme="4" tint="0.39997558519241921"/>
        </left>
        <right/>
        <top style="thin">
          <color theme="4" tint="0.39997558519241921"/>
        </top>
        <bottom/>
      </border>
    </dxf>
    <dxf>
      <font>
        <b val="0"/>
        <i val="0"/>
        <strike val="0"/>
        <condense val="0"/>
        <extend val="0"/>
        <outline val="0"/>
        <shadow val="0"/>
        <u val="none"/>
        <vertAlign val="baseline"/>
        <sz val="11"/>
        <color theme="1"/>
        <name val="Aptos Narrow"/>
        <family val="2"/>
        <scheme val="minor"/>
      </font>
    </dxf>
    <dxf>
      <numFmt numFmtId="164" formatCode="_-* #,##0_-;\-* #,##0_-;_-* &quot;-&quot;??_-;_-@_-"/>
    </dxf>
    <dxf>
      <numFmt numFmtId="0" formatCode="General"/>
    </dxf>
    <dxf>
      <numFmt numFmtId="19" formatCode="dd/mm/yyyy"/>
    </dxf>
    <dxf>
      <numFmt numFmtId="19" formatCode="dd/mm/yyyy"/>
    </dxf>
    <dxf>
      <numFmt numFmtId="19" formatCode="dd/mm/yyyy"/>
    </dxf>
    <dxf>
      <numFmt numFmtId="19" formatCode="dd/mm/yyyy"/>
    </dxf>
    <dxf>
      <border>
        <left style="thin">
          <color indexed="64"/>
        </left>
        <right style="thin">
          <color indexed="64"/>
        </right>
        <bottom style="thin">
          <color indexed="64"/>
        </bottom>
      </border>
    </dxf>
    <dxf>
      <border>
        <left style="thin">
          <color indexed="64"/>
        </left>
        <right style="thin">
          <color indexed="64"/>
        </right>
        <bottom style="thin">
          <color indexed="64"/>
        </bottom>
      </border>
    </dxf>
    <dxf>
      <fill>
        <patternFill patternType="solid">
          <bgColor theme="1"/>
        </patternFill>
      </fill>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numFmt numFmtId="164" formatCode="_-* #,##0_-;\-* #,##0_-;_-* &quot;-&quot;??_-;_-@_-"/>
      <fill>
        <patternFill patternType="solid">
          <fgColor indexed="64"/>
          <bgColor rgb="FFFFFF00"/>
        </patternFill>
      </fill>
    </dxf>
    <dxf>
      <numFmt numFmtId="164" formatCode="_-* #,##0_-;\-* #,##0_-;_-* &quot;-&quot;??_-;_-@_-"/>
      <fill>
        <patternFill patternType="solid">
          <fgColor indexed="64"/>
          <bgColor rgb="FFFFFF00"/>
        </patternFill>
      </fill>
    </dxf>
    <dxf>
      <numFmt numFmtId="19" formatCode="dd/mm/yyyy"/>
    </dxf>
    <dxf>
      <numFmt numFmtId="19" formatCode="dd/mm/yyyy"/>
    </dxf>
    <dxf>
      <numFmt numFmtId="164" formatCode="_-* #,##0_-;\-* #,##0_-;_-* &quot;-&quot;??_-;_-@_-"/>
    </dxf>
    <dxf>
      <numFmt numFmtId="164" formatCode="_-* #,##0_-;\-* #,##0_-;_-* &quot;-&quot;??_-;_-@_-"/>
    </dxf>
    <dxf>
      <numFmt numFmtId="0" formatCode="General"/>
    </dxf>
    <dxf>
      <numFmt numFmtId="0" formatCode="General"/>
    </dxf>
    <dxf>
      <numFmt numFmtId="0" formatCode="General"/>
    </dxf>
    <dxf>
      <numFmt numFmtId="19" formatCode="dd/mm/yyyy"/>
    </dxf>
    <dxf>
      <numFmt numFmtId="19" formatCode="dd/mm/yyyy"/>
    </dxf>
    <dxf>
      <numFmt numFmtId="19" formatCode="dd/mm/yyyy"/>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0" formatCode="General"/>
    </dxf>
    <dxf>
      <numFmt numFmtId="0" formatCode="General"/>
    </dxf>
    <dxf>
      <numFmt numFmtId="0" formatCode="General"/>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164" formatCode="_-* #,##0_-;\-* #,##0_-;_-* &quot;-&quot;??_-;_-@_-"/>
    </dxf>
    <dxf>
      <numFmt numFmtId="19" formatCode="dd/mm/yyyy"/>
    </dxf>
    <dxf>
      <numFmt numFmtId="19" formatCode="dd/mm/yyyy"/>
    </dxf>
    <dxf>
      <border diagonalUp="0" diagonalDown="0" outline="0">
        <left/>
        <right/>
        <top style="thin">
          <color auto="1"/>
        </top>
        <bottom/>
      </border>
    </dxf>
    <dxf>
      <numFmt numFmtId="164" formatCode="_-* #,##0_-;\-* #,##0_-;_-* &quot;-&quot;??_-;_-@_-"/>
      <border diagonalUp="0" diagonalDown="0" outline="0">
        <left style="thin">
          <color auto="1"/>
        </left>
        <right/>
        <top style="thin">
          <color auto="1"/>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outline="0">
        <left/>
        <right style="thin">
          <color auto="1"/>
        </right>
        <top style="thin">
          <color auto="1"/>
        </top>
        <bottom/>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border diagonalUp="0" diagonalDown="0" outline="0">
        <left style="thin">
          <color indexed="64"/>
        </left>
        <right style="thin">
          <color indexed="64"/>
        </right>
        <top/>
        <bottom/>
      </border>
    </dxf>
    <dxf>
      <numFmt numFmtId="164" formatCode="_-* #,##0_-;\-* #,##0_-;_-* &quot;-&quot;??_-;_-@_-"/>
      <border diagonalUp="0" diagonalDown="0">
        <left style="thin">
          <color auto="1"/>
        </left>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indexed="64"/>
        </bottom>
      </border>
    </dxf>
    <dxf>
      <alignment horizontal="center" vertical="bottom" textRotation="0" wrapText="0" indent="0" justifyLastLine="0" shrinkToFit="0" readingOrder="0"/>
    </dxf>
    <dxf>
      <numFmt numFmtId="164" formatCode="_-* #,##0_-;\-* #,##0_-;_-* &quot;-&quot;??_-;_-@_-"/>
    </dxf>
    <dxf>
      <numFmt numFmtId="164" formatCode="_-* #,##0_-;\-* #,##0_-;_-* &quot;-&quot;??_-;_-@_-"/>
    </dxf>
    <dxf>
      <font>
        <b val="0"/>
        <i val="0"/>
        <strike val="0"/>
        <condense val="0"/>
        <extend val="0"/>
        <outline val="0"/>
        <shadow val="0"/>
        <u val="none"/>
        <vertAlign val="baseline"/>
        <sz val="11"/>
        <color theme="1"/>
        <name val="Aptos Narrow"/>
        <family val="2"/>
        <scheme val="minor"/>
      </font>
      <numFmt numFmtId="19" formatCode="dd/mm/yyyy"/>
      <border diagonalUp="0" diagonalDown="0">
        <left style="thin">
          <color theme="4" tint="0.39997558519241921"/>
        </left>
        <right/>
        <top style="thin">
          <color theme="4" tint="0.39997558519241921"/>
        </top>
        <bottom style="thin">
          <color theme="4" tint="0.39997558519241921"/>
        </bottom>
        <vertical/>
        <horizontal/>
      </border>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9" formatCode="dd/mm/yyyy"/>
    </dxf>
    <dxf>
      <numFmt numFmtId="19" formatCode="dd/mm/yyyy"/>
    </dxf>
    <dxf>
      <border outline="0">
        <top style="thin">
          <color auto="1"/>
        </top>
      </border>
    </dxf>
    <dxf>
      <border outline="0">
        <bottom style="thin">
          <color auto="1"/>
        </bottom>
      </border>
    </dxf>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font>
        <sz val="14"/>
      </font>
    </dxf>
    <dxf>
      <font>
        <b/>
      </font>
    </dxf>
    <dxf>
      <numFmt numFmtId="164" formatCode="_-* #,##0_-;\-* #,##0_-;_-* &quot;-&quot;??_-;_-@_-"/>
    </dxf>
    <dxf>
      <numFmt numFmtId="0" formatCode="General"/>
    </dxf>
    <dxf>
      <numFmt numFmtId="165" formatCode="_-* #,##0.0_-;\-* #,##0.0_-;_-* &quot;-&quot;??_-;_-@_-"/>
    </dxf>
    <dxf>
      <numFmt numFmtId="165" formatCode="_-* #,##0.0_-;\-* #,##0.0_-;_-* &quot;-&quot;??_-;_-@_-"/>
    </dxf>
    <dxf>
      <numFmt numFmtId="165" formatCode="_-* #,##0.0_-;\-* #,##0.0_-;_-* &quot;-&quot;??_-;_-@_-"/>
      <fill>
        <patternFill patternType="solid">
          <fgColor indexed="64"/>
          <bgColor rgb="FF92D050"/>
        </patternFill>
      </fill>
    </dxf>
    <dxf>
      <numFmt numFmtId="165" formatCode="_-* #,##0.0_-;\-* #,##0.0_-;_-* &quot;-&quot;??_-;_-@_-"/>
    </dxf>
    <dxf>
      <numFmt numFmtId="165" formatCode="_-* #,##0.0_-;\-* #,##0.0_-;_-* &quot;-&quot;??_-;_-@_-"/>
    </dxf>
    <dxf>
      <numFmt numFmtId="165" formatCode="_-* #,##0.0_-;\-* #,##0.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164" formatCode="_-* #,##0_-;\-* #,##0_-;_-* &quot;-&quot;??_-;_-@_-"/>
    </dxf>
    <dxf>
      <numFmt numFmtId="0" formatCode="General"/>
    </dxf>
    <dxf>
      <numFmt numFmtId="0" formatCode="General"/>
    </dxf>
    <dxf>
      <numFmt numFmtId="0" formatCode="General"/>
    </dxf>
    <dxf>
      <numFmt numFmtId="0" formatCode="General"/>
    </dxf>
    <dxf>
      <numFmt numFmtId="0" formatCode="General"/>
    </dxf>
    <dxf>
      <font>
        <b/>
        <i val="0"/>
        <strike val="0"/>
        <condense val="0"/>
        <extend val="0"/>
        <outline val="0"/>
        <shadow val="0"/>
        <u val="none"/>
        <vertAlign val="baseline"/>
        <sz val="11"/>
        <color theme="1"/>
        <name val="Aptos Narrow"/>
        <family val="2"/>
        <scheme val="minor"/>
      </font>
      <numFmt numFmtId="0" formatCode="General"/>
      <alignment horizontal="center" vertical="top" textRotation="0" wrapText="0" indent="0" justifyLastLine="0" shrinkToFit="0" readingOrder="0"/>
      <border diagonalUp="0" diagonalDown="0" outline="0">
        <left style="thin">
          <color auto="1"/>
        </left>
        <right style="thin">
          <color auto="1"/>
        </right>
        <top/>
        <bottom/>
      </border>
    </dxf>
    <dxf>
      <numFmt numFmtId="164" formatCode="_-* #,##0_-;\-* #,##0_-;_-* &quot;-&quot;??_-;_-@_-"/>
    </dxf>
    <dxf>
      <numFmt numFmtId="0" formatCode="General"/>
    </dxf>
    <dxf>
      <numFmt numFmtId="19" formatCode="dd/mm/yyyy"/>
    </dxf>
    <dxf>
      <numFmt numFmtId="19" formatCode="dd/mm/yyyy"/>
    </dxf>
    <dxf>
      <numFmt numFmtId="164" formatCode="_-* #,##0_-;\-* #,##0_-;_-* &quot;-&quot;??_-;_-@_-"/>
      <border diagonalUp="0" diagonalDown="0">
        <left/>
        <right style="medium">
          <color indexed="64"/>
        </right>
        <vertical/>
      </border>
    </dxf>
    <dxf>
      <border diagonalUp="0" diagonalDown="0">
        <left style="medium">
          <color indexed="64"/>
        </left>
        <right/>
        <vertical/>
      </border>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numFmt numFmtId="164" formatCode="_-* #,##0_-;\-* #,##0_-;_-* &quot;-&quot;??_-;_-@_-"/>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numFmt numFmtId="164" formatCode="_-* #,##0_-;\-* #,##0_-;_-* &quot;-&quot;??_-;_-@_-"/>
    </dxf>
    <dxf>
      <numFmt numFmtId="164" formatCode="_-* #,##0_-;\-* #,##0_-;_-* &quot;-&quot;??_-;_-@_-"/>
    </dxf>
    <dxf>
      <numFmt numFmtId="164" formatCode="_-* #,##0_-;\-* #,##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numFmt numFmtId="165" formatCode="_-* #,##0.0_-;\-* #,##0.0_-;_-* &quot;-&quot;??_-;_-@_-"/>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4"/>
        <color theme="1"/>
        <name val="Aptos Narrow"/>
        <family val="2"/>
        <scheme val="minor"/>
      </font>
    </dxf>
    <dxf>
      <font>
        <b/>
        <i val="0"/>
        <strike val="0"/>
        <condense val="0"/>
        <extend val="0"/>
        <outline val="0"/>
        <shadow val="0"/>
        <u val="none"/>
        <vertAlign val="baseline"/>
        <sz val="12"/>
        <color theme="1"/>
        <name val="Aptos Narrow"/>
        <family val="2"/>
        <scheme val="minor"/>
      </font>
    </dxf>
    <dxf>
      <numFmt numFmtId="164" formatCode="_-* #,##0_-;\-* #,##0_-;_-* &quot;-&quot;??_-;_-@_-"/>
    </dxf>
    <dxf>
      <numFmt numFmtId="1" formatCode="0"/>
    </dxf>
    <dxf>
      <numFmt numFmtId="0" formatCode="General"/>
    </dxf>
    <dxf>
      <numFmt numFmtId="2" formatCode="0.00"/>
    </dxf>
    <dxf>
      <numFmt numFmtId="1" formatCode="0"/>
    </dxf>
    <dxf>
      <numFmt numFmtId="164" formatCode="_-* #,##0_-;\-* #,##0_-;_-* &quot;-&quot;??_-;_-@_-"/>
    </dxf>
    <dxf>
      <numFmt numFmtId="164" formatCode="_-* #,##0_-;\-* #,##0_-;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externalLink" Target="externalLinks/externalLink1.xml"/><Relationship Id="rId26" Type="http://schemas.microsoft.com/office/2007/relationships/slicerCache" Target="slicerCaches/slicerCache2.xml"/><Relationship Id="rId39" Type="http://schemas.microsoft.com/office/2017/10/relationships/person" Target="persons/person.xml"/><Relationship Id="rId21" Type="http://schemas.openxmlformats.org/officeDocument/2006/relationships/pivotCacheDefinition" Target="pivotCache/pivotCacheDefinition3.xml"/><Relationship Id="rId34" Type="http://schemas.openxmlformats.org/officeDocument/2006/relationships/connections" Target="connection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pivotCacheDefinition" Target="pivotCache/pivotCacheDefinition2.xml"/><Relationship Id="rId29" Type="http://schemas.microsoft.com/office/2007/relationships/slicerCache" Target="slicerCaches/slicerCache5.xml"/><Relationship Id="rId41"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pivotCacheDefinition" Target="pivotCache/pivotCacheDefinition6.xml"/><Relationship Id="rId32" Type="http://schemas.microsoft.com/office/2007/relationships/slicerCache" Target="slicerCaches/slicerCache8.xml"/><Relationship Id="rId37" Type="http://schemas.openxmlformats.org/officeDocument/2006/relationships/sheetMetadata" Target="metadata.xml"/><Relationship Id="rId40"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pivotCacheDefinition" Target="pivotCache/pivotCacheDefinition5.xml"/><Relationship Id="rId28" Type="http://schemas.microsoft.com/office/2007/relationships/slicerCache" Target="slicerCaches/slicerCache4.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1.xml"/><Relationship Id="rId31" Type="http://schemas.microsoft.com/office/2007/relationships/slicerCache" Target="slicerCaches/slicerCache7.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pivotCacheDefinition" Target="pivotCache/pivotCacheDefinition4.xml"/><Relationship Id="rId27" Type="http://schemas.microsoft.com/office/2007/relationships/slicerCache" Target="slicerCaches/slicerCache3.xml"/><Relationship Id="rId30" Type="http://schemas.microsoft.com/office/2007/relationships/slicerCache" Target="slicerCaches/slicerCache6.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1.xml"/><Relationship Id="rId33" Type="http://schemas.openxmlformats.org/officeDocument/2006/relationships/theme" Target="theme/theme1.xml"/><Relationship Id="rId38" Type="http://schemas.openxmlformats.org/officeDocument/2006/relationships/powerPivotData" Target="model/item.data"/></Relationships>
</file>

<file path=xl/drawings/drawing1.xml><?xml version="1.0" encoding="utf-8"?>
<xdr:wsDr xmlns:xdr="http://schemas.openxmlformats.org/drawingml/2006/spreadsheetDrawing" xmlns:a="http://schemas.openxmlformats.org/drawingml/2006/main">
  <xdr:twoCellAnchor editAs="absolute">
    <xdr:from>
      <xdr:col>11</xdr:col>
      <xdr:colOff>243759</xdr:colOff>
      <xdr:row>110</xdr:row>
      <xdr:rowOff>2672</xdr:rowOff>
    </xdr:from>
    <xdr:to>
      <xdr:col>15</xdr:col>
      <xdr:colOff>436116</xdr:colOff>
      <xdr:row>117</xdr:row>
      <xdr:rowOff>73664</xdr:rowOff>
    </xdr:to>
    <mc:AlternateContent xmlns:mc="http://schemas.openxmlformats.org/markup-compatibility/2006" xmlns:sle15="http://schemas.microsoft.com/office/drawing/2012/slicer">
      <mc:Choice Requires="sle15">
        <xdr:graphicFrame macro="">
          <xdr:nvGraphicFramePr>
            <xdr:cNvPr id="2" name="Party Name">
              <a:extLst>
                <a:ext uri="{FF2B5EF4-FFF2-40B4-BE49-F238E27FC236}">
                  <a16:creationId xmlns:a16="http://schemas.microsoft.com/office/drawing/2014/main" id="{8259DA32-45F5-EBDD-5B95-34700BFA09B9}"/>
                </a:ext>
              </a:extLst>
            </xdr:cNvPr>
            <xdr:cNvGraphicFramePr/>
          </xdr:nvGraphicFramePr>
          <xdr:xfrm>
            <a:off x="0" y="0"/>
            <a:ext cx="0" cy="0"/>
          </xdr:xfrm>
          <a:graphic>
            <a:graphicData uri="http://schemas.microsoft.com/office/drawing/2010/slicer">
              <sle:slicer xmlns:sle="http://schemas.microsoft.com/office/drawing/2010/slicer" name="Party Name"/>
            </a:graphicData>
          </a:graphic>
        </xdr:graphicFrame>
      </mc:Choice>
      <mc:Fallback xmlns="">
        <xdr:sp macro="" textlink="">
          <xdr:nvSpPr>
            <xdr:cNvPr id="0" name=""/>
            <xdr:cNvSpPr>
              <a:spLocks noTextEdit="1"/>
            </xdr:cNvSpPr>
          </xdr:nvSpPr>
          <xdr:spPr>
            <a:xfrm>
              <a:off x="13014275" y="20354324"/>
              <a:ext cx="4486618" cy="138292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0</xdr:col>
      <xdr:colOff>670701</xdr:colOff>
      <xdr:row>169</xdr:row>
      <xdr:rowOff>13217</xdr:rowOff>
    </xdr:from>
    <xdr:to>
      <xdr:col>2</xdr:col>
      <xdr:colOff>305918</xdr:colOff>
      <xdr:row>177</xdr:row>
      <xdr:rowOff>71617</xdr:rowOff>
    </xdr:to>
    <mc:AlternateContent xmlns:mc="http://schemas.openxmlformats.org/markup-compatibility/2006" xmlns:sle15="http://schemas.microsoft.com/office/drawing/2012/slicer">
      <mc:Choice Requires="sle15">
        <xdr:graphicFrame macro="">
          <xdr:nvGraphicFramePr>
            <xdr:cNvPr id="3" name="Date">
              <a:extLst>
                <a:ext uri="{FF2B5EF4-FFF2-40B4-BE49-F238E27FC236}">
                  <a16:creationId xmlns:a16="http://schemas.microsoft.com/office/drawing/2014/main" id="{21711736-4BA5-0C40-7222-5B278D3B7DEA}"/>
                </a:ext>
                <a:ext uri="{147F2762-F138-4A5C-976F-8EAC2B608ADB}">
                  <a16:predDERef xmlns:a16="http://schemas.microsoft.com/office/drawing/2014/main" pred="{8259DA32-45F5-EBDD-5B95-34700BFA09B9}"/>
                </a:ext>
              </a:extLst>
            </xdr:cNvPr>
            <xdr:cNvGraphicFramePr/>
          </xdr:nvGraphicFramePr>
          <xdr:xfrm>
            <a:off x="0" y="0"/>
            <a:ext cx="0" cy="0"/>
          </xdr:xfrm>
          <a:graphic>
            <a:graphicData uri="http://schemas.microsoft.com/office/drawing/2010/slicer">
              <sle:slicer xmlns:sle="http://schemas.microsoft.com/office/drawing/2010/slicer" name="Date"/>
            </a:graphicData>
          </a:graphic>
        </xdr:graphicFrame>
      </mc:Choice>
      <mc:Fallback xmlns="">
        <xdr:sp macro="" textlink="">
          <xdr:nvSpPr>
            <xdr:cNvPr id="0" name=""/>
            <xdr:cNvSpPr>
              <a:spLocks noTextEdit="1"/>
            </xdr:cNvSpPr>
          </xdr:nvSpPr>
          <xdr:spPr>
            <a:xfrm>
              <a:off x="670701" y="30674646"/>
              <a:ext cx="1878884" cy="1509828"/>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254411</xdr:colOff>
      <xdr:row>27</xdr:row>
      <xdr:rowOff>94595</xdr:rowOff>
    </xdr:from>
    <xdr:to>
      <xdr:col>10</xdr:col>
      <xdr:colOff>1236689</xdr:colOff>
      <xdr:row>40</xdr:row>
      <xdr:rowOff>131164</xdr:rowOff>
    </xdr:to>
    <mc:AlternateContent xmlns:mc="http://schemas.openxmlformats.org/markup-compatibility/2006" xmlns:sle15="http://schemas.microsoft.com/office/drawing/2012/slicer">
      <mc:Choice Requires="sle15">
        <xdr:graphicFrame macro="">
          <xdr:nvGraphicFramePr>
            <xdr:cNvPr id="2" name="Party Name 1">
              <a:extLst>
                <a:ext uri="{FF2B5EF4-FFF2-40B4-BE49-F238E27FC236}">
                  <a16:creationId xmlns:a16="http://schemas.microsoft.com/office/drawing/2014/main" id="{2078434D-1B2A-7CD5-B26B-3D2054BBA3D8}"/>
                </a:ext>
              </a:extLst>
            </xdr:cNvPr>
            <xdr:cNvGraphicFramePr/>
          </xdr:nvGraphicFramePr>
          <xdr:xfrm>
            <a:off x="0" y="0"/>
            <a:ext cx="0" cy="0"/>
          </xdr:xfrm>
          <a:graphic>
            <a:graphicData uri="http://schemas.microsoft.com/office/drawing/2010/slicer">
              <sle:slicer xmlns:sle="http://schemas.microsoft.com/office/drawing/2010/slicer" name="Party Name 1"/>
            </a:graphicData>
          </a:graphic>
        </xdr:graphicFrame>
      </mc:Choice>
      <mc:Fallback xmlns="">
        <xdr:sp macro="" textlink="">
          <xdr:nvSpPr>
            <xdr:cNvPr id="0" name=""/>
            <xdr:cNvSpPr>
              <a:spLocks noTextEdit="1"/>
            </xdr:cNvSpPr>
          </xdr:nvSpPr>
          <xdr:spPr>
            <a:xfrm>
              <a:off x="9523329" y="5010120"/>
              <a:ext cx="1869196" cy="2391274"/>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10</xdr:col>
      <xdr:colOff>423058</xdr:colOff>
      <xdr:row>7</xdr:row>
      <xdr:rowOff>43181</xdr:rowOff>
    </xdr:from>
    <xdr:to>
      <xdr:col>13</xdr:col>
      <xdr:colOff>292657</xdr:colOff>
      <xdr:row>11</xdr:row>
      <xdr:rowOff>141514</xdr:rowOff>
    </xdr:to>
    <mc:AlternateContent xmlns:mc="http://schemas.openxmlformats.org/markup-compatibility/2006" xmlns:sle15="http://schemas.microsoft.com/office/drawing/2012/slicer">
      <mc:Choice Requires="sle15">
        <xdr:graphicFrame macro="">
          <xdr:nvGraphicFramePr>
            <xdr:cNvPr id="3" name="Date 1">
              <a:extLst>
                <a:ext uri="{FF2B5EF4-FFF2-40B4-BE49-F238E27FC236}">
                  <a16:creationId xmlns:a16="http://schemas.microsoft.com/office/drawing/2014/main" id="{2FD3A6BB-AB30-2E41-D0AA-0842C10BDF25}"/>
                </a:ext>
              </a:extLst>
            </xdr:cNvPr>
            <xdr:cNvGraphicFramePr/>
          </xdr:nvGraphicFramePr>
          <xdr:xfrm>
            <a:off x="0" y="0"/>
            <a:ext cx="0" cy="0"/>
          </xdr:xfrm>
          <a:graphic>
            <a:graphicData uri="http://schemas.microsoft.com/office/drawing/2010/slicer">
              <sle:slicer xmlns:sle="http://schemas.microsoft.com/office/drawing/2010/slicer" name="Date 1"/>
            </a:graphicData>
          </a:graphic>
        </xdr:graphicFrame>
      </mc:Choice>
      <mc:Fallback xmlns="">
        <xdr:sp macro="" textlink="">
          <xdr:nvSpPr>
            <xdr:cNvPr id="0" name=""/>
            <xdr:cNvSpPr>
              <a:spLocks noTextEdit="1"/>
            </xdr:cNvSpPr>
          </xdr:nvSpPr>
          <xdr:spPr>
            <a:xfrm>
              <a:off x="10727522" y="1347048"/>
              <a:ext cx="2251238" cy="84339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10</xdr:col>
      <xdr:colOff>121347</xdr:colOff>
      <xdr:row>12</xdr:row>
      <xdr:rowOff>138748</xdr:rowOff>
    </xdr:from>
    <xdr:to>
      <xdr:col>14</xdr:col>
      <xdr:colOff>428400</xdr:colOff>
      <xdr:row>21</xdr:row>
      <xdr:rowOff>81973</xdr:rowOff>
    </xdr:to>
    <mc:AlternateContent xmlns:mc="http://schemas.openxmlformats.org/markup-compatibility/2006" xmlns:sle15="http://schemas.microsoft.com/office/drawing/2012/slicer">
      <mc:Choice Requires="sle15">
        <xdr:graphicFrame macro="">
          <xdr:nvGraphicFramePr>
            <xdr:cNvPr id="2" name="Party">
              <a:extLst>
                <a:ext uri="{FF2B5EF4-FFF2-40B4-BE49-F238E27FC236}">
                  <a16:creationId xmlns:a16="http://schemas.microsoft.com/office/drawing/2014/main" id="{46A80067-1595-EB06-C9E8-CC1ACACB97FE}"/>
                </a:ext>
              </a:extLst>
            </xdr:cNvPr>
            <xdr:cNvGraphicFramePr/>
          </xdr:nvGraphicFramePr>
          <xdr:xfrm>
            <a:off x="0" y="0"/>
            <a:ext cx="0" cy="0"/>
          </xdr:xfrm>
          <a:graphic>
            <a:graphicData uri="http://schemas.microsoft.com/office/drawing/2010/slicer">
              <sle:slicer xmlns:sle="http://schemas.microsoft.com/office/drawing/2010/slicer" name="Party"/>
            </a:graphicData>
          </a:graphic>
        </xdr:graphicFrame>
      </mc:Choice>
      <mc:Fallback xmlns="">
        <xdr:sp macro="" textlink="">
          <xdr:nvSpPr>
            <xdr:cNvPr id="0" name=""/>
            <xdr:cNvSpPr>
              <a:spLocks noTextEdit="1"/>
            </xdr:cNvSpPr>
          </xdr:nvSpPr>
          <xdr:spPr>
            <a:xfrm>
              <a:off x="10419892" y="2355475"/>
              <a:ext cx="3441644" cy="1605771"/>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8</xdr:col>
      <xdr:colOff>546660</xdr:colOff>
      <xdr:row>10</xdr:row>
      <xdr:rowOff>152401</xdr:rowOff>
    </xdr:from>
    <xdr:to>
      <xdr:col>11</xdr:col>
      <xdr:colOff>62469</xdr:colOff>
      <xdr:row>17</xdr:row>
      <xdr:rowOff>7620</xdr:rowOff>
    </xdr:to>
    <mc:AlternateContent xmlns:mc="http://schemas.openxmlformats.org/markup-compatibility/2006" xmlns:sle15="http://schemas.microsoft.com/office/drawing/2012/slicer">
      <mc:Choice Requires="sle15">
        <xdr:graphicFrame macro="">
          <xdr:nvGraphicFramePr>
            <xdr:cNvPr id="2" name="Party Name 2">
              <a:extLst>
                <a:ext uri="{FF2B5EF4-FFF2-40B4-BE49-F238E27FC236}">
                  <a16:creationId xmlns:a16="http://schemas.microsoft.com/office/drawing/2014/main" id="{982FB2B7-BB79-2919-5556-DB024E50BA32}"/>
                </a:ext>
              </a:extLst>
            </xdr:cNvPr>
            <xdr:cNvGraphicFramePr/>
          </xdr:nvGraphicFramePr>
          <xdr:xfrm>
            <a:off x="0" y="0"/>
            <a:ext cx="0" cy="0"/>
          </xdr:xfrm>
          <a:graphic>
            <a:graphicData uri="http://schemas.microsoft.com/office/drawing/2010/slicer">
              <sle:slicer xmlns:sle="http://schemas.microsoft.com/office/drawing/2010/slicer" name="Party Name 2"/>
            </a:graphicData>
          </a:graphic>
        </xdr:graphicFrame>
      </mc:Choice>
      <mc:Fallback xmlns="">
        <xdr:sp macro="" textlink="">
          <xdr:nvSpPr>
            <xdr:cNvPr id="0" name=""/>
            <xdr:cNvSpPr>
              <a:spLocks noTextEdit="1"/>
            </xdr:cNvSpPr>
          </xdr:nvSpPr>
          <xdr:spPr>
            <a:xfrm>
              <a:off x="7008420" y="1981201"/>
              <a:ext cx="1959924" cy="1135379"/>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11</xdr:col>
      <xdr:colOff>463399</xdr:colOff>
      <xdr:row>10</xdr:row>
      <xdr:rowOff>30996</xdr:rowOff>
    </xdr:from>
    <xdr:to>
      <xdr:col>14</xdr:col>
      <xdr:colOff>471148</xdr:colOff>
      <xdr:row>24</xdr:row>
      <xdr:rowOff>80882</xdr:rowOff>
    </xdr:to>
    <mc:AlternateContent xmlns:mc="http://schemas.openxmlformats.org/markup-compatibility/2006" xmlns:sle15="http://schemas.microsoft.com/office/drawing/2012/slicer">
      <mc:Choice Requires="sle15">
        <xdr:graphicFrame macro="">
          <xdr:nvGraphicFramePr>
            <xdr:cNvPr id="2" name="Person">
              <a:extLst>
                <a:ext uri="{FF2B5EF4-FFF2-40B4-BE49-F238E27FC236}">
                  <a16:creationId xmlns:a16="http://schemas.microsoft.com/office/drawing/2014/main" id="{61B25ECF-139D-2B91-5D20-EAF105CE7515}"/>
                </a:ext>
              </a:extLst>
            </xdr:cNvPr>
            <xdr:cNvGraphicFramePr/>
          </xdr:nvGraphicFramePr>
          <xdr:xfrm>
            <a:off x="0" y="0"/>
            <a:ext cx="0" cy="0"/>
          </xdr:xfrm>
          <a:graphic>
            <a:graphicData uri="http://schemas.microsoft.com/office/drawing/2010/slicer">
              <sle:slicer xmlns:sle="http://schemas.microsoft.com/office/drawing/2010/slicer" name="Person"/>
            </a:graphicData>
          </a:graphic>
        </xdr:graphicFrame>
      </mc:Choice>
      <mc:Fallback xmlns="">
        <xdr:sp macro="" textlink="">
          <xdr:nvSpPr>
            <xdr:cNvPr id="0" name=""/>
            <xdr:cNvSpPr>
              <a:spLocks noTextEdit="1"/>
            </xdr:cNvSpPr>
          </xdr:nvSpPr>
          <xdr:spPr>
            <a:xfrm>
              <a:off x="8399823" y="1839132"/>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10</xdr:col>
      <xdr:colOff>150706</xdr:colOff>
      <xdr:row>3</xdr:row>
      <xdr:rowOff>67734</xdr:rowOff>
    </xdr:from>
    <xdr:to>
      <xdr:col>12</xdr:col>
      <xdr:colOff>438574</xdr:colOff>
      <xdr:row>17</xdr:row>
      <xdr:rowOff>41276</xdr:rowOff>
    </xdr:to>
    <mc:AlternateContent xmlns:mc="http://schemas.openxmlformats.org/markup-compatibility/2006" xmlns:a14="http://schemas.microsoft.com/office/drawing/2010/main">
      <mc:Choice Requires="a14">
        <xdr:graphicFrame macro="">
          <xdr:nvGraphicFramePr>
            <xdr:cNvPr id="2" name="Shipment Number">
              <a:extLst>
                <a:ext uri="{FF2B5EF4-FFF2-40B4-BE49-F238E27FC236}">
                  <a16:creationId xmlns:a16="http://schemas.microsoft.com/office/drawing/2014/main" id="{46BC7137-382B-BA5E-E548-421ADD6BCB8A}"/>
                </a:ext>
              </a:extLst>
            </xdr:cNvPr>
            <xdr:cNvGraphicFramePr/>
          </xdr:nvGraphicFramePr>
          <xdr:xfrm>
            <a:off x="0" y="0"/>
            <a:ext cx="0" cy="0"/>
          </xdr:xfrm>
          <a:graphic>
            <a:graphicData uri="http://schemas.microsoft.com/office/drawing/2010/slicer">
              <sle:slicer xmlns:sle="http://schemas.microsoft.com/office/drawing/2010/slicer" name="Shipment Number"/>
            </a:graphicData>
          </a:graphic>
        </xdr:graphicFrame>
      </mc:Choice>
      <mc:Fallback xmlns="">
        <xdr:sp macro="" textlink="">
          <xdr:nvSpPr>
            <xdr:cNvPr id="0" name=""/>
            <xdr:cNvSpPr>
              <a:spLocks noTextEdit="1"/>
            </xdr:cNvSpPr>
          </xdr:nvSpPr>
          <xdr:spPr>
            <a:xfrm>
              <a:off x="10920306" y="626534"/>
              <a:ext cx="1828800" cy="2581275"/>
            </a:xfrm>
            <a:prstGeom prst="rect">
              <a:avLst/>
            </a:prstGeom>
            <a:solidFill>
              <a:prstClr val="white"/>
            </a:solidFill>
            <a:ln w="1">
              <a:solidFill>
                <a:prstClr val="green"/>
              </a:solidFill>
            </a:ln>
          </xdr:spPr>
          <xdr:txBody>
            <a:bodyPr vertOverflow="clip" horzOverflow="clip"/>
            <a:lstStyle/>
            <a:p>
              <a:r>
                <a:rPr lang="en-PK"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pern-my.sharepoint.com/personal/25020299_lums_edu_pk/Documents/Desktop/Factory/Factory_Khata_September.xlsx" TargetMode="External"/><Relationship Id="rId1" Type="http://schemas.openxmlformats.org/officeDocument/2006/relationships/externalLinkPath" Target="Factory_Khata_September.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Billing"/>
      <sheetName val="Bill Print"/>
      <sheetName val="Expenses"/>
      <sheetName val="Profit"/>
      <sheetName val="Transport"/>
      <sheetName val="ledger"/>
      <sheetName val="Wood"/>
      <sheetName val="Cashbook"/>
      <sheetName val="Dyes"/>
      <sheetName val="Finish"/>
      <sheetName val="Electricity"/>
      <sheetName val="Miscellaneous"/>
      <sheetName val="Salary Acc"/>
      <sheetName val="pivot "/>
      <sheetName val="Running Acc"/>
      <sheetName val="Balance"/>
      <sheetName val="Cashflow"/>
    </sheetNames>
    <sheetDataSet>
      <sheetData sheetId="0">
        <row r="5">
          <cell r="O5" t="str">
            <v>BSC</v>
          </cell>
          <cell r="P5">
            <v>1665929</v>
          </cell>
          <cell r="Q5">
            <v>1523344.0014630579</v>
          </cell>
          <cell r="R5">
            <v>1493155.6327724946</v>
          </cell>
          <cell r="S5">
            <v>30188.368690563279</v>
          </cell>
          <cell r="T5">
            <v>14931556.327724949</v>
          </cell>
          <cell r="U5">
            <v>362260.42428675934</v>
          </cell>
          <cell r="W5">
            <v>12854653</v>
          </cell>
        </row>
        <row r="6">
          <cell r="O6" t="str">
            <v>Ejaz Sahab</v>
          </cell>
          <cell r="P6">
            <v>159072</v>
          </cell>
          <cell r="Q6">
            <v>145457.20555961962</v>
          </cell>
          <cell r="R6">
            <v>130559.6196049744</v>
          </cell>
          <cell r="S6">
            <v>14897.58595464521</v>
          </cell>
          <cell r="T6">
            <v>1305596.196049744</v>
          </cell>
          <cell r="U6">
            <v>178771.03145574252</v>
          </cell>
          <cell r="W6">
            <v>859904</v>
          </cell>
        </row>
        <row r="7">
          <cell r="O7" t="str">
            <v>Arshad</v>
          </cell>
          <cell r="P7">
            <v>259748</v>
          </cell>
          <cell r="Q7">
            <v>237516.45940014633</v>
          </cell>
          <cell r="R7">
            <v>222722.20190197515</v>
          </cell>
          <cell r="S7">
            <v>14794.257498171179</v>
          </cell>
          <cell r="T7">
            <v>2227222.0190197513</v>
          </cell>
          <cell r="U7">
            <v>177531.08997805414</v>
          </cell>
          <cell r="W7">
            <v>2306701</v>
          </cell>
        </row>
        <row r="8">
          <cell r="O8" t="str">
            <v>Shehzad Kamoki</v>
          </cell>
          <cell r="P8">
            <v>134607</v>
          </cell>
          <cell r="Q8">
            <v>123086.13752743235</v>
          </cell>
          <cell r="R8">
            <v>123086.13752743235</v>
          </cell>
          <cell r="S8">
            <v>0</v>
          </cell>
          <cell r="T8">
            <v>1269270.3440380397</v>
          </cell>
          <cell r="U8">
            <v>0</v>
          </cell>
          <cell r="W8">
            <v>1268740</v>
          </cell>
        </row>
        <row r="9">
          <cell r="O9" t="str">
            <v>Sufi Nawaz Sahab</v>
          </cell>
          <cell r="P9">
            <v>1186725</v>
          </cell>
          <cell r="Q9">
            <v>1085154.5354791514</v>
          </cell>
          <cell r="R9">
            <v>599330.65106071695</v>
          </cell>
          <cell r="S9">
            <v>485823.88441843458</v>
          </cell>
          <cell r="T9">
            <v>5408917.8595464528</v>
          </cell>
          <cell r="U9">
            <v>5829886.6130212145</v>
          </cell>
          <cell r="W9">
            <v>8629100</v>
          </cell>
        </row>
        <row r="10">
          <cell r="O10" t="str">
            <v>Sajad Khan</v>
          </cell>
          <cell r="P10">
            <v>481660</v>
          </cell>
          <cell r="Q10">
            <v>440435.25969275786</v>
          </cell>
          <cell r="R10">
            <v>440435.25969275786</v>
          </cell>
          <cell r="S10">
            <v>0</v>
          </cell>
          <cell r="T10">
            <v>4404352.5969275786</v>
          </cell>
          <cell r="U10">
            <v>0</v>
          </cell>
          <cell r="W10">
            <v>3751266</v>
          </cell>
        </row>
        <row r="11">
          <cell r="O11" t="str">
            <v>Raaz Fabrics</v>
          </cell>
          <cell r="P11">
            <v>75559</v>
          </cell>
          <cell r="Q11">
            <v>69091.989758595475</v>
          </cell>
          <cell r="R11">
            <v>69091.989758595475</v>
          </cell>
          <cell r="S11">
            <v>0</v>
          </cell>
          <cell r="T11">
            <v>690919.89758595475</v>
          </cell>
          <cell r="U11">
            <v>0</v>
          </cell>
          <cell r="W11">
            <v>600000</v>
          </cell>
        </row>
        <row r="12">
          <cell r="O12" t="str">
            <v>Azam</v>
          </cell>
          <cell r="P12">
            <v>176954</v>
          </cell>
          <cell r="Q12">
            <v>161808.70519385519</v>
          </cell>
          <cell r="R12">
            <v>161808.70519385519</v>
          </cell>
          <cell r="S12">
            <v>0</v>
          </cell>
          <cell r="T12">
            <v>1618087.0519385519</v>
          </cell>
          <cell r="U12">
            <v>0</v>
          </cell>
          <cell r="W12">
            <v>1617620</v>
          </cell>
        </row>
        <row r="13">
          <cell r="O13" t="str">
            <v>Ubaidullah</v>
          </cell>
          <cell r="P13">
            <v>65752</v>
          </cell>
          <cell r="Q13">
            <v>60124.35991221654</v>
          </cell>
          <cell r="R13">
            <v>45128.931967812736</v>
          </cell>
          <cell r="S13">
            <v>14995.427944403806</v>
          </cell>
          <cell r="T13">
            <v>451289.31967812736</v>
          </cell>
          <cell r="U13">
            <v>179945.13533284568</v>
          </cell>
          <cell r="W13">
            <v>451150</v>
          </cell>
        </row>
        <row r="14">
          <cell r="O14" t="str">
            <v>Ashraf Zia</v>
          </cell>
          <cell r="P14">
            <v>23305</v>
          </cell>
          <cell r="Q14">
            <v>21310.35113386979</v>
          </cell>
          <cell r="R14">
            <v>21310.35113386979</v>
          </cell>
          <cell r="S14">
            <v>0</v>
          </cell>
          <cell r="T14">
            <v>255724.21360643749</v>
          </cell>
          <cell r="U14">
            <v>0</v>
          </cell>
          <cell r="W14">
            <v>0</v>
          </cell>
        </row>
        <row r="15">
          <cell r="O15" t="str">
            <v>Hafiz Qureshi</v>
          </cell>
          <cell r="P15">
            <v>48871</v>
          </cell>
          <cell r="Q15">
            <v>44688.185808339433</v>
          </cell>
          <cell r="R15">
            <v>44688.185808339433</v>
          </cell>
          <cell r="S15">
            <v>0</v>
          </cell>
          <cell r="T15">
            <v>446881.85808339436</v>
          </cell>
          <cell r="U15">
            <v>0</v>
          </cell>
          <cell r="W15">
            <v>400000</v>
          </cell>
        </row>
        <row r="16">
          <cell r="O16" t="str">
            <v>Badshah Fabrics</v>
          </cell>
          <cell r="P16">
            <v>276597</v>
          </cell>
          <cell r="Q16">
            <v>252923.37234820778</v>
          </cell>
          <cell r="R16">
            <v>189768.65398683251</v>
          </cell>
          <cell r="S16">
            <v>63154.718361375279</v>
          </cell>
          <cell r="T16">
            <v>1897686.539868325</v>
          </cell>
          <cell r="U16">
            <v>757856.62033650337</v>
          </cell>
          <cell r="W16">
            <v>1370000</v>
          </cell>
        </row>
        <row r="17">
          <cell r="O17" t="str">
            <v>Reject</v>
          </cell>
          <cell r="P17">
            <v>0</v>
          </cell>
          <cell r="Q17">
            <v>0</v>
          </cell>
          <cell r="R17">
            <v>0</v>
          </cell>
          <cell r="S17">
            <v>0</v>
          </cell>
          <cell r="T17">
            <v>0</v>
          </cell>
          <cell r="U17">
            <v>0</v>
          </cell>
          <cell r="W17">
            <v>0</v>
          </cell>
        </row>
        <row r="18">
          <cell r="O18" t="str">
            <v>Amjad 7up</v>
          </cell>
          <cell r="P18">
            <v>52914</v>
          </cell>
          <cell r="Q18">
            <v>48385.149963423559</v>
          </cell>
          <cell r="R18">
            <v>48385.149963423559</v>
          </cell>
          <cell r="S18">
            <v>0</v>
          </cell>
          <cell r="T18">
            <v>483851.49963423557</v>
          </cell>
          <cell r="U18">
            <v>0</v>
          </cell>
          <cell r="W18">
            <v>0</v>
          </cell>
        </row>
        <row r="19">
          <cell r="O19" t="str">
            <v>Hazrat Khan</v>
          </cell>
          <cell r="P19">
            <v>9750</v>
          </cell>
          <cell r="Q19">
            <v>8915.5084125822978</v>
          </cell>
          <cell r="R19">
            <v>8915.5084125822978</v>
          </cell>
          <cell r="S19">
            <v>0</v>
          </cell>
          <cell r="T19">
            <v>89155.084125822978</v>
          </cell>
          <cell r="U19">
            <v>0</v>
          </cell>
          <cell r="W19">
            <v>0</v>
          </cell>
        </row>
        <row r="20">
          <cell r="O20" t="str">
            <v>Haseeb Shamsi</v>
          </cell>
          <cell r="P20">
            <v>28026</v>
          </cell>
          <cell r="Q20">
            <v>25627.286027798102</v>
          </cell>
          <cell r="R20">
            <v>25627.286027798102</v>
          </cell>
          <cell r="S20">
            <v>0</v>
          </cell>
          <cell r="T20">
            <v>256272.86027798103</v>
          </cell>
          <cell r="U20">
            <v>0</v>
          </cell>
          <cell r="W20">
            <v>0</v>
          </cell>
        </row>
        <row r="21">
          <cell r="P21">
            <v>0</v>
          </cell>
          <cell r="Q21">
            <v>0</v>
          </cell>
          <cell r="R21">
            <v>0</v>
          </cell>
          <cell r="S21">
            <v>0</v>
          </cell>
          <cell r="T21">
            <v>0</v>
          </cell>
          <cell r="U21">
            <v>0</v>
          </cell>
          <cell r="W21">
            <v>0</v>
          </cell>
        </row>
        <row r="22">
          <cell r="P22">
            <v>0</v>
          </cell>
          <cell r="Q22">
            <v>0</v>
          </cell>
          <cell r="R22">
            <v>0</v>
          </cell>
          <cell r="S22">
            <v>0</v>
          </cell>
          <cell r="T22">
            <v>0</v>
          </cell>
          <cell r="U22">
            <v>0</v>
          </cell>
          <cell r="W22">
            <v>0</v>
          </cell>
        </row>
        <row r="23">
          <cell r="P23">
            <v>0</v>
          </cell>
          <cell r="Q23">
            <v>0</v>
          </cell>
          <cell r="R23">
            <v>0</v>
          </cell>
          <cell r="S23">
            <v>0</v>
          </cell>
          <cell r="T23">
            <v>0</v>
          </cell>
          <cell r="U23">
            <v>0</v>
          </cell>
          <cell r="W23">
            <v>0</v>
          </cell>
        </row>
      </sheetData>
      <sheetData sheetId="1"/>
      <sheetData sheetId="2"/>
      <sheetData sheetId="3"/>
      <sheetData sheetId="4"/>
      <sheetData sheetId="5"/>
      <sheetData sheetId="6"/>
      <sheetData sheetId="7">
        <row r="5">
          <cell r="N5">
            <v>-789504</v>
          </cell>
        </row>
        <row r="6">
          <cell r="N6">
            <v>-442715</v>
          </cell>
        </row>
      </sheetData>
      <sheetData sheetId="8"/>
      <sheetData sheetId="9"/>
      <sheetData sheetId="10"/>
      <sheetData sheetId="11"/>
      <sheetData sheetId="12"/>
      <sheetData sheetId="13"/>
      <sheetData sheetId="14"/>
      <sheetData sheetId="15"/>
      <sheetData sheetId="16"/>
    </sheetDataSet>
  </externalBook>
</externalLink>
</file>

<file path=xl/persons/person.xml><?xml version="1.0" encoding="utf-8"?>
<personList xmlns="http://schemas.microsoft.com/office/spreadsheetml/2018/threadedcomments" xmlns:x="http://schemas.openxmlformats.org/spreadsheetml/2006/main"/>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_rels/pivotCacheDefinition5.xml.rels><?xml version="1.0" encoding="UTF-8" standalone="yes"?>
<Relationships xmlns="http://schemas.openxmlformats.org/package/2006/relationships"><Relationship Id="rId1" Type="http://schemas.openxmlformats.org/officeDocument/2006/relationships/pivotCacheRecords" Target="pivotCacheRecords5.xml"/></Relationships>
</file>

<file path=xl/pivotCache/_rels/pivotCacheDefinition6.xml.rels><?xml version="1.0" encoding="UTF-8" standalone="yes"?>
<Relationships xmlns="http://schemas.openxmlformats.org/package/2006/relationships"><Relationship Id="rId1" Type="http://schemas.openxmlformats.org/officeDocument/2006/relationships/pivotCacheRecords" Target="pivotCacheRecords6.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6018518" createdVersion="8" refreshedVersion="8" minRefreshableVersion="3" recordCount="75" xr:uid="{46CBB50D-3613-4E5B-8212-DD0313DCD05A}">
  <cacheSource type="worksheet">
    <worksheetSource name="Table1"/>
  </cacheSource>
  <cacheFields count="14">
    <cacheField name="Date" numFmtId="14">
      <sharedItems containsSemiMixedTypes="0" containsNonDate="0" containsDate="1" containsString="0" minDate="2025-07-25T00:00:00" maxDate="2025-10-30T00:00:00" count="79">
        <d v="2025-10-17T00:00:00"/>
        <d v="2025-10-18T00:00:00"/>
        <d v="2025-10-20T00:00:00"/>
        <d v="2025-10-21T00:00:00"/>
        <d v="2025-10-22T00:00:00"/>
        <d v="2025-10-23T00:00:00"/>
        <d v="2025-10-24T00:00:00"/>
        <d v="2025-10-25T00:00:00"/>
        <d v="2025-10-26T00:00:00"/>
        <d v="2025-10-27T00:00:00"/>
        <d v="2025-10-28T00:00:00"/>
        <d v="2025-10-29T00:00:00"/>
        <d v="2025-09-16T00:00:00" u="1"/>
        <d v="2025-09-17T00:00:00" u="1"/>
        <d v="2025-09-18T00:00:00" u="1"/>
        <d v="2025-09-19T00:00:00" u="1"/>
        <d v="2025-09-20T00:00:00" u="1"/>
        <d v="2025-09-22T00:00:00" u="1"/>
        <d v="2025-09-23T00:00:00" u="1"/>
        <d v="2025-09-24T00:00:00" u="1"/>
        <d v="2025-09-25T00:00:00" u="1"/>
        <d v="2025-09-26T00:00:00" u="1"/>
        <d v="2025-09-27T00:00:00" u="1"/>
        <d v="2025-09-29T00:00:00" u="1"/>
        <d v="2025-09-30T00:00:00" u="1"/>
        <d v="2025-10-01T00:00:00" u="1"/>
        <d v="2025-10-03T00:00:00" u="1"/>
        <d v="2025-10-04T00:00:00" u="1"/>
        <d v="2025-10-06T00:00:00" u="1"/>
        <d v="2025-10-07T00:00:00" u="1"/>
        <d v="2025-10-08T00:00:00" u="1"/>
        <d v="2025-10-14T00:00:00" u="1"/>
        <d v="2025-10-15T00:00:00" u="1"/>
        <d v="2025-10-16T00:00:00" u="1"/>
        <d v="2025-08-19T00:00:00" u="1"/>
        <d v="2025-10-02T00:00:00" u="1"/>
        <d v="2025-10-05T00:00:00" u="1"/>
        <d v="2025-10-09T00:00:00" u="1"/>
        <d v="2025-10-10T00:00:00" u="1"/>
        <d v="2025-08-17T00:00:00" u="1"/>
        <d v="2025-08-16T00:00:00" u="1"/>
        <d v="2025-08-21T00:00:00" u="1"/>
        <d v="2025-08-22T00:00:00" u="1"/>
        <d v="2025-08-23T00:00:00" u="1"/>
        <d v="2025-08-25T00:00:00" u="1"/>
        <d v="2025-08-26T00:00:00" u="1"/>
        <d v="2025-08-27T00:00:00" u="1"/>
        <d v="2025-08-28T00:00:00" u="1"/>
        <d v="2025-08-29T00:00:00" u="1"/>
        <d v="2025-08-30T00:00:00" u="1"/>
        <d v="2025-08-31T00:00:00" u="1"/>
        <d v="2025-09-01T00:00:00" u="1"/>
        <d v="2025-09-02T00:00:00" u="1"/>
        <d v="2025-09-03T00:00:00" u="1"/>
        <d v="2025-09-05T00:00:00" u="1"/>
        <d v="2025-09-07T00:00:00" u="1"/>
        <d v="2025-09-08T00:00:00" u="1"/>
        <d v="2025-09-09T00:00:00" u="1"/>
        <d v="2025-09-10T00:00:00" u="1"/>
        <d v="2025-09-11T00:00:00" u="1"/>
        <d v="2025-09-12T00:00:00" u="1"/>
        <d v="2025-09-13T00:00:00" u="1"/>
        <d v="2025-09-15T00:00:00" u="1"/>
        <d v="2025-07-25T00:00:00" u="1"/>
        <d v="2025-07-26T00:00:00" u="1"/>
        <d v="2025-07-28T00:00:00" u="1"/>
        <d v="2025-07-29T00:00:00" u="1"/>
        <d v="2025-07-31T00:00:00" u="1"/>
        <d v="2025-08-02T00:00:00" u="1"/>
        <d v="2025-08-04T00:00:00" u="1"/>
        <d v="2025-08-05T00:00:00" u="1"/>
        <d v="2025-08-06T00:00:00" u="1"/>
        <d v="2025-08-08T00:00:00" u="1"/>
        <d v="2025-08-09T00:00:00" u="1"/>
        <d v="2025-08-10T00:00:00" u="1"/>
        <d v="2025-08-12T00:00:00" u="1"/>
        <d v="2025-08-13T00:00:00" u="1"/>
        <d v="2025-08-15T00:00:00" u="1"/>
        <d v="2025-08-03T00:00:00" u="1"/>
      </sharedItems>
    </cacheField>
    <cacheField name="Party Name" numFmtId="0">
      <sharedItems containsBlank="1" count="26">
        <s v="BSC"/>
        <s v="Ejaz Sahab"/>
        <s v="Arshad"/>
        <s v="Shehzad Kamoki"/>
        <s v="Sufi Nawaz Sahab"/>
        <s v="Sajad Khan"/>
        <s v="Raaz Fabrics"/>
        <s v="Azam"/>
        <s v="Ubaidullah"/>
        <s v="Ashraf Zia"/>
        <s v="Hafiz Qureshi"/>
        <s v="Badshah Fabrics"/>
        <s v="Reject"/>
        <s v="Amjad 7up"/>
        <s v="Hazrat Khan"/>
        <s v="Haseeb Shamsi"/>
        <s v="Faizan"/>
        <s v="Shafique Ansari"/>
        <s v="Amjad sohail"/>
        <m u="1"/>
        <s v="YING" u="1"/>
        <s v="Meow" u="1"/>
        <s v="Umer Sb" u="1"/>
        <s v="-" u="1"/>
        <s v="Sajjad" u="1"/>
        <s v="Haji Ejaz" u="1"/>
      </sharedItems>
    </cacheField>
    <cacheField name="Bill Number" numFmtId="0">
      <sharedItems containsMixedTypes="1" containsNumber="1" containsInteger="1" minValue="604" maxValue="1027" count="410">
        <s v="September Closing CF"/>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835" u="1"/>
        <n v="836" u="1"/>
        <n v="837" u="1"/>
        <n v="838" u="1"/>
        <n v="839" u="1"/>
        <n v="840" u="1"/>
        <n v="841" u="1"/>
        <n v="842" u="1"/>
        <n v="843" u="1"/>
        <n v="844" u="1"/>
        <n v="845" u="1"/>
        <n v="846" u="1"/>
        <n v="847" u="1"/>
        <n v="848" u="1"/>
        <n v="849" u="1"/>
        <n v="850" u="1"/>
        <n v="851" u="1"/>
        <n v="852" u="1"/>
        <n v="853" u="1"/>
        <n v="854" u="1"/>
        <n v="855" u="1"/>
        <n v="856" u="1"/>
        <n v="857" u="1"/>
        <n v="858" u="1"/>
        <n v="859" u="1"/>
        <n v="860" u="1"/>
        <n v="861" u="1"/>
        <n v="862" u="1"/>
        <n v="863" u="1"/>
        <n v="864" u="1"/>
        <n v="865" u="1"/>
        <n v="866" u="1"/>
        <n v="867" u="1"/>
        <n v="868" u="1"/>
        <n v="869" u="1"/>
        <n v="870" u="1"/>
        <n v="871" u="1"/>
        <n v="872" u="1"/>
        <n v="873" u="1"/>
        <n v="874" u="1"/>
        <n v="875" u="1"/>
        <n v="876" u="1"/>
        <n v="877" u="1"/>
        <n v="878" u="1"/>
        <n v="879" u="1"/>
        <n v="880" u="1"/>
        <n v="881" u="1"/>
        <n v="882" u="1"/>
        <n v="883" u="1"/>
        <n v="884" u="1"/>
        <n v="885" u="1"/>
        <n v="886" u="1"/>
        <n v="887" u="1"/>
        <n v="888" u="1"/>
        <n v="889" u="1"/>
        <n v="890" u="1"/>
        <n v="891" u="1"/>
        <n v="892" u="1"/>
        <n v="893" u="1"/>
        <n v="894" u="1"/>
        <n v="895" u="1"/>
        <n v="896" u="1"/>
        <n v="897" u="1"/>
        <n v="898" u="1"/>
        <n v="901" u="1"/>
        <n v="902" u="1"/>
        <n v="903" u="1"/>
        <n v="904" u="1"/>
        <n v="905" u="1"/>
        <n v="906" u="1"/>
        <n v="907" u="1"/>
        <n v="908" u="1"/>
        <n v="909" u="1"/>
        <n v="910" u="1"/>
        <n v="911" u="1"/>
        <n v="912" u="1"/>
        <n v="913" u="1"/>
        <n v="914" u="1"/>
        <n v="915" u="1"/>
        <n v="916" u="1"/>
        <n v="917" u="1"/>
        <n v="918" u="1"/>
        <n v="919" u="1"/>
        <n v="920" u="1"/>
        <n v="921" u="1"/>
        <n v="922" u="1"/>
        <n v="923" u="1"/>
        <n v="924" u="1"/>
        <n v="925" u="1"/>
        <n v="926" u="1"/>
        <n v="927" u="1"/>
        <n v="928" u="1"/>
        <n v="929" u="1"/>
        <n v="930" u="1"/>
        <n v="931" u="1"/>
        <n v="932" u="1"/>
        <n v="933" u="1"/>
        <n v="934" u="1"/>
        <n v="935" u="1"/>
        <n v="936" u="1"/>
        <n v="937" u="1"/>
        <n v="938" u="1"/>
        <n v="939" u="1"/>
        <n v="940" u="1"/>
        <n v="941" u="1"/>
        <n v="942" u="1"/>
        <n v="943" u="1"/>
        <n v="944" u="1"/>
        <n v="945" u="1"/>
        <n v="946" u="1"/>
        <n v="947" u="1"/>
        <n v="948" u="1"/>
        <n v="949" u="1"/>
        <n v="950" u="1"/>
        <n v="951" u="1"/>
        <n v="952" u="1"/>
        <n v="953" u="1"/>
        <n v="954" u="1"/>
        <n v="955" u="1"/>
        <n v="956" u="1"/>
        <n v="957" u="1"/>
        <n v="958" u="1"/>
        <n v="959" u="1"/>
        <n v="960" u="1"/>
        <n v="961" u="1"/>
        <n v="962" u="1"/>
        <n v="963" u="1"/>
        <n v="964" u="1"/>
        <n v="965" u="1"/>
        <n v="966" u="1"/>
        <n v="967" u="1"/>
        <n v="968" u="1"/>
        <n v="969" u="1"/>
        <n v="970" u="1"/>
        <n v="971" u="1"/>
        <n v="972" u="1"/>
        <n v="973" u="1"/>
        <n v="974" u="1"/>
        <n v="975" u="1"/>
        <n v="976" u="1"/>
        <n v="977" u="1"/>
        <n v="978" u="1"/>
        <n v="979" u="1"/>
        <n v="980" u="1"/>
        <n v="981" u="1"/>
        <n v="982" u="1"/>
        <n v="983" u="1"/>
        <n v="984" u="1"/>
        <n v="716" u="1"/>
        <n v="721" u="1"/>
        <n v="722" u="1"/>
        <n v="723" u="1"/>
        <n v="724" u="1"/>
        <n v="725" u="1"/>
        <n v="726" u="1"/>
        <n v="727" u="1"/>
        <n v="728" u="1"/>
        <n v="729" u="1"/>
        <n v="731" u="1"/>
        <n v="732" u="1"/>
        <n v="733" u="1"/>
        <n v="734" u="1"/>
        <n v="735" u="1"/>
        <n v="736" u="1"/>
        <n v="737" u="1"/>
        <n v="738" u="1"/>
        <n v="739" u="1"/>
        <n v="740" u="1"/>
        <n v="741" u="1"/>
        <n v="742" u="1"/>
        <n v="743" u="1"/>
        <n v="744" u="1"/>
        <n v="745" u="1"/>
        <n v="746" u="1"/>
        <n v="747" u="1"/>
        <n v="748" u="1"/>
        <n v="749" u="1"/>
        <n v="750" u="1"/>
        <n v="751" u="1"/>
        <n v="752" u="1"/>
        <n v="753" u="1"/>
        <n v="754" u="1"/>
        <n v="755" u="1"/>
        <n v="756" u="1"/>
        <n v="757" u="1"/>
        <n v="758" u="1"/>
        <n v="759" u="1"/>
        <n v="760" u="1"/>
        <n v="761" u="1"/>
        <n v="762" u="1"/>
        <n v="763" u="1"/>
        <n v="764" u="1"/>
        <n v="765" u="1"/>
        <n v="766" u="1"/>
        <n v="767" u="1"/>
        <n v="768" u="1"/>
        <n v="769" u="1"/>
        <n v="770" u="1"/>
        <n v="771" u="1"/>
        <n v="772" u="1"/>
        <n v="773" u="1"/>
        <n v="774" u="1"/>
        <n v="775" u="1"/>
        <n v="776" u="1"/>
        <n v="777" u="1"/>
        <n v="778" u="1"/>
        <n v="779" u="1"/>
        <n v="780" u="1"/>
        <n v="781" u="1"/>
        <n v="782" u="1"/>
        <n v="783" u="1"/>
        <n v="784" u="1"/>
        <n v="785" u="1"/>
        <n v="786" u="1"/>
        <n v="787" u="1"/>
        <n v="788" u="1"/>
        <n v="789" u="1"/>
        <n v="790" u="1"/>
        <n v="791" u="1"/>
        <n v="792" u="1"/>
        <n v="793" u="1"/>
        <n v="794" u="1"/>
        <n v="795" u="1"/>
        <n v="796" u="1"/>
        <n v="797" u="1"/>
        <n v="798" u="1"/>
        <n v="799" u="1"/>
        <n v="800" u="1"/>
        <n v="801" u="1"/>
        <n v="802" u="1"/>
        <n v="803" u="1"/>
        <n v="804" u="1"/>
        <n v="805" u="1"/>
        <n v="806" u="1"/>
        <n v="807" u="1"/>
        <n v="808" u="1"/>
        <n v="809" u="1"/>
        <n v="810" u="1"/>
        <n v="811" u="1"/>
        <n v="812" u="1"/>
        <n v="813" u="1"/>
        <n v="814" u="1"/>
        <n v="815" u="1"/>
        <n v="816" u="1"/>
        <n v="817" u="1"/>
        <n v="818" u="1"/>
        <n v="819" u="1"/>
        <n v="820" u="1"/>
        <n v="821" u="1"/>
        <n v="822" u="1"/>
        <n v="823" u="1"/>
        <n v="824" u="1"/>
        <n v="825" u="1"/>
        <n v="826" u="1"/>
        <n v="827" u="1"/>
        <n v="828" u="1"/>
        <n v="653" u="1"/>
        <n v="654" u="1"/>
        <n v="655" u="1"/>
        <n v="656" u="1"/>
        <n v="657" u="1"/>
        <n v="658" u="1"/>
        <n v="659" u="1"/>
        <n v="660" u="1"/>
        <n v="661" u="1"/>
        <n v="662" u="1"/>
        <n v="663" u="1"/>
        <n v="664" u="1"/>
        <n v="665" u="1"/>
        <n v="666" u="1"/>
        <n v="667" u="1"/>
        <n v="668" u="1"/>
        <n v="669" u="1"/>
        <n v="670" u="1"/>
        <n v="671" u="1"/>
        <n v="672" u="1"/>
        <n v="673" u="1"/>
        <n v="674" u="1"/>
        <n v="675" u="1"/>
        <n v="676" u="1"/>
        <n v="677" u="1"/>
        <n v="678" u="1"/>
        <n v="679" u="1"/>
        <n v="680" u="1"/>
        <n v="681" u="1"/>
        <n v="682" u="1"/>
        <n v="683" u="1"/>
        <n v="684" u="1"/>
        <n v="685" u="1"/>
        <n v="686" u="1"/>
        <n v="687" u="1"/>
        <n v="688" u="1"/>
        <n v="689" u="1"/>
        <n v="690" u="1"/>
        <n v="691" u="1"/>
        <n v="692" u="1"/>
        <n v="693" u="1"/>
        <n v="694" u="1"/>
        <n v="695" u="1"/>
        <n v="696" u="1"/>
        <n v="697" u="1"/>
        <n v="698" u="1"/>
        <n v="699" u="1"/>
        <n v="700" u="1"/>
        <n v="701" u="1"/>
        <n v="702" u="1"/>
        <n v="703" u="1"/>
        <n v="704" u="1"/>
        <n v="705" u="1"/>
        <n v="706" u="1"/>
        <n v="707" u="1"/>
        <n v="708" u="1"/>
        <n v="709" u="1"/>
        <n v="710" u="1"/>
        <n v="711" u="1"/>
        <n v="712" u="1"/>
        <n v="713" u="1"/>
        <n v="714" u="1"/>
        <n v="604" u="1"/>
        <n v="605" u="1"/>
        <n v="606" u="1"/>
        <n v="607" u="1"/>
        <n v="608" u="1"/>
        <n v="609" u="1"/>
        <n v="610" u="1"/>
        <n v="611" u="1"/>
        <n v="612" u="1"/>
        <n v="613" u="1"/>
        <n v="614" u="1"/>
        <n v="615" u="1"/>
        <n v="616" u="1"/>
        <n v="617" u="1"/>
        <n v="618" u="1"/>
        <n v="619" u="1"/>
        <n v="620" u="1"/>
        <n v="621" u="1"/>
        <n v="622" u="1"/>
        <n v="623" u="1"/>
        <n v="624" u="1"/>
        <n v="625" u="1"/>
        <n v="626" u="1"/>
        <n v="627" u="1"/>
        <n v="628" u="1"/>
        <n v="629" u="1"/>
        <n v="630" u="1"/>
        <n v="631" u="1"/>
        <n v="633" u="1"/>
        <n v="634" u="1"/>
        <n v="635" u="1"/>
        <n v="636" u="1"/>
        <n v="637" u="1"/>
        <n v="638" u="1"/>
        <n v="639" u="1"/>
        <n v="640" u="1"/>
        <n v="641" u="1"/>
        <n v="642" u="1"/>
        <n v="643" u="1"/>
        <n v="644" u="1"/>
        <n v="645" u="1"/>
        <n v="646" u="1"/>
        <n v="647" u="1"/>
        <n v="648" u="1"/>
        <n v="649" u="1"/>
        <n v="650" u="1"/>
        <n v="651" u="1"/>
        <n v="652" u="1"/>
      </sharedItems>
    </cacheField>
    <cacheField name="Quality" numFmtId="0">
      <sharedItems/>
    </cacheField>
    <cacheField name="Shipment Number" numFmtId="164">
      <sharedItems containsBlank="1" containsMixedTypes="1" containsNumber="1" containsInteger="1" minValue="1558" maxValue="17000" count="217">
        <m/>
        <n v="1818"/>
        <n v="1780"/>
        <n v="1800"/>
        <n v="1826"/>
        <n v="1803"/>
        <n v="1829"/>
        <n v="1813"/>
        <n v="1827"/>
        <n v="1761"/>
        <n v="1786"/>
        <n v="1834"/>
        <n v="1796"/>
        <n v="1836"/>
        <n v="1828"/>
        <n v="1837"/>
        <n v="1840"/>
        <n v="1825"/>
        <n v="1838"/>
        <n v="1845"/>
        <n v="1807"/>
        <s v="1821+1820+1819"/>
        <n v="1791"/>
        <n v="1850"/>
        <n v="1801"/>
        <n v="1824"/>
        <n v="1814"/>
        <n v="1815"/>
        <n v="1833"/>
        <n v="1708" u="1"/>
        <n v="1720" u="1"/>
        <n v="1723" u="1"/>
        <n v="1724" u="1"/>
        <n v="1714" u="1"/>
        <n v="1690" u="1"/>
        <n v="1716" u="1"/>
        <n v="1696" u="1"/>
        <n v="1694" u="1"/>
        <n v="1687" u="1"/>
        <n v="1719" u="1"/>
        <n v="1688" u="1"/>
        <n v="1710" u="1"/>
        <n v="1725" u="1"/>
        <n v="1736" u="1"/>
        <n v="1728" u="1"/>
        <n v="1726" u="1"/>
        <n v="1730" u="1"/>
        <n v="1729" u="1"/>
        <n v="1748" u="1"/>
        <n v="1756" u="1"/>
        <n v="1757" u="1"/>
        <n v="1697" u="1"/>
        <n v="1727" u="1"/>
        <n v="1755" u="1"/>
        <n v="1763" u="1"/>
        <n v="1701" u="1"/>
        <n v="1753" u="1"/>
        <n v="1751" u="1"/>
        <n v="1760" u="1"/>
        <n v="1762" u="1"/>
        <n v="1767" u="1"/>
        <n v="1764" u="1"/>
        <n v="1765" u="1"/>
        <n v="1770" u="1"/>
        <n v="1772" u="1"/>
        <n v="1721" u="1"/>
        <n v="1769" u="1"/>
        <n v="1771" u="1"/>
        <n v="1746" u="1"/>
        <n v="1759" u="1"/>
        <n v="1722" u="1"/>
        <n v="1773" u="1"/>
        <n v="1779" u="1"/>
        <n v="1749" u="1"/>
        <n v="1782" u="1"/>
        <n v="1713" u="1"/>
        <n v="1706" u="1"/>
        <n v="1711" u="1"/>
        <n v="1768" u="1"/>
        <n v="2000" u="1"/>
        <n v="1684" u="1"/>
        <n v="1691" u="1"/>
        <n v="1784" u="1"/>
        <n v="1781" u="1"/>
        <n v="1747" u="1"/>
        <n v="1777" u="1"/>
        <n v="1750" u="1"/>
        <n v="1788" u="1"/>
        <n v="1787" u="1"/>
        <n v="1734" u="1"/>
        <n v="1776" u="1"/>
        <n v="1766" u="1"/>
        <n v="1793" u="1"/>
        <n v="1804" u="1"/>
        <n v="1811" u="1"/>
        <n v="1812" u="1"/>
        <n v="1806" u="1"/>
        <n v="1785" u="1"/>
        <n v="1752" u="1"/>
        <n v="1783" u="1"/>
        <n v="1790" u="1"/>
        <n v="1794" u="1"/>
        <n v="1802" u="1"/>
        <n v="1789" u="1"/>
        <n v="1778" u="1"/>
        <n v="1808" u="1"/>
        <n v="1795" u="1"/>
        <n v="1799" u="1"/>
        <n v="1792" u="1"/>
        <n v="1817" u="1"/>
        <n v="1798" u="1"/>
        <n v="1605" u="1"/>
        <n v="1624" u="1"/>
        <n v="1646" u="1"/>
        <n v="1640" u="1"/>
        <n v="1649" u="1"/>
        <n v="1607" u="1"/>
        <n v="1647" u="1"/>
        <n v="1643" u="1"/>
        <n v="1644" u="1"/>
        <n v="1651" u="1"/>
        <n v="1641" u="1"/>
        <n v="1652" u="1"/>
        <n v="1655" u="1"/>
        <n v="1650" u="1"/>
        <n v="1653" u="1"/>
        <n v="1628" u="1"/>
        <n v="1662" u="1"/>
        <n v="1663" u="1"/>
        <n v="1598" u="1"/>
        <n v="1661" u="1"/>
        <n v="1658" u="1"/>
        <n v="1656" u="1"/>
        <n v="1654" u="1"/>
        <n v="1659" u="1"/>
        <n v="1669" u="1"/>
        <n v="1666" u="1"/>
        <n v="1657" u="1"/>
        <n v="1676" u="1"/>
        <n v="1683" u="1"/>
        <n v="1673" u="1"/>
        <n v="1679" u="1"/>
        <n v="1668" u="1"/>
        <n v="1664" u="1"/>
        <n v="1660" u="1"/>
        <n v="1678" u="1"/>
        <n v="1677" u="1"/>
        <n v="1667" u="1"/>
        <n v="1675" u="1"/>
        <n v="1681" u="1"/>
        <n v="1674" u="1"/>
        <n v="1680" u="1"/>
        <n v="1682" u="1"/>
        <n v="1633" u="1"/>
        <n v="1685" u="1"/>
        <n v="1686" u="1"/>
        <n v="1692" u="1"/>
        <n v="1693" u="1"/>
        <n v="1700" u="1"/>
        <n v="1672" u="1"/>
        <n v="1705" u="1"/>
        <n v="1704" u="1"/>
        <n v="1689" u="1"/>
        <n v="1699" u="1"/>
        <n v="1695" u="1"/>
        <n v="1595" u="1"/>
        <n v="1593" u="1"/>
        <n v="1599" u="1"/>
        <n v="1597" u="1"/>
        <n v="1600" u="1"/>
        <n v="1602" u="1"/>
        <n v="1558" u="1"/>
        <n v="1603" u="1"/>
        <n v="1619" u="1"/>
        <n v="1621" u="1"/>
        <n v="1601" u="1"/>
        <n v="1606" u="1"/>
        <n v="1609" u="1"/>
        <n v="1614" u="1"/>
        <n v="1623" u="1"/>
        <n v="1610" u="1"/>
        <n v="1620" u="1"/>
        <n v="1608" u="1"/>
        <n v="1625" u="1"/>
        <n v="1618" u="1"/>
        <n v="1611" u="1"/>
        <n v="1629" u="1"/>
        <n v="1631" u="1"/>
        <n v="1604" u="1"/>
        <n v="1627" u="1"/>
        <n v="1615" u="1"/>
        <n v="1630" u="1"/>
        <n v="1635" u="1"/>
        <n v="1617" u="1"/>
        <n v="1637" u="1"/>
        <n v="1642" u="1"/>
        <n v="1613" u="1"/>
        <n v="17000" u="1"/>
        <n v="1574" u="1"/>
        <n v="1573" u="1"/>
        <n v="1570" u="1"/>
        <n v="1571" u="1"/>
        <n v="1575" u="1"/>
        <n v="1579" u="1"/>
        <n v="1580" u="1"/>
        <n v="1577" u="1"/>
        <n v="1578" u="1"/>
        <n v="1583" u="1"/>
        <n v="1589" u="1"/>
        <n v="1572" u="1"/>
        <n v="1592" u="1"/>
        <n v="1590" u="1"/>
        <n v="1591" u="1"/>
        <n v="1576" u="1"/>
        <n v="1581" u="1"/>
        <n v="1596" u="1"/>
        <n v="1594" u="1"/>
      </sharedItems>
    </cacheField>
    <cacheField name="Kora/metre" numFmtId="164">
      <sharedItems containsString="0" containsBlank="1" containsNumber="1" containsInteger="1" minValue="3023" maxValue="100849"/>
    </cacheField>
    <cacheField name="Tiyaar/gaz" numFmtId="164">
      <sharedItems containsString="0" containsBlank="1" containsNumber="1" containsInteger="1" minValue="837" maxValue="46732"/>
    </cacheField>
    <cacheField name="shortage %" numFmtId="165">
      <sharedItems containsMixedTypes="1" containsNumber="1" minValue="-8.9429716796790615" maxValue="91.584987374443145"/>
    </cacheField>
    <cacheField name="tiyar/meters" numFmtId="165">
      <sharedItems containsSemiMixedTypes="0" containsString="0" containsNumber="1" minValue="0" maxValue="1493155.6327724946"/>
    </cacheField>
    <cacheField name="billing" numFmtId="165">
      <sharedItems containsSemiMixedTypes="0" containsString="0" containsNumber="1" minValue="0" maxValue="14931556.327724945"/>
    </cacheField>
    <cacheField name="Total Billing" numFmtId="0">
      <sharedItems containsNonDate="0" containsString="0" containsBlank="1"/>
    </cacheField>
    <cacheField name="Shortage %2" numFmtId="0" formula=" ('Tiyaar/gaz'/ ('Kora/metre'/ 1.0936)) * 100" databaseField="0"/>
    <cacheField name="Shortage2" numFmtId="0" formula=" ('Tiyaar/gaz'/ ('Kora/metre'* 1.0936)) * 100" databaseField="0"/>
    <cacheField name="kora / gaz" numFmtId="0" formula="'Kora/metre'* 1.0936" databaseField="0"/>
  </cacheFields>
  <extLst>
    <ext xmlns:x14="http://schemas.microsoft.com/office/spreadsheetml/2009/9/main" uri="{725AE2AE-9491-48be-B2B4-4EB974FC3084}">
      <x14:pivotCacheDefinition pivotCacheId="134141887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6712965" createdVersion="8" refreshedVersion="8" minRefreshableVersion="3" recordCount="5" xr:uid="{376A650C-1F79-4049-BC45-E34989F046B2}">
  <cacheSource type="worksheet">
    <worksheetSource name="Table2"/>
  </cacheSource>
  <cacheFields count="8">
    <cacheField name="Date" numFmtId="14">
      <sharedItems containsSemiMixedTypes="0" containsNonDate="0" containsDate="1" containsString="0" minDate="2025-10-15T00:00:00" maxDate="2025-10-25T00:00:00"/>
    </cacheField>
    <cacheField name="Party Name" numFmtId="14">
      <sharedItems containsBlank="1" count="6">
        <s v="Finish"/>
        <s v="Faysal Akraam"/>
        <s v="AS Traders"/>
        <m u="1"/>
        <s v="-" u="1"/>
        <s v="Faysal" u="1"/>
      </sharedItems>
    </cacheField>
    <cacheField name="Item" numFmtId="0">
      <sharedItems/>
    </cacheField>
    <cacheField name="Boxes" numFmtId="0">
      <sharedItems containsString="0" containsBlank="1" containsNumber="1" containsInteger="1" minValue="4" maxValue="4"/>
    </cacheField>
    <cacheField name="Quantity" numFmtId="0">
      <sharedItems containsString="0" containsBlank="1" containsNumber="1" containsInteger="1" minValue="125" maxValue="160"/>
    </cacheField>
    <cacheField name="Price" numFmtId="0">
      <sharedItems containsSemiMixedTypes="0" containsString="0" containsNumber="1" containsInteger="1" minValue="0" maxValue="128000"/>
    </cacheField>
    <cacheField name="Paid" numFmtId="0">
      <sharedItems containsSemiMixedTypes="0" containsString="0" containsNumber="1" containsInteger="1" minValue="0" maxValue="0"/>
    </cacheField>
    <cacheField name="Balance" numFmtId="0">
      <sharedItems containsSemiMixedTypes="0" containsString="0" containsNumber="1" containsInteger="1" minValue="-5000" maxValue="353250"/>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6828703" createdVersion="8" refreshedVersion="8" minRefreshableVersion="3" recordCount="30" xr:uid="{3E5C2981-ACF5-44A9-8567-B1D65DB3A8D2}">
  <cacheSource type="worksheet">
    <worksheetSource name="Table3"/>
  </cacheSource>
  <cacheFields count="9">
    <cacheField name="Date" numFmtId="14">
      <sharedItems containsSemiMixedTypes="0" containsNonDate="0" containsDate="1" containsString="0" minDate="2025-05-02T00:00:00" maxDate="2025-10-30T00:00:00" count="92">
        <d v="2025-10-17T00:00:00"/>
        <d v="2025-10-18T00:00:00"/>
        <d v="2025-10-20T00:00:00"/>
        <d v="2025-10-21T00:00:00"/>
        <d v="2025-10-22T00:00:00"/>
        <d v="2025-10-23T00:00:00"/>
        <d v="2025-10-24T00:00:00"/>
        <d v="2025-10-25T00:00:00"/>
        <d v="2025-10-26T00:00:00"/>
        <d v="2025-10-27T00:00:00"/>
        <d v="2025-10-28T00:00:00"/>
        <d v="2025-10-29T00:00:00"/>
        <d v="2025-09-16T00:00:00" u="1"/>
        <d v="2025-09-17T00:00:00" u="1"/>
        <d v="2025-09-18T00:00:00" u="1"/>
        <d v="2025-09-19T00:00:00" u="1"/>
        <d v="2025-09-20T00:00:00" u="1"/>
        <d v="2025-09-21T00:00:00" u="1"/>
        <d v="2025-09-22T00:00:00" u="1"/>
        <d v="2025-09-23T00:00:00" u="1"/>
        <d v="2025-09-24T00:00:00" u="1"/>
        <d v="2025-09-25T00:00:00" u="1"/>
        <d v="2025-09-26T00:00:00" u="1"/>
        <d v="2025-09-27T00:00:00" u="1"/>
        <d v="2025-09-28T00:00:00" u="1"/>
        <d v="2025-09-29T00:00:00" u="1"/>
        <d v="2025-09-30T00:00:00" u="1"/>
        <d v="2025-10-01T00:00:00" u="1"/>
        <d v="2025-10-02T00:00:00" u="1"/>
        <d v="2025-10-03T00:00:00" u="1"/>
        <d v="2025-10-04T00:00:00" u="1"/>
        <d v="2025-10-05T00:00:00" u="1"/>
        <d v="2025-10-06T00:00:00" u="1"/>
        <d v="2025-10-07T00:00:00" u="1"/>
        <d v="2025-10-08T00:00:00" u="1"/>
        <d v="2025-10-10T00:00:00" u="1"/>
        <d v="2025-10-12T00:00:00" u="1"/>
        <d v="2025-10-13T00:00:00" u="1"/>
        <d v="2025-10-14T00:00:00" u="1"/>
        <d v="2025-10-15T00:00:00" u="1"/>
        <d v="2025-10-16T00:00:00" u="1"/>
        <d v="2025-09-01T00:00:00" u="1"/>
        <d v="2025-08-16T00:00:00" u="1"/>
        <d v="2025-08-12T00:00:00" u="1"/>
        <d v="2025-08-13T00:00:00" u="1"/>
        <d v="2025-08-15T00:00:00" u="1"/>
        <d v="2025-08-17T00:00:00" u="1"/>
        <d v="2025-08-18T00:00:00" u="1"/>
        <d v="2025-08-19T00:00:00" u="1"/>
        <d v="2025-08-20T00:00:00" u="1"/>
        <d v="2025-08-21T00:00:00" u="1"/>
        <d v="2025-08-23T00:00:00" u="1"/>
        <d v="2025-08-25T00:00:00" u="1"/>
        <d v="2025-08-24T00:00:00" u="1"/>
        <d v="2025-08-26T00:00:00" u="1"/>
        <d v="2025-08-27T00:00:00" u="1"/>
        <d v="2025-08-28T00:00:00" u="1"/>
        <d v="2025-08-30T00:00:00" u="1"/>
        <d v="2025-08-31T00:00:00" u="1"/>
        <d v="2025-09-02T00:00:00" u="1"/>
        <d v="2025-09-03T00:00:00" u="1"/>
        <d v="2025-09-04T00:00:00" u="1"/>
        <d v="2025-09-05T00:00:00" u="1"/>
        <d v="2025-09-07T00:00:00" u="1"/>
        <d v="2025-09-08T00:00:00" u="1"/>
        <d v="2025-09-09T00:00:00" u="1"/>
        <d v="2025-09-10T00:00:00" u="1"/>
        <d v="2025-09-11T00:00:00" u="1"/>
        <d v="2025-09-12T00:00:00" u="1"/>
        <d v="2025-09-13T00:00:00" u="1"/>
        <d v="2025-09-14T00:00:00" u="1"/>
        <d v="2025-09-15T00:00:00" u="1"/>
        <d v="2025-08-02T00:00:00" u="1"/>
        <d v="2025-07-02T00:00:00" u="1"/>
        <d v="2025-06-02T00:00:00" u="1"/>
        <d v="2025-05-02T00:00:00" u="1"/>
        <d v="2025-07-13T00:00:00" u="1"/>
        <d v="2025-07-14T00:00:00" u="1"/>
        <d v="2025-07-15T00:00:00" u="1"/>
        <d v="2025-07-19T00:00:00" u="1"/>
        <d v="2025-07-20T00:00:00" u="1"/>
        <d v="2025-07-21T00:00:00" u="1"/>
        <d v="2025-07-31T00:00:00" u="1"/>
        <d v="2025-08-03T00:00:00" u="1"/>
        <d v="2025-08-04T00:00:00" u="1"/>
        <d v="2025-08-07T00:00:00" u="1"/>
        <d v="2025-08-08T00:00:00" u="1"/>
        <d v="2025-08-09T00:00:00" u="1"/>
        <d v="2025-08-10T00:00:00" u="1"/>
        <d v="2025-08-11T00:00:00" u="1"/>
        <d v="2025-08-14T00:00:00" u="1"/>
        <d v="2025-08-01T00:00:00" u="1"/>
      </sharedItems>
    </cacheField>
    <cacheField name="Party Name" numFmtId="0">
      <sharedItems containsBlank="1" count="8">
        <s v="Malik Zaheer"/>
        <s v="Aqib"/>
        <s v="Rafaqat"/>
        <s v="Kaleem ullah"/>
        <s v="Ishaq"/>
        <m u="1"/>
        <s v="Shamil" u="1"/>
        <s v="Aqib Freight" u="1"/>
      </sharedItems>
    </cacheField>
    <cacheField name="Vehicle Number" numFmtId="0">
      <sharedItems containsBlank="1" containsMixedTypes="1" containsNumber="1" containsInteger="1" minValue="31" maxValue="9940" count="67">
        <s v="Closing Balance CF"/>
        <m/>
        <s v="LES 3747"/>
        <s v="TKL 364"/>
        <s v="TKQ 364"/>
        <s v="LXT 8141"/>
        <s v="RPT 5560"/>
        <s v="266 man"/>
        <s v="TAT 098"/>
        <s v="CAR 6957"/>
        <s v="E 9399"/>
        <s v="SGI 9875"/>
        <s v="301 mann"/>
        <s v="FDS 1187"/>
        <n v="3414" u="1"/>
        <n v="112" u="1"/>
        <n v="1435" u="1"/>
        <n v="4646" u="1"/>
        <n v="1196" u="1"/>
        <n v="4366" u="1"/>
        <n v="442" u="1"/>
        <n v="6613" u="1"/>
        <n v="4095" u="1"/>
        <n v="3229" u="1"/>
        <n v="162" u="1"/>
        <n v="8141" u="1"/>
        <n v="5560" u="1"/>
        <n v="685" u="1"/>
        <n v="571" u="1"/>
        <n v="160" u="1"/>
        <n v="6691" u="1"/>
        <n v="1055" u="1"/>
        <n v="8395" u="1"/>
        <n v="4649" u="1"/>
        <n v="52" u="1"/>
        <n v="739" u="1"/>
        <n v="1288" u="1"/>
        <n v="5045" u="1"/>
        <n v="561" u="1"/>
        <n v="447" u="1"/>
        <n v="5946" u="1"/>
        <n v="1910" u="1"/>
        <n v="7286" u="1"/>
        <n v="1961" u="1"/>
        <n v="3220" u="1"/>
        <n v="5679" u="1"/>
        <n v="9373" u="1"/>
        <n v="1973" u="1"/>
        <n v="9940" u="1"/>
        <n v="31" u="1"/>
        <n v="3834" u="1"/>
        <n v="9755" u="1"/>
        <n v="1561" u="1"/>
        <n v="2980" u="1"/>
        <n v="7221" u="1"/>
        <n v="8901" u="1"/>
        <n v="8994" u="1"/>
        <n v="364" u="1"/>
        <n v="4068" u="1"/>
        <n v="6038" u="1"/>
        <n v="2727" u="1"/>
        <n v="2570" u="1"/>
        <n v="6851" u="1"/>
        <n v="303" u="1"/>
        <n v="5963" u="1"/>
        <n v="1671" u="1"/>
        <n v="1972" u="1"/>
      </sharedItems>
    </cacheField>
    <cacheField name="Weight" numFmtId="164">
      <sharedItems containsString="0" containsBlank="1" containsNumber="1" containsInteger="1" minValue="137" maxValue="445"/>
    </cacheField>
    <cacheField name="Rate" numFmtId="164">
      <sharedItems containsString="0" containsBlank="1" containsNumber="1" containsInteger="1" minValue="580" maxValue="810"/>
    </cacheField>
    <cacheField name="Rent" numFmtId="164">
      <sharedItems containsString="0" containsBlank="1" containsNumber="1" containsInteger="1" minValue="35000" maxValue="76850"/>
    </cacheField>
    <cacheField name="Total" numFmtId="164">
      <sharedItems containsSemiMixedTypes="0" containsString="0" containsNumber="1" containsInteger="1" minValue="0" maxValue="360450"/>
    </cacheField>
    <cacheField name="Paid" numFmtId="164">
      <sharedItems containsString="0" containsBlank="1" containsNumber="1" containsInteger="1" minValue="0" maxValue="437100"/>
    </cacheField>
    <cacheField name="balance" numFmtId="164">
      <sharedItems containsSemiMixedTypes="0" containsString="0" containsNumber="1" containsInteger="1" minValue="-403200" maxValue="197228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7060188" createdVersion="8" refreshedVersion="8" minRefreshableVersion="3" recordCount="6" xr:uid="{AC867DCC-CE64-4D1A-827D-F1F3EE10EE4E}">
  <cacheSource type="worksheet">
    <worksheetSource name="Table8"/>
  </cacheSource>
  <cacheFields count="9">
    <cacheField name="Date" numFmtId="0">
      <sharedItems containsNonDate="0" containsDate="1" containsString="0" containsBlank="1" minDate="2025-05-16T00:00:00" maxDate="2025-10-26T00:00:00" count="30">
        <d v="2025-10-17T00:00:00"/>
        <d v="2025-10-18T00:00:00"/>
        <d v="2025-10-25T00:00:00"/>
        <m/>
        <d v="2025-09-16T00:00:00" u="1"/>
        <d v="2025-09-19T00:00:00" u="1"/>
        <d v="2025-09-22T00:00:00" u="1"/>
        <d v="2025-09-26T00:00:00" u="1"/>
        <d v="2025-09-27T00:00:00" u="1"/>
        <d v="2025-10-09T00:00:00" u="1"/>
        <d v="2025-10-14T00:00:00" u="1"/>
        <d v="2025-08-16T00:00:00" u="1"/>
        <d v="2025-08-19T00:00:00" u="1"/>
        <d v="2025-08-20T00:00:00" u="1"/>
        <d v="2025-08-23T00:00:00" u="1"/>
        <d v="2025-09-10T00:00:00" u="1"/>
        <d v="2025-09-13T00:00:00" u="1"/>
        <d v="2025-08-21T00:00:00" u="1"/>
        <d v="2025-08-22T00:00:00" u="1"/>
        <d v="2025-08-24T00:00:00" u="1"/>
        <d v="2025-08-25T00:00:00" u="1"/>
        <d v="2025-08-26T00:00:00" u="1"/>
        <d v="2025-08-27T00:00:00" u="1"/>
        <d v="2025-08-28T00:00:00" u="1"/>
        <d v="2025-05-16T00:00:00" u="1"/>
        <d v="2025-07-24T00:00:00" u="1"/>
        <d v="2025-08-01T00:00:00" u="1"/>
        <d v="2025-08-05T00:00:00" u="1"/>
        <d v="2025-08-11T00:00:00" u="1"/>
        <d v="2025-08-13T00:00:00" u="1"/>
      </sharedItems>
    </cacheField>
    <cacheField name="Chemical Name" numFmtId="0">
      <sharedItems containsBlank="1"/>
    </cacheField>
    <cacheField name="Boxes" numFmtId="0">
      <sharedItems containsNonDate="0" containsString="0" containsBlank="1"/>
    </cacheField>
    <cacheField name="Rate" numFmtId="0">
      <sharedItems containsNonDate="0" containsString="0" containsBlank="1"/>
    </cacheField>
    <cacheField name="Price" numFmtId="0">
      <sharedItems containsNonDate="0" containsString="0" containsBlank="1"/>
    </cacheField>
    <cacheField name="Party" numFmtId="0">
      <sharedItems containsBlank="1" count="5">
        <s v="Unicolour"/>
        <s v="madina dyes"/>
        <m/>
        <s v="Al madina" u="1"/>
        <s v="-" u="1"/>
      </sharedItems>
    </cacheField>
    <cacheField name="Paid" numFmtId="0">
      <sharedItems containsSemiMixedTypes="0" containsString="0" containsNumber="1" containsInteger="1" minValue="0" maxValue="300000"/>
    </cacheField>
    <cacheField name="Balance" numFmtId="0">
      <sharedItems containsSemiMixedTypes="0" containsString="0" containsNumber="1" containsInteger="1" minValue="-300000" maxValue="640125"/>
    </cacheField>
    <cacheField name="info" numFmtId="0">
      <sharedItems containsBlank="1"/>
    </cacheField>
  </cacheFields>
  <extLst>
    <ext xmlns:x14="http://schemas.microsoft.com/office/spreadsheetml/2009/9/main" uri="{725AE2AE-9491-48be-B2B4-4EB974FC3084}">
      <x14:pivotCacheDefinition/>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7175927" createdVersion="8" refreshedVersion="8" minRefreshableVersion="3" recordCount="17" xr:uid="{C9337D87-FB7F-43A5-B835-F515E859066B}">
  <cacheSource type="worksheet">
    <worksheetSource name="Table4"/>
  </cacheSource>
  <cacheFields count="4">
    <cacheField name="Party Name" numFmtId="0">
      <sharedItems containsMixedTypes="1" containsNumber="1" containsInteger="1" minValue="0" maxValue="0" count="18">
        <s v="BSC"/>
        <s v="Ejaz Sahab"/>
        <s v="Arshad"/>
        <s v="Shehzad Kamoki"/>
        <s v="Sufi Nawaz Sahab"/>
        <s v="Sajad Khan"/>
        <s v="Raaz Fabrics"/>
        <s v="Azam"/>
        <s v="Ubaidullah"/>
        <s v="Ashraf Zia"/>
        <s v="Hafiz Qureshi"/>
        <s v="Badshah Fabrics"/>
        <s v="Reject"/>
        <s v="Amjad 7up"/>
        <s v="Hazrat Khan"/>
        <s v="Haseeb Shamsi"/>
        <s v="Faizan"/>
        <n v="0" u="1"/>
      </sharedItems>
    </cacheField>
    <cacheField name="Tiyaar" numFmtId="1">
      <sharedItems containsSemiMixedTypes="0" containsString="0" containsNumber="1" minValue="0" maxValue="195843.08705193858"/>
    </cacheField>
    <cacheField name="Rate" numFmtId="0">
      <sharedItems containsString="0" containsBlank="1" containsNumber="1" minValue="10" maxValue="12"/>
    </cacheField>
    <cacheField name="Total" numFmtId="164">
      <sharedItems containsSemiMixedTypes="0" containsString="0" containsNumber="1" minValue="0" maxValue="2074765.910753475"/>
    </cacheField>
  </cacheFields>
  <extLst>
    <ext xmlns:x14="http://schemas.microsoft.com/office/spreadsheetml/2009/9/main" uri="{725AE2AE-9491-48be-B2B4-4EB974FC3084}">
      <x14:pivotCacheDefinition/>
    </ext>
  </extLst>
</pivotCacheDefinition>
</file>

<file path=xl/pivotCache/pivotCacheDefinition6.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Omer Razzaq" refreshedDate="45960.123607291665" createdVersion="8" refreshedVersion="8" minRefreshableVersion="3" recordCount="177" xr:uid="{B5BDFB73-D93A-4A7A-8149-666BC190B09B}">
  <cacheSource type="worksheet">
    <worksheetSource name="Table14"/>
  </cacheSource>
  <cacheFields count="7">
    <cacheField name="Date" numFmtId="14">
      <sharedItems containsSemiMixedTypes="0" containsNonDate="0" containsDate="1" containsString="0" minDate="2025-10-17T00:00:00" maxDate="2025-10-30T00:00:00"/>
    </cacheField>
    <cacheField name="Party" numFmtId="0">
      <sharedItems containsBlank="1" count="57">
        <s v="Closing September CF"/>
        <s v="BSC"/>
        <s v="Malik Zaheer"/>
        <s v="advance salary"/>
        <s v="Transport"/>
        <s v="Omer"/>
        <s v="Kaleem ullah"/>
        <s v="Misc"/>
        <s v="Salary"/>
        <s v="Ishaq"/>
        <s v="Temp"/>
        <s v="Faizan"/>
        <s v="Sajad khan"/>
        <s v="Unicolour"/>
        <s v="Parts"/>
        <s v="madina dyes"/>
        <s v="Dasti"/>
        <s v="copper"/>
        <s v="sunsuper theka"/>
        <s v="Dyes"/>
        <s v="electric bill"/>
        <s v="Arshad"/>
        <s v="Rashan"/>
        <s v="Shafique Ansari"/>
        <s v="Chain Acc"/>
        <m/>
        <s v="Ubaidullah"/>
        <s v="Rafaqat"/>
        <s v="Amjad 7up"/>
        <s v="ARB dasti"/>
        <s v="Amjad Sohail"/>
        <s v="Finish"/>
        <s v="Haseeb shamsi"/>
        <s v="Hazrat khan"/>
        <s v="Sufi Nawaz Sahab"/>
        <s v="Badshah Fabrics"/>
        <s v="Closing August CF" u="1"/>
        <s v="Ejaz Sahab" u="1"/>
        <s v="Hafiz Qureshi" u="1"/>
        <s v="Azam" u="1"/>
        <s v="Shehzad Kamoki" u="1"/>
        <s v="Cash" u="1"/>
        <s v="Raaz Fabrics" u="1"/>
        <s v="Shamil" u="1"/>
        <s v="AS traders" u="1"/>
        <s v="Closing July CF" u="1"/>
        <s v="Chemicals" u="1"/>
        <s v="Raaz" u="1"/>
        <s v="Faysal Akraam" u="1"/>
        <s v="Diesel" u="1"/>
        <s v="Old Bill" u="1"/>
        <s v="temp (Ashfaq Sahab)" u="1"/>
        <s v="Salary " u="1"/>
        <s v="Aqib" u="1"/>
        <s v="Toll" u="1"/>
        <s v="Self" u="1"/>
        <s v="Aqib Freight" u="1"/>
      </sharedItems>
    </cacheField>
    <cacheField name="Debit" numFmtId="164">
      <sharedItems containsString="0" containsBlank="1" containsNumber="1" containsInteger="1" minValue="180" maxValue="2503038"/>
    </cacheField>
    <cacheField name="Credit" numFmtId="164">
      <sharedItems containsString="0" containsBlank="1" containsNumber="1" containsInteger="1" minValue="-789504" maxValue="2503038"/>
    </cacheField>
    <cacheField name="Description" numFmtId="0">
      <sharedItems containsBlank="1"/>
    </cacheField>
    <cacheField name="Mode" numFmtId="0">
      <sharedItems containsBlank="1"/>
    </cacheField>
    <cacheField name="Withdrawal" numFmtId="0">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75">
  <r>
    <x v="0"/>
    <x v="0"/>
    <x v="0"/>
    <s v="Chamki"/>
    <x v="0"/>
    <m/>
    <m/>
    <e v="#DIV/0!"/>
    <n v="1493155.6327724946"/>
    <n v="14931556.327724945"/>
    <m/>
  </r>
  <r>
    <x v="0"/>
    <x v="1"/>
    <x v="0"/>
    <s v="Chamki"/>
    <x v="0"/>
    <m/>
    <m/>
    <e v="#DIV/0!"/>
    <n v="130559.6196049744"/>
    <n v="1305596.196049744"/>
    <m/>
  </r>
  <r>
    <x v="0"/>
    <x v="2"/>
    <x v="0"/>
    <s v="Chamki"/>
    <x v="0"/>
    <m/>
    <m/>
    <e v="#DIV/0!"/>
    <n v="222722.20190197515"/>
    <n v="2227222.0190197513"/>
    <m/>
  </r>
  <r>
    <x v="0"/>
    <x v="3"/>
    <x v="0"/>
    <s v="Chamki"/>
    <x v="0"/>
    <m/>
    <m/>
    <e v="#DIV/0!"/>
    <n v="123086.13752743235"/>
    <n v="1269270.3440380397"/>
    <m/>
  </r>
  <r>
    <x v="0"/>
    <x v="4"/>
    <x v="0"/>
    <s v="Chamki"/>
    <x v="0"/>
    <m/>
    <m/>
    <e v="#DIV/0!"/>
    <n v="599330.65106071695"/>
    <n v="5408917.8595464528"/>
    <m/>
  </r>
  <r>
    <x v="0"/>
    <x v="5"/>
    <x v="0"/>
    <s v="Chamki"/>
    <x v="0"/>
    <m/>
    <m/>
    <e v="#DIV/0!"/>
    <n v="440435.25969275786"/>
    <n v="4404352.5969275786"/>
    <m/>
  </r>
  <r>
    <x v="0"/>
    <x v="6"/>
    <x v="0"/>
    <s v="Chamki"/>
    <x v="0"/>
    <m/>
    <m/>
    <e v="#DIV/0!"/>
    <n v="69091.989758595475"/>
    <n v="690919.89758595475"/>
    <m/>
  </r>
  <r>
    <x v="0"/>
    <x v="7"/>
    <x v="0"/>
    <s v="Chamki"/>
    <x v="0"/>
    <m/>
    <m/>
    <e v="#DIV/0!"/>
    <n v="161808.70519385519"/>
    <n v="1618087.0519385519"/>
    <m/>
  </r>
  <r>
    <x v="0"/>
    <x v="8"/>
    <x v="0"/>
    <s v="Chamki"/>
    <x v="0"/>
    <m/>
    <m/>
    <e v="#DIV/0!"/>
    <n v="45128.931967812736"/>
    <n v="451289.31967812736"/>
    <m/>
  </r>
  <r>
    <x v="0"/>
    <x v="9"/>
    <x v="0"/>
    <s v="Crinkle"/>
    <x v="0"/>
    <m/>
    <m/>
    <e v="#DIV/0!"/>
    <n v="21310.35113386979"/>
    <n v="255724.21360643749"/>
    <m/>
  </r>
  <r>
    <x v="0"/>
    <x v="10"/>
    <x v="0"/>
    <s v="Chamki"/>
    <x v="0"/>
    <m/>
    <m/>
    <e v="#DIV/0!"/>
    <n v="44688.185808339433"/>
    <n v="446881.85808339436"/>
    <m/>
  </r>
  <r>
    <x v="0"/>
    <x v="11"/>
    <x v="0"/>
    <s v="Chamki"/>
    <x v="0"/>
    <m/>
    <m/>
    <e v="#DIV/0!"/>
    <n v="189768.65398683251"/>
    <n v="1897686.539868325"/>
    <m/>
  </r>
  <r>
    <x v="0"/>
    <x v="12"/>
    <x v="0"/>
    <s v="Chamki"/>
    <x v="0"/>
    <m/>
    <m/>
    <e v="#DIV/0!"/>
    <n v="0"/>
    <n v="0"/>
    <m/>
  </r>
  <r>
    <x v="0"/>
    <x v="13"/>
    <x v="0"/>
    <s v="Chamki"/>
    <x v="0"/>
    <m/>
    <m/>
    <e v="#DIV/0!"/>
    <n v="48385.149963423559"/>
    <n v="483851.49963423557"/>
    <m/>
  </r>
  <r>
    <x v="0"/>
    <x v="14"/>
    <x v="0"/>
    <s v="Chamki"/>
    <x v="0"/>
    <m/>
    <m/>
    <e v="#DIV/0!"/>
    <n v="8915.5084125822978"/>
    <n v="89155.084125822978"/>
    <m/>
  </r>
  <r>
    <x v="0"/>
    <x v="15"/>
    <x v="0"/>
    <s v="Chamki"/>
    <x v="0"/>
    <m/>
    <m/>
    <e v="#DIV/0!"/>
    <n v="25627.286027798102"/>
    <n v="256272.86027798103"/>
    <m/>
  </r>
  <r>
    <x v="0"/>
    <x v="0"/>
    <x v="0"/>
    <s v="Silky"/>
    <x v="0"/>
    <m/>
    <m/>
    <e v="#DIV/0!"/>
    <n v="30188.368690563279"/>
    <n v="362260.42428675934"/>
    <m/>
  </r>
  <r>
    <x v="0"/>
    <x v="1"/>
    <x v="0"/>
    <s v="Silky"/>
    <x v="0"/>
    <m/>
    <m/>
    <e v="#DIV/0!"/>
    <n v="14897.58595464521"/>
    <n v="178771.03145574252"/>
    <m/>
  </r>
  <r>
    <x v="0"/>
    <x v="2"/>
    <x v="0"/>
    <s v="Silky"/>
    <x v="0"/>
    <m/>
    <m/>
    <e v="#DIV/0!"/>
    <n v="14794.257498171179"/>
    <n v="177531.08997805414"/>
    <m/>
  </r>
  <r>
    <x v="0"/>
    <x v="3"/>
    <x v="0"/>
    <s v="Silky"/>
    <x v="0"/>
    <m/>
    <m/>
    <e v="#DIV/0!"/>
    <n v="0"/>
    <n v="0"/>
    <m/>
  </r>
  <r>
    <x v="0"/>
    <x v="4"/>
    <x v="0"/>
    <s v="Silky"/>
    <x v="0"/>
    <m/>
    <m/>
    <e v="#DIV/0!"/>
    <n v="485823.88441843458"/>
    <n v="5829886.6130212154"/>
    <m/>
  </r>
  <r>
    <x v="0"/>
    <x v="5"/>
    <x v="0"/>
    <s v="Silky"/>
    <x v="0"/>
    <m/>
    <m/>
    <e v="#DIV/0!"/>
    <n v="0"/>
    <n v="0"/>
    <m/>
  </r>
  <r>
    <x v="0"/>
    <x v="6"/>
    <x v="0"/>
    <s v="Silky"/>
    <x v="0"/>
    <m/>
    <m/>
    <e v="#DIV/0!"/>
    <n v="0"/>
    <n v="0"/>
    <m/>
  </r>
  <r>
    <x v="0"/>
    <x v="7"/>
    <x v="0"/>
    <s v="Silky"/>
    <x v="0"/>
    <m/>
    <m/>
    <e v="#DIV/0!"/>
    <n v="0"/>
    <n v="0"/>
    <m/>
  </r>
  <r>
    <x v="0"/>
    <x v="8"/>
    <x v="0"/>
    <s v="Silky"/>
    <x v="0"/>
    <m/>
    <m/>
    <e v="#DIV/0!"/>
    <n v="14995.427944403806"/>
    <n v="179945.13533284568"/>
    <m/>
  </r>
  <r>
    <x v="0"/>
    <x v="9"/>
    <x v="0"/>
    <s v="Silky"/>
    <x v="0"/>
    <m/>
    <m/>
    <e v="#DIV/0!"/>
    <n v="0"/>
    <n v="0"/>
    <m/>
  </r>
  <r>
    <x v="0"/>
    <x v="10"/>
    <x v="0"/>
    <s v="Silky"/>
    <x v="0"/>
    <m/>
    <m/>
    <e v="#DIV/0!"/>
    <n v="0"/>
    <n v="0"/>
    <m/>
  </r>
  <r>
    <x v="0"/>
    <x v="11"/>
    <x v="0"/>
    <s v="Silky"/>
    <x v="0"/>
    <m/>
    <m/>
    <e v="#DIV/0!"/>
    <n v="63154.718361375279"/>
    <n v="757856.62033650337"/>
    <m/>
  </r>
  <r>
    <x v="0"/>
    <x v="12"/>
    <x v="0"/>
    <s v="Silky"/>
    <x v="0"/>
    <m/>
    <m/>
    <e v="#DIV/0!"/>
    <n v="0"/>
    <n v="0"/>
    <m/>
  </r>
  <r>
    <x v="0"/>
    <x v="13"/>
    <x v="0"/>
    <s v="Silky"/>
    <x v="0"/>
    <m/>
    <m/>
    <e v="#DIV/0!"/>
    <n v="0"/>
    <n v="0"/>
    <m/>
  </r>
  <r>
    <x v="0"/>
    <x v="14"/>
    <x v="0"/>
    <s v="Silky"/>
    <x v="0"/>
    <m/>
    <m/>
    <e v="#DIV/0!"/>
    <n v="0"/>
    <n v="0"/>
    <m/>
  </r>
  <r>
    <x v="0"/>
    <x v="15"/>
    <x v="0"/>
    <s v="Silky"/>
    <x v="0"/>
    <m/>
    <m/>
    <e v="#DIV/0!"/>
    <n v="0"/>
    <n v="0"/>
    <m/>
  </r>
  <r>
    <x v="1"/>
    <x v="0"/>
    <x v="1"/>
    <s v="Silky"/>
    <x v="1"/>
    <n v="15182"/>
    <n v="3532"/>
    <n v="52.490614487163164"/>
    <n v="3229.7000731528897"/>
    <n v="38756.400877834676"/>
    <m/>
  </r>
  <r>
    <x v="1"/>
    <x v="0"/>
    <x v="2"/>
    <s v="Silky"/>
    <x v="1"/>
    <n v="15182"/>
    <n v="4356"/>
    <n v="52.490614487163164"/>
    <n v="3983.1748354059987"/>
    <n v="47798.098024871986"/>
    <m/>
  </r>
  <r>
    <x v="1"/>
    <x v="0"/>
    <x v="3"/>
    <s v="Silky"/>
    <x v="2"/>
    <n v="10086"/>
    <n v="7867"/>
    <n v="0.46282294143081515"/>
    <n v="7193.6722750548652"/>
    <n v="86324.067300658382"/>
    <m/>
  </r>
  <r>
    <x v="1"/>
    <x v="0"/>
    <x v="4"/>
    <s v="Silky"/>
    <x v="2"/>
    <n v="10086"/>
    <n v="3112"/>
    <n v="0.46282294143081515"/>
    <n v="2845.6474030724216"/>
    <n v="34147.768836869058"/>
    <m/>
  </r>
  <r>
    <x v="1"/>
    <x v="16"/>
    <x v="5"/>
    <s v="Silky"/>
    <x v="3"/>
    <n v="32917"/>
    <n v="34960"/>
    <n v="2.8835776996604068"/>
    <n v="31967.812728602781"/>
    <n v="415581.56547183613"/>
    <m/>
  </r>
  <r>
    <x v="1"/>
    <x v="0"/>
    <x v="6"/>
    <s v="Silky"/>
    <x v="4"/>
    <n v="22518"/>
    <n v="3397"/>
    <n v="4.5102697001952947"/>
    <n v="3106.2545720555963"/>
    <n v="37275.054864667152"/>
    <m/>
  </r>
  <r>
    <x v="2"/>
    <x v="0"/>
    <x v="7"/>
    <s v="Silky"/>
    <x v="4"/>
    <n v="22518"/>
    <n v="20118"/>
    <n v="4.5102697001952947"/>
    <n v="18396.122896854427"/>
    <n v="220753.47476225311"/>
    <m/>
  </r>
  <r>
    <x v="2"/>
    <x v="1"/>
    <x v="8"/>
    <s v="Silky"/>
    <x v="5"/>
    <n v="20021"/>
    <n v="21555"/>
    <n v="1.5527112771531364"/>
    <n v="19710.131675201173"/>
    <n v="236521.58010241407"/>
    <m/>
  </r>
  <r>
    <x v="2"/>
    <x v="0"/>
    <x v="9"/>
    <s v="Silky"/>
    <x v="6"/>
    <n v="20054"/>
    <n v="1563"/>
    <n v="3.1966287950113212"/>
    <n v="1429.2245793708853"/>
    <n v="17150.694952450624"/>
    <m/>
  </r>
  <r>
    <x v="2"/>
    <x v="17"/>
    <x v="10"/>
    <s v="Silky"/>
    <x v="7"/>
    <n v="7734"/>
    <n v="8274"/>
    <n v="2.1743263436097209"/>
    <n v="7565.8376005852242"/>
    <n v="98355.888807607917"/>
    <m/>
  </r>
  <r>
    <x v="3"/>
    <x v="0"/>
    <x v="11"/>
    <s v="Silky"/>
    <x v="6"/>
    <n v="20054"/>
    <n v="19667"/>
    <n v="3.1966287950113212"/>
    <n v="17983.723482077545"/>
    <n v="215804.68178493052"/>
    <m/>
  </r>
  <r>
    <x v="3"/>
    <x v="1"/>
    <x v="12"/>
    <s v="Silky"/>
    <x v="8"/>
    <n v="25039"/>
    <n v="17569"/>
    <n v="2.0072943705989843"/>
    <n v="16065.288953913681"/>
    <n v="192783.46744696418"/>
    <m/>
  </r>
  <r>
    <x v="3"/>
    <x v="1"/>
    <x v="13"/>
    <s v="Silky"/>
    <x v="8"/>
    <n v="25039"/>
    <n v="9264"/>
    <n v="2.0072943705989843"/>
    <n v="8471.1046086320421"/>
    <n v="101653.2553035845"/>
    <m/>
  </r>
  <r>
    <x v="3"/>
    <x v="2"/>
    <x v="14"/>
    <s v="Chamki"/>
    <x v="9"/>
    <n v="35598"/>
    <n v="38020"/>
    <n v="2.3374606621867287"/>
    <n v="34765.910753474767"/>
    <n v="347659.10753474769"/>
    <m/>
  </r>
  <r>
    <x v="4"/>
    <x v="2"/>
    <x v="15"/>
    <s v="Chamki"/>
    <x v="10"/>
    <n v="34719"/>
    <n v="37349"/>
    <n v="1.6321296913354217"/>
    <n v="34152.340892465254"/>
    <n v="341523.40892465255"/>
    <m/>
  </r>
  <r>
    <x v="4"/>
    <x v="18"/>
    <x v="16"/>
    <s v="Silky"/>
    <x v="11"/>
    <n v="18060"/>
    <n v="1662"/>
    <n v="91.584987374443145"/>
    <n v="1519.751280175567"/>
    <n v="19756.766642282371"/>
    <m/>
  </r>
  <r>
    <x v="4"/>
    <x v="5"/>
    <x v="17"/>
    <s v="Chamki"/>
    <x v="12"/>
    <n v="42632"/>
    <n v="45331"/>
    <n v="2.7698197451852451"/>
    <n v="41451.170446232631"/>
    <n v="414511.70446232631"/>
    <m/>
  </r>
  <r>
    <x v="5"/>
    <x v="0"/>
    <x v="18"/>
    <s v="Chamki"/>
    <x v="13"/>
    <n v="9527"/>
    <n v="10153"/>
    <n v="2.5504766071617553"/>
    <n v="9284.0160936356988"/>
    <n v="92840.160936356988"/>
    <m/>
  </r>
  <r>
    <x v="5"/>
    <x v="0"/>
    <x v="19"/>
    <s v="Chamki"/>
    <x v="14"/>
    <n v="31302"/>
    <n v="31733"/>
    <n v="0.87306718693977814"/>
    <n v="29017.008046817853"/>
    <n v="290170.08046817855"/>
    <m/>
  </r>
  <r>
    <x v="5"/>
    <x v="0"/>
    <x v="20"/>
    <s v="Chamki"/>
    <x v="15"/>
    <n v="11233"/>
    <n v="3227"/>
    <n v="-8.9429716796790615"/>
    <n v="2950.8046817849308"/>
    <n v="29508.04681784931"/>
    <m/>
  </r>
  <r>
    <x v="6"/>
    <x v="0"/>
    <x v="21"/>
    <s v="Chamki"/>
    <x v="16"/>
    <n v="8913"/>
    <n v="7126"/>
    <n v="2.5571994779084832"/>
    <n v="6516.0936356986103"/>
    <n v="65160.936356986102"/>
    <m/>
  </r>
  <r>
    <x v="6"/>
    <x v="0"/>
    <x v="22"/>
    <s v="Chamki"/>
    <x v="14"/>
    <n v="31302"/>
    <n v="2200"/>
    <n v="0.87306718693977814"/>
    <n v="2011.704462326262"/>
    <n v="20117.04462326262"/>
    <m/>
  </r>
  <r>
    <x v="6"/>
    <x v="0"/>
    <x v="23"/>
    <s v="Chamki"/>
    <x v="16"/>
    <n v="8913"/>
    <n v="2372"/>
    <n v="2.5571994779084832"/>
    <n v="2168.9831748354063"/>
    <n v="21689.831748354063"/>
    <m/>
  </r>
  <r>
    <x v="6"/>
    <x v="0"/>
    <x v="24"/>
    <s v="Chamki"/>
    <x v="15"/>
    <n v="11233"/>
    <n v="10156"/>
    <n v="-8.9429716796790615"/>
    <n v="9286.7593269934168"/>
    <n v="92867.593269934165"/>
    <m/>
  </r>
  <r>
    <x v="6"/>
    <x v="0"/>
    <x v="25"/>
    <s v="Chamki"/>
    <x v="17"/>
    <n v="25262"/>
    <n v="27090"/>
    <n v="1.942058347754724"/>
    <n v="24771.3972201902"/>
    <n v="247713.97220190201"/>
    <m/>
  </r>
  <r>
    <x v="7"/>
    <x v="0"/>
    <x v="26"/>
    <s v="Chamki"/>
    <x v="18"/>
    <n v="10092"/>
    <n v="10885"/>
    <n v="1.3737115247839853"/>
    <n v="9953.3650329188004"/>
    <n v="99533.650329188007"/>
    <m/>
  </r>
  <r>
    <x v="7"/>
    <x v="0"/>
    <x v="27"/>
    <s v="Chamki"/>
    <x v="19"/>
    <n v="14494"/>
    <n v="15623"/>
    <n v="1.4361465718629773"/>
    <n v="14285.844915874179"/>
    <n v="142858.4491587418"/>
    <m/>
  </r>
  <r>
    <x v="7"/>
    <x v="0"/>
    <x v="28"/>
    <s v="Chamki"/>
    <x v="20"/>
    <n v="14854"/>
    <n v="15938"/>
    <n v="1.8857922550523085"/>
    <n v="14573.884418434529"/>
    <n v="145738.84418434527"/>
    <m/>
  </r>
  <r>
    <x v="7"/>
    <x v="0"/>
    <x v="29"/>
    <s v="Chamki"/>
    <x v="21"/>
    <n v="12811"/>
    <n v="3756"/>
    <n v="-2.7258202177090851"/>
    <n v="3434.5281638624729"/>
    <n v="34345.281638624729"/>
    <m/>
  </r>
  <r>
    <x v="7"/>
    <x v="0"/>
    <x v="30"/>
    <s v="Chamki"/>
    <x v="21"/>
    <n v="12811"/>
    <n v="4953"/>
    <n v="-2.7258202177090851"/>
    <n v="4529.0782735918074"/>
    <n v="45290.782735918074"/>
    <m/>
  </r>
  <r>
    <x v="8"/>
    <x v="11"/>
    <x v="31"/>
    <s v="Chamki"/>
    <x v="22"/>
    <n v="100849"/>
    <n v="39419"/>
    <n v="31.542252363752141"/>
    <n v="36045.171909290417"/>
    <n v="360451.71909290418"/>
    <m/>
  </r>
  <r>
    <x v="8"/>
    <x v="5"/>
    <x v="32"/>
    <s v="Slub"/>
    <x v="23"/>
    <n v="5511"/>
    <n v="837"/>
    <n v="0.39539196528799891"/>
    <n v="765.36210680321881"/>
    <n v="9949.7073884418442"/>
    <m/>
  </r>
  <r>
    <x v="8"/>
    <x v="0"/>
    <x v="33"/>
    <s v="Chamki"/>
    <x v="21"/>
    <n v="12811"/>
    <n v="5350"/>
    <n v="-2.7258202177090851"/>
    <n v="4892.0994879297732"/>
    <n v="48920.99487929773"/>
    <m/>
  </r>
  <r>
    <x v="9"/>
    <x v="16"/>
    <x v="34"/>
    <s v="Slub"/>
    <x v="24"/>
    <n v="3023"/>
    <n v="3248"/>
    <n v="1.7529832851817986"/>
    <n v="2970.007315288954"/>
    <n v="44550.109729334312"/>
    <m/>
  </r>
  <r>
    <x v="9"/>
    <x v="5"/>
    <x v="35"/>
    <s v="Slub"/>
    <x v="23"/>
    <n v="5511"/>
    <n v="5166"/>
    <n v="0.39539196528799891"/>
    <n v="4723.8478419897592"/>
    <n v="61410.021945866873"/>
    <m/>
  </r>
  <r>
    <x v="9"/>
    <x v="11"/>
    <x v="36"/>
    <s v="Chamki"/>
    <x v="22"/>
    <n v="100849"/>
    <n v="36082"/>
    <n v="31.542252363752141"/>
    <n v="32993.782004389177"/>
    <n v="329937.82004389178"/>
    <m/>
  </r>
  <r>
    <x v="10"/>
    <x v="10"/>
    <x v="37"/>
    <s v="Chamki"/>
    <x v="25"/>
    <n v="50784"/>
    <n v="4382"/>
    <n v="9.6068308757742216"/>
    <n v="4006.9495245062185"/>
    <n v="40069.495245062186"/>
    <m/>
  </r>
  <r>
    <x v="10"/>
    <x v="10"/>
    <x v="38"/>
    <s v="Chamki"/>
    <x v="25"/>
    <n v="50784"/>
    <n v="45820"/>
    <n v="9.6068308757742216"/>
    <n v="41898.317483540603"/>
    <n v="418983.17483540601"/>
    <m/>
  </r>
  <r>
    <x v="10"/>
    <x v="17"/>
    <x v="39"/>
    <s v="Satin"/>
    <x v="26"/>
    <n v="3702"/>
    <n v="3697"/>
    <n v="8.682390388239881"/>
    <n v="3380.5779078273595"/>
    <n v="94656.181419166067"/>
    <m/>
  </r>
  <r>
    <x v="10"/>
    <x v="17"/>
    <x v="40"/>
    <s v="Chamki"/>
    <x v="27"/>
    <n v="65932"/>
    <n v="46732"/>
    <s v="NF"/>
    <n v="42732.26042428676"/>
    <n v="427322.60424286762"/>
    <m/>
  </r>
  <r>
    <x v="11"/>
    <x v="10"/>
    <x v="41"/>
    <s v="Chamki"/>
    <x v="25"/>
    <n v="50784"/>
    <n v="3950"/>
    <n v="9.6068308757742216"/>
    <n v="3611.9239209948796"/>
    <n v="36119.239209948799"/>
    <m/>
  </r>
  <r>
    <x v="11"/>
    <x v="17"/>
    <x v="42"/>
    <s v="Chamki"/>
    <x v="27"/>
    <n v="65932"/>
    <n v="23587"/>
    <s v="NF"/>
    <n v="21568.215069495247"/>
    <n v="215682.15069495246"/>
    <m/>
  </r>
  <r>
    <x v="11"/>
    <x v="2"/>
    <x v="43"/>
    <s v="Chamki"/>
    <x v="28"/>
    <n v="50678"/>
    <n v="17191"/>
    <s v="NF"/>
    <n v="15719.641550841259"/>
    <n v="157196.41550841258"/>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
  <r>
    <d v="2025-10-17T00:00:00"/>
    <x v="0"/>
    <s v="September Closing CF"/>
    <m/>
    <m/>
    <n v="0"/>
    <n v="0"/>
    <n v="353250"/>
  </r>
  <r>
    <d v="2025-10-17T00:00:00"/>
    <x v="1"/>
    <s v="September Closing CF"/>
    <m/>
    <m/>
    <n v="0"/>
    <n v="0"/>
    <n v="-5000"/>
  </r>
  <r>
    <d v="2025-10-17T00:00:00"/>
    <x v="2"/>
    <s v="September Closing CF"/>
    <m/>
    <m/>
    <n v="0"/>
    <n v="0"/>
    <n v="0"/>
  </r>
  <r>
    <d v="2025-10-15T00:00:00"/>
    <x v="1"/>
    <s v="PVA"/>
    <n v="4"/>
    <n v="160"/>
    <n v="128000"/>
    <n v="0"/>
    <n v="128000"/>
  </r>
  <r>
    <d v="2025-10-24T00:00:00"/>
    <x v="2"/>
    <s v="PVA"/>
    <n v="4"/>
    <n v="125"/>
    <n v="120000"/>
    <n v="0"/>
    <n v="120000"/>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
  <r>
    <x v="0"/>
    <x v="0"/>
    <x v="0"/>
    <m/>
    <m/>
    <m/>
    <n v="0"/>
    <m/>
    <n v="1972281"/>
  </r>
  <r>
    <x v="0"/>
    <x v="1"/>
    <x v="0"/>
    <m/>
    <m/>
    <m/>
    <n v="0"/>
    <n v="0"/>
    <n v="0"/>
  </r>
  <r>
    <x v="0"/>
    <x v="2"/>
    <x v="0"/>
    <m/>
    <m/>
    <m/>
    <n v="0"/>
    <n v="0"/>
    <n v="87620"/>
  </r>
  <r>
    <x v="0"/>
    <x v="3"/>
    <x v="0"/>
    <m/>
    <m/>
    <m/>
    <n v="0"/>
    <m/>
    <n v="456400"/>
  </r>
  <r>
    <x v="0"/>
    <x v="4"/>
    <x v="0"/>
    <m/>
    <m/>
    <m/>
    <n v="0"/>
    <m/>
    <n v="0"/>
  </r>
  <r>
    <x v="0"/>
    <x v="2"/>
    <x v="1"/>
    <n v="203"/>
    <n v="580"/>
    <m/>
    <n v="117740"/>
    <n v="0"/>
    <n v="117740"/>
  </r>
  <r>
    <x v="0"/>
    <x v="3"/>
    <x v="2"/>
    <n v="225"/>
    <n v="775"/>
    <m/>
    <n v="174375"/>
    <m/>
    <n v="174375"/>
  </r>
  <r>
    <x v="1"/>
    <x v="0"/>
    <x v="3"/>
    <n v="445"/>
    <n v="810"/>
    <n v="76105"/>
    <n v="360450"/>
    <m/>
    <n v="360450"/>
  </r>
  <r>
    <x v="1"/>
    <x v="0"/>
    <x v="4"/>
    <n v="243"/>
    <n v="810"/>
    <n v="44000"/>
    <n v="196830"/>
    <n v="437100"/>
    <n v="-240270"/>
  </r>
  <r>
    <x v="1"/>
    <x v="3"/>
    <x v="1"/>
    <m/>
    <m/>
    <m/>
    <n v="0"/>
    <n v="212475"/>
    <n v="-212475"/>
  </r>
  <r>
    <x v="1"/>
    <x v="4"/>
    <x v="1"/>
    <m/>
    <m/>
    <m/>
    <n v="0"/>
    <n v="1000"/>
    <n v="-1000"/>
  </r>
  <r>
    <x v="1"/>
    <x v="2"/>
    <x v="1"/>
    <n v="157"/>
    <n v="580"/>
    <m/>
    <n v="91060"/>
    <m/>
    <n v="91060"/>
  </r>
  <r>
    <x v="2"/>
    <x v="0"/>
    <x v="1"/>
    <n v="302"/>
    <n v="810"/>
    <n v="48800"/>
    <n v="244620"/>
    <m/>
    <n v="244620"/>
  </r>
  <r>
    <x v="2"/>
    <x v="0"/>
    <x v="1"/>
    <n v="309"/>
    <n v="810"/>
    <n v="51500"/>
    <n v="250290"/>
    <n v="100300"/>
    <n v="149990"/>
  </r>
  <r>
    <x v="2"/>
    <x v="3"/>
    <x v="1"/>
    <n v="248"/>
    <n v="775"/>
    <m/>
    <n v="192200"/>
    <n v="0"/>
    <n v="192200"/>
  </r>
  <r>
    <x v="3"/>
    <x v="3"/>
    <x v="1"/>
    <n v="243"/>
    <n v="775"/>
    <m/>
    <n v="188325"/>
    <n v="0"/>
    <n v="188325"/>
  </r>
  <r>
    <x v="4"/>
    <x v="0"/>
    <x v="1"/>
    <m/>
    <m/>
    <m/>
    <n v="0"/>
    <n v="150000"/>
    <n v="-150000"/>
  </r>
  <r>
    <x v="4"/>
    <x v="3"/>
    <x v="1"/>
    <m/>
    <m/>
    <m/>
    <n v="0"/>
    <n v="244675"/>
    <n v="-244675"/>
  </r>
  <r>
    <x v="5"/>
    <x v="0"/>
    <x v="5"/>
    <n v="262"/>
    <n v="810"/>
    <n v="45250"/>
    <n v="212220"/>
    <n v="295250"/>
    <n v="-83030"/>
  </r>
  <r>
    <x v="3"/>
    <x v="0"/>
    <x v="1"/>
    <m/>
    <m/>
    <m/>
    <n v="0"/>
    <n v="403200"/>
    <n v="-403200"/>
  </r>
  <r>
    <x v="6"/>
    <x v="0"/>
    <x v="6"/>
    <n v="311"/>
    <n v="810"/>
    <n v="52060"/>
    <n v="251910"/>
    <n v="252060"/>
    <n v="-150"/>
  </r>
  <r>
    <x v="7"/>
    <x v="0"/>
    <x v="7"/>
    <n v="266"/>
    <n v="810"/>
    <n v="50000"/>
    <n v="215460"/>
    <m/>
    <n v="215460"/>
  </r>
  <r>
    <x v="7"/>
    <x v="0"/>
    <x v="8"/>
    <n v="417"/>
    <n v="810"/>
    <n v="72900"/>
    <n v="337770"/>
    <n v="326921"/>
    <n v="10849"/>
  </r>
  <r>
    <x v="7"/>
    <x v="2"/>
    <x v="1"/>
    <m/>
    <m/>
    <m/>
    <n v="0"/>
    <n v="100000"/>
    <n v="-100000"/>
  </r>
  <r>
    <x v="8"/>
    <x v="0"/>
    <x v="9"/>
    <n v="333"/>
    <n v="810"/>
    <n v="53700"/>
    <n v="269730"/>
    <m/>
    <n v="269730"/>
  </r>
  <r>
    <x v="8"/>
    <x v="0"/>
    <x v="3"/>
    <n v="439"/>
    <n v="810"/>
    <n v="76850"/>
    <n v="355590"/>
    <n v="130550"/>
    <n v="225040"/>
  </r>
  <r>
    <x v="9"/>
    <x v="0"/>
    <x v="10"/>
    <n v="277"/>
    <n v="810"/>
    <n v="45335"/>
    <n v="224370"/>
    <n v="45335"/>
    <n v="179035"/>
  </r>
  <r>
    <x v="10"/>
    <x v="0"/>
    <x v="11"/>
    <n v="307"/>
    <n v="810"/>
    <n v="49850"/>
    <n v="248670"/>
    <n v="399850"/>
    <n v="-151180"/>
  </r>
  <r>
    <x v="11"/>
    <x v="0"/>
    <x v="12"/>
    <n v="301"/>
    <n v="810"/>
    <n v="48850"/>
    <n v="243810"/>
    <m/>
    <n v="243810"/>
  </r>
  <r>
    <x v="11"/>
    <x v="0"/>
    <x v="13"/>
    <n v="137"/>
    <n v="810"/>
    <n v="35000"/>
    <n v="110970"/>
    <n v="83850"/>
    <n v="27120"/>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
  <r>
    <x v="0"/>
    <s v="Dyes"/>
    <m/>
    <m/>
    <m/>
    <x v="0"/>
    <n v="0"/>
    <n v="640125"/>
    <s v="September closing CF"/>
  </r>
  <r>
    <x v="0"/>
    <s v="Dyes"/>
    <m/>
    <m/>
    <m/>
    <x v="1"/>
    <n v="0"/>
    <n v="0"/>
    <m/>
  </r>
  <r>
    <x v="1"/>
    <s v="Dyes"/>
    <m/>
    <m/>
    <m/>
    <x v="0"/>
    <n v="300000"/>
    <n v="-300000"/>
    <m/>
  </r>
  <r>
    <x v="1"/>
    <s v="Black,Violet 3R,Rubine B, yellow 4G"/>
    <m/>
    <m/>
    <m/>
    <x v="1"/>
    <n v="162250"/>
    <n v="-162250"/>
    <m/>
  </r>
  <r>
    <x v="2"/>
    <m/>
    <m/>
    <m/>
    <m/>
    <x v="0"/>
    <n v="100000"/>
    <n v="-100000"/>
    <m/>
  </r>
  <r>
    <x v="3"/>
    <m/>
    <m/>
    <m/>
    <m/>
    <x v="2"/>
    <n v="0"/>
    <n v="0"/>
    <m/>
  </r>
</pivotCacheRecords>
</file>

<file path=xl/pivotCache/pivotCacheRecords5.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
  <r>
    <x v="0"/>
    <n v="195843.08705193858"/>
    <n v="10"/>
    <n v="2074765.910753475"/>
  </r>
  <r>
    <x v="1"/>
    <n v="44246.525237746893"/>
    <n v="10"/>
    <n v="530958.30285296275"/>
  </r>
  <r>
    <x v="2"/>
    <n v="84637.893196781282"/>
    <n v="10"/>
    <n v="846378.93196781282"/>
  </r>
  <r>
    <x v="3"/>
    <n v="0"/>
    <n v="10.5"/>
    <n v="0"/>
  </r>
  <r>
    <x v="4"/>
    <n v="0"/>
    <n v="10"/>
    <n v="0"/>
  </r>
  <r>
    <x v="5"/>
    <n v="46940.380395025604"/>
    <n v="10"/>
    <n v="414511.70446232631"/>
  </r>
  <r>
    <x v="6"/>
    <n v="0"/>
    <n v="10"/>
    <n v="0"/>
  </r>
  <r>
    <x v="7"/>
    <n v="0"/>
    <n v="10"/>
    <n v="0"/>
  </r>
  <r>
    <x v="8"/>
    <n v="0"/>
    <n v="10"/>
    <n v="0"/>
  </r>
  <r>
    <x v="9"/>
    <n v="0"/>
    <n v="12"/>
    <n v="0"/>
  </r>
  <r>
    <x v="10"/>
    <n v="49517.190929041702"/>
    <m/>
    <n v="495171.90929041704"/>
  </r>
  <r>
    <x v="11"/>
    <n v="69038.953913679594"/>
    <m/>
    <n v="690389.53913679591"/>
  </r>
  <r>
    <x v="12"/>
    <n v="0"/>
    <m/>
    <n v="0"/>
  </r>
  <r>
    <x v="13"/>
    <n v="0"/>
    <m/>
    <n v="0"/>
  </r>
  <r>
    <x v="14"/>
    <n v="0"/>
    <m/>
    <n v="0"/>
  </r>
  <r>
    <x v="15"/>
    <n v="0"/>
    <m/>
    <n v="0"/>
  </r>
  <r>
    <x v="16"/>
    <n v="34937.820043891734"/>
    <m/>
    <n v="383613.75274323334"/>
  </r>
</pivotCacheRecords>
</file>

<file path=xl/pivotCache/pivotCacheRecords6.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7">
  <r>
    <d v="2025-10-17T00:00:00"/>
    <x v="0"/>
    <m/>
    <n v="-789504"/>
    <m/>
    <s v="Bank"/>
    <m/>
  </r>
  <r>
    <d v="2025-10-17T00:00:00"/>
    <x v="0"/>
    <m/>
    <n v="-442715"/>
    <m/>
    <s v="Cash"/>
    <m/>
  </r>
  <r>
    <d v="2025-10-18T00:00:00"/>
    <x v="1"/>
    <m/>
    <n v="150000"/>
    <m/>
    <s v="Bank"/>
    <m/>
  </r>
  <r>
    <d v="2025-10-18T00:00:00"/>
    <x v="2"/>
    <n v="76100"/>
    <m/>
    <s v="TKL 364"/>
    <s v="Bank"/>
    <m/>
  </r>
  <r>
    <d v="2025-10-18T00:00:00"/>
    <x v="2"/>
    <n v="44000"/>
    <m/>
    <s v="TKQ 364"/>
    <s v="Bank"/>
    <m/>
  </r>
  <r>
    <d v="2025-10-18T00:00:00"/>
    <x v="3"/>
    <n v="10000"/>
    <m/>
    <s v="khalid sahab"/>
    <s v="Bank"/>
    <m/>
  </r>
  <r>
    <d v="2025-10-18T00:00:00"/>
    <x v="4"/>
    <n v="5330"/>
    <m/>
    <s v="LPG"/>
    <s v="Bank"/>
    <m/>
  </r>
  <r>
    <d v="2025-10-18T00:00:00"/>
    <x v="1"/>
    <m/>
    <n v="5330"/>
    <s v="LPG"/>
    <s v="Bank"/>
    <m/>
  </r>
  <r>
    <d v="2025-10-18T00:00:00"/>
    <x v="5"/>
    <m/>
    <n v="4000"/>
    <m/>
    <s v="Bank"/>
    <m/>
  </r>
  <r>
    <d v="2025-10-18T00:00:00"/>
    <x v="6"/>
    <n v="207475"/>
    <m/>
    <s v="3rd wood"/>
    <s v="Bank"/>
    <m/>
  </r>
  <r>
    <d v="2025-10-18T00:00:00"/>
    <x v="7"/>
    <n v="420"/>
    <m/>
    <m/>
    <s v="Cash"/>
    <m/>
  </r>
  <r>
    <d v="2025-10-18T00:00:00"/>
    <x v="1"/>
    <m/>
    <n v="200000"/>
    <m/>
    <s v="Bank"/>
    <m/>
  </r>
  <r>
    <d v="2025-10-18T00:00:00"/>
    <x v="8"/>
    <n v="3750"/>
    <m/>
    <s v="Saqlain"/>
    <s v="Cash"/>
    <m/>
  </r>
  <r>
    <d v="2025-10-18T00:00:00"/>
    <x v="2"/>
    <n v="17000"/>
    <m/>
    <s v="unloading"/>
    <s v="Cash"/>
    <m/>
  </r>
  <r>
    <d v="2025-10-18T00:00:00"/>
    <x v="6"/>
    <n v="5000"/>
    <m/>
    <s v="unloading"/>
    <s v="Cash"/>
    <m/>
  </r>
  <r>
    <d v="2025-10-18T00:00:00"/>
    <x v="9"/>
    <n v="1000"/>
    <m/>
    <s v="unloading"/>
    <s v="Cash"/>
    <m/>
  </r>
  <r>
    <d v="2025-10-18T00:00:00"/>
    <x v="7"/>
    <n v="1000"/>
    <m/>
    <s v="unloading"/>
    <s v="Cash"/>
    <m/>
  </r>
  <r>
    <d v="2025-10-18T00:00:00"/>
    <x v="10"/>
    <m/>
    <n v="3000"/>
    <s v="unloading left"/>
    <s v="Cash"/>
    <m/>
  </r>
  <r>
    <d v="2025-10-18T00:00:00"/>
    <x v="11"/>
    <m/>
    <n v="415571"/>
    <s v="bill clear"/>
    <s v="Bank"/>
    <m/>
  </r>
  <r>
    <d v="2025-10-18T00:00:00"/>
    <x v="2"/>
    <n v="300000"/>
    <m/>
    <s v="TID:601224"/>
    <s v="Bank"/>
    <m/>
  </r>
  <r>
    <d v="2025-10-18T00:00:00"/>
    <x v="12"/>
    <m/>
    <n v="590170"/>
    <m/>
    <s v="Bank"/>
    <m/>
  </r>
  <r>
    <d v="2025-10-18T00:00:00"/>
    <x v="13"/>
    <n v="300000"/>
    <m/>
    <s v="BSC"/>
    <s v="Bank"/>
    <m/>
  </r>
  <r>
    <d v="2025-10-18T00:00:00"/>
    <x v="1"/>
    <m/>
    <n v="1370"/>
    <s v="looper"/>
    <s v="Bank"/>
    <m/>
  </r>
  <r>
    <d v="2025-10-18T00:00:00"/>
    <x v="14"/>
    <n v="1370"/>
    <m/>
    <s v="looper"/>
    <s v="Bank"/>
    <m/>
  </r>
  <r>
    <d v="2025-10-18T00:00:00"/>
    <x v="1"/>
    <m/>
    <n v="15000"/>
    <s v="boiler"/>
    <s v="Bank"/>
    <m/>
  </r>
  <r>
    <d v="2025-10-18T00:00:00"/>
    <x v="14"/>
    <n v="10000"/>
    <m/>
    <s v="Boiler parts"/>
    <s v="Bank"/>
    <m/>
  </r>
  <r>
    <d v="2025-10-18T00:00:00"/>
    <x v="1"/>
    <m/>
    <n v="10000"/>
    <s v="generator"/>
    <s v="Bank"/>
    <m/>
  </r>
  <r>
    <d v="2025-10-18T00:00:00"/>
    <x v="14"/>
    <n v="10000"/>
    <m/>
    <s v="generator"/>
    <s v="Bank"/>
    <m/>
  </r>
  <r>
    <d v="2025-10-18T00:00:00"/>
    <x v="15"/>
    <n v="162250"/>
    <m/>
    <m/>
    <s v="Bank"/>
    <m/>
  </r>
  <r>
    <d v="2025-10-18T00:00:00"/>
    <x v="1"/>
    <m/>
    <n v="162250"/>
    <s v="Dyes"/>
    <s v="Bank"/>
    <m/>
  </r>
  <r>
    <d v="2025-10-18T00:00:00"/>
    <x v="1"/>
    <m/>
    <n v="23500"/>
    <s v="Bricks//boiler"/>
    <s v="Bank"/>
    <m/>
  </r>
  <r>
    <d v="2025-10-18T00:00:00"/>
    <x v="14"/>
    <n v="23500"/>
    <m/>
    <m/>
    <s v="Bank"/>
    <m/>
  </r>
  <r>
    <d v="2025-10-18T00:00:00"/>
    <x v="5"/>
    <n v="1600"/>
    <m/>
    <m/>
    <s v="Cash"/>
    <m/>
  </r>
  <r>
    <d v="2025-10-18T00:00:00"/>
    <x v="16"/>
    <n v="100000"/>
    <m/>
    <s v="bore pipes//loom"/>
    <s v="Bank"/>
    <m/>
  </r>
  <r>
    <d v="2025-10-20T00:00:00"/>
    <x v="17"/>
    <m/>
    <n v="54825"/>
    <s v="copper sale"/>
    <s v="Cash"/>
    <m/>
  </r>
  <r>
    <d v="2025-10-20T00:00:00"/>
    <x v="17"/>
    <n v="35195"/>
    <m/>
    <s v="copper purchase"/>
    <s v="Cash"/>
    <m/>
  </r>
  <r>
    <d v="2025-10-20T00:00:00"/>
    <x v="4"/>
    <n v="1000"/>
    <m/>
    <s v="petrol//bike"/>
    <s v="Bank"/>
    <m/>
  </r>
  <r>
    <d v="2025-10-20T00:00:00"/>
    <x v="2"/>
    <n v="48800"/>
    <m/>
    <s v="C 8901"/>
    <s v="Bank"/>
    <m/>
  </r>
  <r>
    <d v="2025-10-20T00:00:00"/>
    <x v="2"/>
    <n v="51500"/>
    <m/>
    <s v="SGI 9875"/>
    <s v="Bank"/>
    <m/>
  </r>
  <r>
    <d v="2025-10-20T00:00:00"/>
    <x v="16"/>
    <n v="2600"/>
    <m/>
    <s v="Mazdoor"/>
    <s v="Bank"/>
    <m/>
  </r>
  <r>
    <d v="2025-10-20T00:00:00"/>
    <x v="16"/>
    <n v="6600"/>
    <m/>
    <s v="Mazdoor"/>
    <s v="Bank"/>
    <m/>
  </r>
  <r>
    <d v="2025-10-20T00:00:00"/>
    <x v="8"/>
    <n v="3500"/>
    <m/>
    <s v="Ali raza"/>
    <s v="Cash"/>
    <m/>
  </r>
  <r>
    <d v="2025-10-20T00:00:00"/>
    <x v="18"/>
    <n v="2000"/>
    <m/>
    <s v="zulfiqar sahab advance"/>
    <s v="Cash"/>
    <m/>
  </r>
  <r>
    <d v="2025-10-20T00:00:00"/>
    <x v="16"/>
    <n v="2700"/>
    <m/>
    <s v="boiler//oxy cylinder"/>
    <s v="Cash"/>
    <m/>
  </r>
  <r>
    <d v="2025-10-20T00:00:00"/>
    <x v="8"/>
    <n v="6600"/>
    <m/>
    <s v="Sajid"/>
    <s v="Bank"/>
    <m/>
  </r>
  <r>
    <d v="2025-10-20T00:00:00"/>
    <x v="16"/>
    <n v="13500"/>
    <m/>
    <s v="Kora karaya"/>
    <s v="Bank"/>
    <m/>
  </r>
  <r>
    <d v="2025-10-20T00:00:00"/>
    <x v="7"/>
    <n v="5220"/>
    <m/>
    <s v="bank charges"/>
    <s v="Bank"/>
    <m/>
  </r>
  <r>
    <d v="2025-10-21T00:00:00"/>
    <x v="4"/>
    <n v="5311"/>
    <m/>
    <s v="petrol"/>
    <s v="Bank"/>
    <m/>
  </r>
  <r>
    <d v="2025-10-21T00:00:00"/>
    <x v="14"/>
    <n v="10000"/>
    <m/>
    <s v="clip repair"/>
    <s v="Bank"/>
    <m/>
  </r>
  <r>
    <d v="2025-10-21T00:00:00"/>
    <x v="14"/>
    <n v="700"/>
    <m/>
    <s v="belt"/>
    <s v="Bank"/>
    <m/>
  </r>
  <r>
    <d v="2025-10-21T00:00:00"/>
    <x v="14"/>
    <n v="4100"/>
    <m/>
    <s v="motor wind"/>
    <s v="Bank"/>
    <m/>
  </r>
  <r>
    <d v="2025-10-21T00:00:00"/>
    <x v="7"/>
    <n v="450"/>
    <m/>
    <s v="stationary"/>
    <s v="Bank"/>
    <m/>
  </r>
  <r>
    <d v="2025-10-21T00:00:00"/>
    <x v="2"/>
    <n v="303200"/>
    <m/>
    <s v="TID:670025"/>
    <s v="Bank"/>
    <m/>
  </r>
  <r>
    <d v="2025-10-21T00:00:00"/>
    <x v="1"/>
    <m/>
    <n v="180000"/>
    <s v="Malik zaheer"/>
    <s v="Bank"/>
    <m/>
  </r>
  <r>
    <d v="2025-10-21T00:00:00"/>
    <x v="1"/>
    <m/>
    <n v="12000"/>
    <s v="NP9"/>
    <s v="Bank"/>
    <m/>
  </r>
  <r>
    <d v="2025-10-21T00:00:00"/>
    <x v="19"/>
    <n v="12000"/>
    <m/>
    <s v="NP9"/>
    <s v="Bank"/>
    <m/>
  </r>
  <r>
    <d v="2025-10-21T00:00:00"/>
    <x v="2"/>
    <n v="100000"/>
    <m/>
    <s v="TID:113078"/>
    <s v="Bank"/>
    <m/>
  </r>
  <r>
    <d v="2025-10-21T00:00:00"/>
    <x v="1"/>
    <m/>
    <n v="100000"/>
    <m/>
    <s v="Bank"/>
    <m/>
  </r>
  <r>
    <d v="2025-10-21T00:00:00"/>
    <x v="12"/>
    <m/>
    <n v="62000"/>
    <s v="Bill clear total"/>
    <s v="Cash"/>
    <m/>
  </r>
  <r>
    <d v="2025-10-21T00:00:00"/>
    <x v="16"/>
    <n v="6000"/>
    <m/>
    <s v="mazdoor (5900+100advance)"/>
    <s v="Cash"/>
    <m/>
  </r>
  <r>
    <d v="2025-10-21T00:00:00"/>
    <x v="8"/>
    <n v="13900"/>
    <m/>
    <s v="ghulam mustafa"/>
    <s v="Bank"/>
    <m/>
  </r>
  <r>
    <d v="2025-10-21T00:00:00"/>
    <x v="14"/>
    <n v="6000"/>
    <m/>
    <s v="wheels"/>
    <s v="Bank"/>
    <m/>
  </r>
  <r>
    <d v="2025-10-21T00:00:00"/>
    <x v="1"/>
    <m/>
    <n v="6000"/>
    <s v="wheels"/>
    <s v="Bank"/>
    <m/>
  </r>
  <r>
    <d v="2025-10-21T00:00:00"/>
    <x v="20"/>
    <n v="2503038"/>
    <m/>
    <s v="electric bill//last month"/>
    <s v="Bank"/>
    <m/>
  </r>
  <r>
    <d v="2025-10-21T00:00:00"/>
    <x v="1"/>
    <m/>
    <n v="2503038"/>
    <s v="electric bill//last month"/>
    <s v="Bank"/>
    <m/>
  </r>
  <r>
    <d v="2025-10-21T00:00:00"/>
    <x v="16"/>
    <n v="1500"/>
    <m/>
    <s v="jazz device"/>
    <s v="Bank"/>
    <m/>
  </r>
  <r>
    <d v="2025-10-20T00:00:00"/>
    <x v="5"/>
    <n v="1100"/>
    <m/>
    <s v="food"/>
    <s v="Bank"/>
    <m/>
  </r>
  <r>
    <d v="2025-10-21T00:00:00"/>
    <x v="4"/>
    <n v="1000"/>
    <m/>
    <s v="toll"/>
    <s v="Bank"/>
    <m/>
  </r>
  <r>
    <d v="2025-10-22T00:00:00"/>
    <x v="21"/>
    <m/>
    <n v="200000"/>
    <s v="BAHL"/>
    <s v="Bank"/>
    <m/>
  </r>
  <r>
    <d v="2025-10-22T00:00:00"/>
    <x v="7"/>
    <n v="1000"/>
    <m/>
    <s v="kharcha arhsad"/>
    <s v="Bank"/>
    <m/>
  </r>
  <r>
    <d v="2025-10-22T00:00:00"/>
    <x v="16"/>
    <n v="5900"/>
    <m/>
    <s v="Baans"/>
    <s v="Bank"/>
    <m/>
  </r>
  <r>
    <d v="2025-10-22T00:00:00"/>
    <x v="3"/>
    <n v="1000"/>
    <m/>
    <s v="atiq ur rehman"/>
    <s v="Bank"/>
    <m/>
  </r>
  <r>
    <d v="2025-10-22T00:00:00"/>
    <x v="14"/>
    <n v="25000"/>
    <m/>
    <s v="clip repair"/>
    <s v="Bank"/>
    <m/>
  </r>
  <r>
    <d v="2025-10-22T00:00:00"/>
    <x v="8"/>
    <n v="3000"/>
    <m/>
    <s v="haseen khan"/>
    <s v="Cash"/>
    <m/>
  </r>
  <r>
    <d v="2025-10-22T00:00:00"/>
    <x v="7"/>
    <n v="800"/>
    <m/>
    <s v="package"/>
    <s v="Bank"/>
    <m/>
  </r>
  <r>
    <d v="2025-10-22T00:00:00"/>
    <x v="21"/>
    <m/>
    <n v="100000"/>
    <s v="BAHL"/>
    <s v="Bank"/>
    <m/>
  </r>
  <r>
    <d v="2025-10-22T00:00:00"/>
    <x v="21"/>
    <m/>
    <n v="150000"/>
    <s v="BAHL"/>
    <s v="Bank"/>
    <m/>
  </r>
  <r>
    <d v="2025-10-22T00:00:00"/>
    <x v="2"/>
    <n v="150000"/>
    <m/>
    <s v="BAHL"/>
    <s v="Bank"/>
    <m/>
  </r>
  <r>
    <d v="2025-10-22T00:00:00"/>
    <x v="6"/>
    <n v="244675"/>
    <m/>
    <s v="BAHL"/>
    <s v="Bank"/>
    <m/>
  </r>
  <r>
    <d v="2025-10-22T00:00:00"/>
    <x v="14"/>
    <n v="3310"/>
    <m/>
    <s v="bolts"/>
    <s v="Bank"/>
    <m/>
  </r>
  <r>
    <d v="2025-10-22T00:00:00"/>
    <x v="1"/>
    <m/>
    <n v="1600"/>
    <s v="oil"/>
    <s v="Bank"/>
    <m/>
  </r>
  <r>
    <d v="2025-10-22T00:00:00"/>
    <x v="16"/>
    <n v="3000"/>
    <m/>
    <s v="mazdoor"/>
    <s v="Cash"/>
    <m/>
  </r>
  <r>
    <d v="2025-10-22T00:00:00"/>
    <x v="4"/>
    <n v="1600"/>
    <m/>
    <s v="oil"/>
    <s v="Bank"/>
    <m/>
  </r>
  <r>
    <d v="2025-10-23T00:00:00"/>
    <x v="2"/>
    <n v="45250"/>
    <m/>
    <s v="LXT 8141"/>
    <s v="Bank"/>
    <m/>
  </r>
  <r>
    <d v="2025-10-23T00:00:00"/>
    <x v="4"/>
    <n v="1000"/>
    <m/>
    <s v="toll"/>
    <s v="Cash"/>
    <m/>
  </r>
  <r>
    <d v="2025-10-23T00:00:00"/>
    <x v="21"/>
    <m/>
    <n v="160934"/>
    <s v="BAHL"/>
    <s v="Bank"/>
    <m/>
  </r>
  <r>
    <d v="2025-10-23T00:00:00"/>
    <x v="21"/>
    <m/>
    <n v="176300"/>
    <s v="BSC kaprra adjust"/>
    <s v="Bank"/>
    <m/>
  </r>
  <r>
    <d v="2025-10-23T00:00:00"/>
    <x v="18"/>
    <n v="25000"/>
    <m/>
    <s v="zulfiqar sahab advance"/>
    <s v="Cash"/>
    <m/>
  </r>
  <r>
    <d v="2025-10-23T00:00:00"/>
    <x v="3"/>
    <n v="5000"/>
    <m/>
    <s v="afzaal hussein"/>
    <s v="Cash"/>
    <m/>
  </r>
  <r>
    <d v="2025-10-23T00:00:00"/>
    <x v="22"/>
    <n v="18245"/>
    <m/>
    <s v="8 days"/>
    <s v="Bank"/>
    <m/>
  </r>
  <r>
    <d v="2025-10-23T00:00:00"/>
    <x v="14"/>
    <n v="7450"/>
    <m/>
    <s v="bearings"/>
    <s v="Bank"/>
    <m/>
  </r>
  <r>
    <d v="2025-10-23T00:00:00"/>
    <x v="14"/>
    <n v="2100"/>
    <m/>
    <s v="bulbs"/>
    <s v="Bank"/>
    <m/>
  </r>
  <r>
    <d v="2025-10-23T00:00:00"/>
    <x v="2"/>
    <n v="250000"/>
    <m/>
    <s v="TID:525299"/>
    <s v="Bank"/>
    <m/>
  </r>
  <r>
    <d v="2025-10-23T00:00:00"/>
    <x v="16"/>
    <n v="3500"/>
    <m/>
    <s v="mazdoor"/>
    <s v="Cash"/>
    <m/>
  </r>
  <r>
    <d v="2025-10-23T00:00:00"/>
    <x v="10"/>
    <n v="5000"/>
    <m/>
    <s v="khalid sahab clinic"/>
    <s v="Cash"/>
    <m/>
  </r>
  <r>
    <d v="2025-10-23T00:00:00"/>
    <x v="7"/>
    <n v="300"/>
    <m/>
    <s v="clip karaya"/>
    <s v="Bank"/>
    <m/>
  </r>
  <r>
    <d v="2025-10-24T00:00:00"/>
    <x v="4"/>
    <n v="5311"/>
    <m/>
    <s v="petrol"/>
    <s v="Cash"/>
    <m/>
  </r>
  <r>
    <d v="2025-10-24T00:00:00"/>
    <x v="4"/>
    <n v="1800"/>
    <m/>
    <s v="headlights"/>
    <s v="Bank"/>
    <m/>
  </r>
  <r>
    <d v="2025-10-24T00:00:00"/>
    <x v="14"/>
    <n v="30000"/>
    <m/>
    <s v="folding repair"/>
    <s v="Bank"/>
    <m/>
  </r>
  <r>
    <d v="2025-10-24T00:00:00"/>
    <x v="1"/>
    <m/>
    <n v="30000"/>
    <s v="folding repair"/>
    <s v="Bank"/>
    <m/>
  </r>
  <r>
    <d v="2025-10-24T00:00:00"/>
    <x v="8"/>
    <n v="5000"/>
    <m/>
    <s v="Master Tanveer"/>
    <s v="Bank"/>
    <m/>
  </r>
  <r>
    <d v="2025-10-24T00:00:00"/>
    <x v="14"/>
    <n v="6600"/>
    <m/>
    <s v="tahir"/>
    <s v="Bank"/>
    <m/>
  </r>
  <r>
    <d v="2025-10-24T00:00:00"/>
    <x v="14"/>
    <n v="3500"/>
    <m/>
    <s v="bearings small"/>
    <s v="Bank"/>
    <m/>
  </r>
  <r>
    <d v="2025-10-24T00:00:00"/>
    <x v="14"/>
    <n v="800"/>
    <m/>
    <s v="spoons"/>
    <s v="Bank"/>
    <m/>
  </r>
  <r>
    <d v="2025-10-24T00:00:00"/>
    <x v="14"/>
    <n v="1000"/>
    <m/>
    <s v="dye bags"/>
    <s v="Bank"/>
    <m/>
  </r>
  <r>
    <d v="2025-10-24T00:00:00"/>
    <x v="1"/>
    <m/>
    <n v="10500"/>
    <m/>
    <s v="Bank"/>
    <m/>
  </r>
  <r>
    <d v="2025-10-24T00:00:00"/>
    <x v="14"/>
    <n v="10500"/>
    <m/>
    <s v="parts"/>
    <s v="Bank"/>
    <m/>
  </r>
  <r>
    <d v="2025-10-24T00:00:00"/>
    <x v="23"/>
    <m/>
    <n v="98000"/>
    <s v="TID:247528"/>
    <s v="Bank"/>
    <m/>
  </r>
  <r>
    <d v="2025-10-24T00:00:00"/>
    <x v="24"/>
    <n v="250000"/>
    <m/>
    <s v="TID:409607"/>
    <s v="Bank"/>
    <m/>
  </r>
  <r>
    <d v="2025-10-24T00:00:00"/>
    <x v="1"/>
    <m/>
    <n v="250000"/>
    <s v="chain Acc"/>
    <s v="Bank"/>
    <m/>
  </r>
  <r>
    <d v="2025-10-24T00:00:00"/>
    <x v="2"/>
    <n v="52060"/>
    <m/>
    <s v="RPT 5560"/>
    <s v="Bank"/>
    <m/>
  </r>
  <r>
    <d v="2025-10-24T00:00:00"/>
    <x v="1"/>
    <m/>
    <n v="200000"/>
    <s v="BAHL"/>
    <s v="Bank"/>
    <m/>
  </r>
  <r>
    <d v="2025-10-24T00:00:00"/>
    <x v="2"/>
    <n v="200000"/>
    <m/>
    <s v="BAHL"/>
    <s v="Bank"/>
    <m/>
  </r>
  <r>
    <d v="2025-10-25T00:00:00"/>
    <x v="5"/>
    <n v="600"/>
    <m/>
    <m/>
    <s v="Bank"/>
    <m/>
  </r>
  <r>
    <d v="2025-10-25T00:00:00"/>
    <x v="7"/>
    <n v="1420"/>
    <m/>
    <m/>
    <s v="Cash"/>
    <m/>
  </r>
  <r>
    <d v="2025-10-25T00:00:00"/>
    <x v="2"/>
    <n v="50000"/>
    <m/>
    <s v="266 mann"/>
    <s v="Bank"/>
    <m/>
  </r>
  <r>
    <d v="2025-10-25T00:00:00"/>
    <x v="25"/>
    <m/>
    <m/>
    <m/>
    <m/>
    <m/>
  </r>
  <r>
    <d v="2025-10-25T00:00:00"/>
    <x v="1"/>
    <m/>
    <n v="100000"/>
    <s v="TID:511418"/>
    <s v="Bank"/>
    <m/>
  </r>
  <r>
    <d v="2025-10-25T00:00:00"/>
    <x v="22"/>
    <n v="20000"/>
    <m/>
    <s v="Atta 10bags"/>
    <s v="Bank"/>
    <m/>
  </r>
  <r>
    <d v="2025-10-25T00:00:00"/>
    <x v="26"/>
    <m/>
    <n v="179000"/>
    <m/>
    <s v="Bank"/>
    <m/>
  </r>
  <r>
    <d v="2025-10-25T00:00:00"/>
    <x v="2"/>
    <n v="72900"/>
    <m/>
    <s v="TAT 098"/>
    <s v="Bank"/>
    <m/>
  </r>
  <r>
    <d v="2025-10-25T00:00:00"/>
    <x v="18"/>
    <n v="15000"/>
    <m/>
    <s v="zulfiqar sahab advance"/>
    <s v="Bank"/>
    <m/>
  </r>
  <r>
    <d v="2025-10-25T00:00:00"/>
    <x v="27"/>
    <n v="100000"/>
    <m/>
    <s v="wood"/>
    <s v="Bank"/>
    <m/>
  </r>
  <r>
    <d v="2025-10-25T00:00:00"/>
    <x v="16"/>
    <n v="5600"/>
    <m/>
    <s v="Mazdoor"/>
    <s v="Cash"/>
    <m/>
  </r>
  <r>
    <d v="2025-10-25T00:00:00"/>
    <x v="7"/>
    <n v="420"/>
    <m/>
    <s v="chai"/>
    <s v="Cash"/>
    <m/>
  </r>
  <r>
    <d v="2025-10-25T00:00:00"/>
    <x v="8"/>
    <m/>
    <m/>
    <s v="Sajid"/>
    <s v="Cash"/>
    <m/>
  </r>
  <r>
    <d v="2025-10-25T00:00:00"/>
    <x v="28"/>
    <m/>
    <n v="400000"/>
    <m/>
    <s v="Bank"/>
    <m/>
  </r>
  <r>
    <d v="2025-10-25T00:00:00"/>
    <x v="13"/>
    <n v="100000"/>
    <m/>
    <m/>
    <s v="Bank"/>
    <m/>
  </r>
  <r>
    <d v="2025-10-25T00:00:00"/>
    <x v="2"/>
    <n v="204021"/>
    <m/>
    <s v="TID:534706"/>
    <s v="Bank"/>
    <m/>
  </r>
  <r>
    <d v="2025-10-25T00:00:00"/>
    <x v="14"/>
    <n v="20000"/>
    <m/>
    <s v="clips advance"/>
    <s v="Bank"/>
    <m/>
  </r>
  <r>
    <d v="2025-10-26T00:00:00"/>
    <x v="12"/>
    <m/>
    <n v="414511"/>
    <m/>
    <s v="Bank"/>
    <m/>
  </r>
  <r>
    <d v="2025-10-26T00:00:00"/>
    <x v="2"/>
    <n v="53700"/>
    <m/>
    <s v="CAR 6957"/>
    <s v="Bank"/>
    <m/>
  </r>
  <r>
    <d v="2025-10-26T00:00:00"/>
    <x v="2"/>
    <n v="76850"/>
    <m/>
    <s v="TKL 364"/>
    <s v="Bank"/>
    <m/>
  </r>
  <r>
    <d v="2025-10-26T00:00:00"/>
    <x v="7"/>
    <n v="2600"/>
    <m/>
    <s v="package device"/>
    <s v="Bank"/>
    <m/>
  </r>
  <r>
    <d v="2025-10-26T00:00:00"/>
    <x v="8"/>
    <m/>
    <m/>
    <s v="5000 khalid sahab"/>
    <s v="Bank"/>
    <m/>
  </r>
  <r>
    <d v="2025-10-26T00:00:00"/>
    <x v="14"/>
    <n v="20000"/>
    <m/>
    <s v="clips advance"/>
    <s v="Bank"/>
    <m/>
  </r>
  <r>
    <d v="2025-10-26T00:00:00"/>
    <x v="29"/>
    <n v="80000"/>
    <m/>
    <s v="sajad khan (100000)"/>
    <s v="Bank"/>
    <m/>
  </r>
  <r>
    <d v="2025-10-26T00:00:00"/>
    <x v="30"/>
    <m/>
    <n v="300000"/>
    <s v="cheque"/>
    <s v="Bank"/>
    <m/>
  </r>
  <r>
    <d v="2025-10-26T00:00:00"/>
    <x v="29"/>
    <n v="300000"/>
    <m/>
    <s v="amjad sohail cheque"/>
    <s v="Bank"/>
    <m/>
  </r>
  <r>
    <d v="2025-10-27T00:00:00"/>
    <x v="8"/>
    <m/>
    <m/>
    <s v="mubashir"/>
    <s v="Bank"/>
    <m/>
  </r>
  <r>
    <d v="2025-10-27T00:00:00"/>
    <x v="8"/>
    <m/>
    <m/>
    <s v="khalid sahab"/>
    <s v="Bank"/>
    <m/>
  </r>
  <r>
    <d v="2025-10-27T00:00:00"/>
    <x v="2"/>
    <n v="45335"/>
    <m/>
    <s v="E 9399"/>
    <s v="Bank"/>
    <m/>
  </r>
  <r>
    <d v="2025-10-27T00:00:00"/>
    <x v="31"/>
    <n v="353250"/>
    <m/>
    <s v="starch"/>
    <s v="Bank"/>
    <m/>
  </r>
  <r>
    <d v="2025-10-27T00:00:00"/>
    <x v="32"/>
    <m/>
    <n v="256200"/>
    <s v="Sohaib shamsi"/>
    <s v="Bank"/>
    <m/>
  </r>
  <r>
    <d v="2025-10-27T00:00:00"/>
    <x v="33"/>
    <m/>
    <n v="95000"/>
    <m/>
    <s v="Bank"/>
    <m/>
  </r>
  <r>
    <d v="2025-10-27T00:00:00"/>
    <x v="16"/>
    <m/>
    <n v="2050"/>
    <s v="353250 poora"/>
    <s v="Bank"/>
    <m/>
  </r>
  <r>
    <d v="2025-10-26T00:00:00"/>
    <x v="16"/>
    <n v="3000"/>
    <m/>
    <s v="food/home"/>
    <s v="Bank"/>
    <m/>
  </r>
  <r>
    <d v="2025-10-27T00:00:00"/>
    <x v="14"/>
    <n v="3300"/>
    <m/>
    <m/>
    <s v="Bank"/>
    <m/>
  </r>
  <r>
    <d v="2025-10-27T00:00:00"/>
    <x v="14"/>
    <n v="13750"/>
    <m/>
    <m/>
    <s v="Bank"/>
    <m/>
  </r>
  <r>
    <d v="2025-10-27T00:00:00"/>
    <x v="14"/>
    <n v="5500"/>
    <m/>
    <m/>
    <s v="Bank"/>
    <m/>
  </r>
  <r>
    <d v="2025-10-27T00:00:00"/>
    <x v="8"/>
    <n v="5000"/>
    <m/>
    <s v="Master Tanveer"/>
    <s v="Bank"/>
    <m/>
  </r>
  <r>
    <d v="2025-10-27T00:00:00"/>
    <x v="5"/>
    <n v="500"/>
    <m/>
    <m/>
    <s v="Cash"/>
    <m/>
  </r>
  <r>
    <d v="2025-10-28T00:00:00"/>
    <x v="34"/>
    <m/>
    <n v="1000000"/>
    <s v="695k cash+ 305 transfer"/>
    <s v="Bank"/>
    <m/>
  </r>
  <r>
    <d v="2025-10-28T00:00:00"/>
    <x v="2"/>
    <n v="350000"/>
    <m/>
    <s v="TID:773769"/>
    <s v="Bank"/>
    <m/>
  </r>
  <r>
    <d v="2025-10-28T00:00:00"/>
    <x v="2"/>
    <n v="49850"/>
    <m/>
    <s v="SGI 9875"/>
    <s v="Bank"/>
    <m/>
  </r>
  <r>
    <d v="2025-10-28T00:00:00"/>
    <x v="4"/>
    <n v="2000"/>
    <m/>
    <s v="M tag"/>
    <s v="Bank"/>
    <m/>
  </r>
  <r>
    <d v="2025-10-28T00:00:00"/>
    <x v="14"/>
    <n v="1200"/>
    <m/>
    <s v="Screws"/>
    <s v="Bank"/>
    <m/>
  </r>
  <r>
    <d v="2025-10-28T00:00:00"/>
    <x v="7"/>
    <n v="180"/>
    <m/>
    <s v="bottles"/>
    <s v="Bank"/>
    <m/>
  </r>
  <r>
    <d v="2025-10-28T00:00:00"/>
    <x v="3"/>
    <n v="10000"/>
    <m/>
    <s v="boiler theka"/>
    <s v="Bank"/>
    <m/>
  </r>
  <r>
    <d v="2025-10-28T00:00:00"/>
    <x v="35"/>
    <m/>
    <n v="140000"/>
    <m/>
    <s v="Bank"/>
    <m/>
  </r>
  <r>
    <d v="2025-10-28T00:00:00"/>
    <x v="8"/>
    <n v="25000"/>
    <m/>
    <s v="Master Tanveer"/>
    <s v="Bank"/>
    <m/>
  </r>
  <r>
    <d v="2025-10-28T00:00:00"/>
    <x v="3"/>
    <n v="1500"/>
    <m/>
    <s v="Qadeer Driver"/>
    <s v="Bank"/>
    <m/>
  </r>
  <r>
    <d v="2025-10-29T00:00:00"/>
    <x v="4"/>
    <n v="5303"/>
    <m/>
    <s v="petrol"/>
    <s v="Bank"/>
    <m/>
  </r>
  <r>
    <d v="2025-10-29T00:00:00"/>
    <x v="4"/>
    <n v="1000"/>
    <m/>
    <s v="car kharcha"/>
    <s v="Bank"/>
    <m/>
  </r>
  <r>
    <d v="2025-10-29T00:00:00"/>
    <x v="14"/>
    <n v="2700"/>
    <m/>
    <s v="oxygen cylinder"/>
    <s v="Bank"/>
    <m/>
  </r>
  <r>
    <d v="2025-10-29T00:00:00"/>
    <x v="4"/>
    <n v="1000"/>
    <m/>
    <s v="toll"/>
    <s v="Cash"/>
    <m/>
  </r>
  <r>
    <d v="2025-10-29T00:00:00"/>
    <x v="14"/>
    <n v="2340"/>
    <m/>
    <m/>
    <s v="Bank"/>
    <m/>
  </r>
  <r>
    <d v="2025-10-29T00:00:00"/>
    <x v="2"/>
    <n v="48850"/>
    <m/>
    <s v="301 Mann"/>
    <s v="Bank"/>
    <m/>
  </r>
  <r>
    <d v="2025-10-29T00:00:00"/>
    <x v="2"/>
    <n v="35000"/>
    <m/>
    <s v="137 mann"/>
    <s v="Bank"/>
    <m/>
  </r>
  <r>
    <d v="2025-10-29T00:00:00"/>
    <x v="16"/>
    <n v="2640"/>
    <m/>
    <s v="KFC home"/>
    <s v="Bank"/>
    <m/>
  </r>
  <r>
    <d v="2025-10-29T00:00:00"/>
    <x v="16"/>
    <n v="1000"/>
    <m/>
    <s v="juices etc"/>
    <s v="Bank"/>
    <m/>
  </r>
  <r>
    <d v="2025-10-29T00:00:00"/>
    <x v="7"/>
    <n v="1000"/>
    <m/>
    <s v="challan-omer"/>
    <s v="Bank"/>
    <m/>
  </r>
  <r>
    <d v="2025-10-29T00:00:00"/>
    <x v="35"/>
    <m/>
    <n v="160000"/>
    <m/>
    <s v="Bank"/>
    <m/>
  </r>
  <r>
    <d v="2025-10-29T00:00:00"/>
    <x v="34"/>
    <m/>
    <n v="500000"/>
    <s v="189+100+50+*169*"/>
    <s v="Bank"/>
    <m/>
  </r>
  <r>
    <d v="2025-10-29T00:00:00"/>
    <x v="29"/>
    <n v="169000"/>
    <m/>
    <s v="169k (sufi)"/>
    <s v="Bank"/>
    <m/>
  </r>
  <r>
    <d v="2025-10-29T00:00:00"/>
    <x v="35"/>
    <m/>
    <n v="200000"/>
    <s v="500k poora"/>
    <s v="Bank"/>
    <m/>
  </r>
  <r>
    <d v="2025-10-29T00:00:00"/>
    <x v="29"/>
    <n v="200000"/>
    <m/>
    <m/>
    <s v="Bank"/>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44D32CB-E765-4B1C-8CB9-BD089352B637}" name="PivotTable1" cacheId="4"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X56:Z74" firstHeaderRow="0" firstDataRow="1" firstDataCol="1"/>
  <pivotFields count="4">
    <pivotField axis="axisRow" showAll="0" includeNewItemsInFilter="1">
      <items count="19">
        <item x="0"/>
        <item x="1"/>
        <item x="2"/>
        <item x="3"/>
        <item x="4"/>
        <item x="5"/>
        <item x="6"/>
        <item x="7"/>
        <item x="8"/>
        <item x="9"/>
        <item x="10"/>
        <item x="11"/>
        <item x="12"/>
        <item x="13"/>
        <item x="14"/>
        <item x="15"/>
        <item m="1" x="17"/>
        <item x="16"/>
        <item t="default"/>
      </items>
    </pivotField>
    <pivotField dataField="1" showAll="0"/>
    <pivotField showAll="0"/>
    <pivotField dataField="1" showAll="0"/>
  </pivotFields>
  <rowFields count="1">
    <field x="0"/>
  </rowFields>
  <rowItems count="18">
    <i>
      <x/>
    </i>
    <i>
      <x v="1"/>
    </i>
    <i>
      <x v="2"/>
    </i>
    <i>
      <x v="3"/>
    </i>
    <i>
      <x v="4"/>
    </i>
    <i>
      <x v="5"/>
    </i>
    <i>
      <x v="6"/>
    </i>
    <i>
      <x v="7"/>
    </i>
    <i>
      <x v="8"/>
    </i>
    <i>
      <x v="9"/>
    </i>
    <i>
      <x v="10"/>
    </i>
    <i>
      <x v="11"/>
    </i>
    <i>
      <x v="12"/>
    </i>
    <i>
      <x v="13"/>
    </i>
    <i>
      <x v="14"/>
    </i>
    <i>
      <x v="15"/>
    </i>
    <i>
      <x v="17"/>
    </i>
    <i t="grand">
      <x/>
    </i>
  </rowItems>
  <colFields count="1">
    <field x="-2"/>
  </colFields>
  <colItems count="2">
    <i>
      <x/>
    </i>
    <i i="1">
      <x v="1"/>
    </i>
  </colItems>
  <dataFields count="2">
    <dataField name="Sum of Tiyaar" fld="1" baseField="0" baseItem="0"/>
    <dataField name="Sum of Total" fld="3" baseField="0" baseItem="0"/>
  </dataFields>
  <formats count="4">
    <format dxfId="127">
      <pivotArea field="0" grandRow="1" outline="0" collapsedLevelsAreSubtotals="1" axis="axisRow" fieldPosition="0">
        <references count="1">
          <reference field="4294967294" count="1" selected="0">
            <x v="1"/>
          </reference>
        </references>
      </pivotArea>
    </format>
    <format dxfId="126">
      <pivotArea field="0" grandRow="1" outline="0" collapsedLevelsAreSubtotals="1" axis="axisRow" fieldPosition="0">
        <references count="1">
          <reference field="4294967294" count="1" selected="0">
            <x v="0"/>
          </reference>
        </references>
      </pivotArea>
    </format>
    <format dxfId="125">
      <pivotArea collapsedLevelsAreSubtotals="1" fieldPosition="0">
        <references count="2">
          <reference field="4294967294" count="1" selected="0">
            <x v="1"/>
          </reference>
          <reference field="0" count="0"/>
        </references>
      </pivotArea>
    </format>
    <format dxfId="124">
      <pivotArea collapsedLevelsAreSubtotals="1" fieldPosition="0">
        <references count="2">
          <reference field="4294967294" count="1" selected="0">
            <x v="0"/>
          </reference>
          <reference field="0"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AF80067-C0F6-464A-918D-8D015F3C13D1}" name="PivotTable2"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I122:K135" firstHeaderRow="0" firstDataRow="1" firstDataCol="1"/>
  <pivotFields count="14">
    <pivotField axis="axisRow" numFmtId="14" showAll="0">
      <items count="80">
        <item m="1" x="63"/>
        <item m="1" x="64"/>
        <item m="1" x="65"/>
        <item m="1" x="66"/>
        <item m="1" x="67"/>
        <item m="1" x="68"/>
        <item m="1" x="78"/>
        <item m="1" x="69"/>
        <item m="1" x="70"/>
        <item m="1" x="71"/>
        <item m="1" x="72"/>
        <item m="1" x="73"/>
        <item m="1" x="74"/>
        <item m="1" x="75"/>
        <item m="1" x="76"/>
        <item m="1" x="77"/>
        <item m="1" x="40"/>
        <item m="1" x="39"/>
        <item m="1" x="34"/>
        <item m="1" x="41"/>
        <item m="1" x="42"/>
        <item m="1" x="43"/>
        <item m="1" x="44"/>
        <item m="1" x="45"/>
        <item m="1" x="46"/>
        <item m="1" x="47"/>
        <item m="1" x="48"/>
        <item m="1" x="49"/>
        <item m="1" x="50"/>
        <item m="1" x="51"/>
        <item m="1" x="52"/>
        <item m="1" x="53"/>
        <item m="1" x="54"/>
        <item m="1" x="55"/>
        <item m="1" x="56"/>
        <item m="1" x="57"/>
        <item m="1" x="58"/>
        <item m="1" x="59"/>
        <item m="1" x="60"/>
        <item m="1" x="61"/>
        <item m="1" x="62"/>
        <item m="1" x="12"/>
        <item m="1" x="13"/>
        <item m="1" x="14"/>
        <item m="1" x="15"/>
        <item m="1" x="16"/>
        <item m="1" x="17"/>
        <item m="1" x="18"/>
        <item m="1" x="19"/>
        <item m="1" x="20"/>
        <item m="1" x="21"/>
        <item m="1" x="22"/>
        <item m="1" x="23"/>
        <item m="1" x="24"/>
        <item m="1" x="25"/>
        <item m="1" x="35"/>
        <item m="1" x="26"/>
        <item m="1" x="27"/>
        <item m="1" x="36"/>
        <item m="1" x="28"/>
        <item m="1" x="29"/>
        <item m="1" x="30"/>
        <item m="1" x="37"/>
        <item m="1" x="38"/>
        <item m="1" x="31"/>
        <item m="1" x="32"/>
        <item m="1" x="33"/>
        <item x="0"/>
        <item x="1"/>
        <item x="2"/>
        <item x="3"/>
        <item x="4"/>
        <item x="5"/>
        <item x="6"/>
        <item x="7"/>
        <item x="8"/>
        <item x="9"/>
        <item x="10"/>
        <item x="11"/>
        <item t="default"/>
      </items>
    </pivotField>
    <pivotField showAll="0"/>
    <pivotField showAll="0"/>
    <pivotField showAll="0"/>
    <pivotField showAll="0"/>
    <pivotField showAll="0"/>
    <pivotField numFmtId="164" showAll="0"/>
    <pivotField showAll="0"/>
    <pivotField dataField="1" numFmtId="165" showAll="0"/>
    <pivotField dataField="1" numFmtId="165" showAll="0"/>
    <pivotField showAll="0"/>
    <pivotField dragToRow="0" dragToCol="0" dragToPage="0" showAll="0" defaultSubtotal="0"/>
    <pivotField dragToRow="0" dragToCol="0" dragToPage="0" showAll="0" defaultSubtotal="0"/>
    <pivotField dragToRow="0" dragToCol="0" dragToPage="0" showAll="0" defaultSubtotal="0"/>
  </pivotFields>
  <rowFields count="1">
    <field x="0"/>
  </rowFields>
  <rowItems count="13">
    <i>
      <x v="67"/>
    </i>
    <i>
      <x v="68"/>
    </i>
    <i>
      <x v="69"/>
    </i>
    <i>
      <x v="70"/>
    </i>
    <i>
      <x v="71"/>
    </i>
    <i>
      <x v="72"/>
    </i>
    <i>
      <x v="73"/>
    </i>
    <i>
      <x v="74"/>
    </i>
    <i>
      <x v="75"/>
    </i>
    <i>
      <x v="76"/>
    </i>
    <i>
      <x v="77"/>
    </i>
    <i>
      <x v="78"/>
    </i>
    <i t="grand">
      <x/>
    </i>
  </rowItems>
  <colFields count="1">
    <field x="-2"/>
  </colFields>
  <colItems count="2">
    <i>
      <x/>
    </i>
    <i i="1">
      <x v="1"/>
    </i>
  </colItems>
  <dataFields count="2">
    <dataField name="Sum of tiyar/meters" fld="8" baseField="0" baseItem="0" numFmtId="165"/>
    <dataField name="Sum of billing" fld="9" baseField="0" baseItem="0" numFmtId="164"/>
  </dataFields>
  <formats count="1">
    <format dxfId="103">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A55365D-3B4E-4711-A8D8-6B7EF497ABAB}"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fieldListSortAscending="1">
  <location ref="D122:G167" firstHeaderRow="0" firstDataRow="1" firstDataCol="1" rowPageCount="3" colPageCount="1"/>
  <pivotFields count="14">
    <pivotField axis="axisPage" showAll="0">
      <items count="80">
        <item m="1" x="63"/>
        <item m="1" x="64"/>
        <item m="1" x="65"/>
        <item m="1" x="66"/>
        <item m="1" x="67"/>
        <item m="1" x="68"/>
        <item m="1" x="78"/>
        <item m="1" x="69"/>
        <item m="1" x="70"/>
        <item m="1" x="71"/>
        <item m="1" x="72"/>
        <item m="1" x="73"/>
        <item m="1" x="74"/>
        <item m="1" x="75"/>
        <item m="1" x="76"/>
        <item m="1" x="77"/>
        <item m="1" x="40"/>
        <item m="1" x="39"/>
        <item m="1" x="34"/>
        <item m="1" x="41"/>
        <item m="1" x="42"/>
        <item m="1" x="43"/>
        <item m="1" x="44"/>
        <item m="1" x="45"/>
        <item m="1" x="46"/>
        <item m="1" x="47"/>
        <item m="1" x="48"/>
        <item m="1" x="49"/>
        <item m="1" x="50"/>
        <item m="1" x="51"/>
        <item m="1" x="52"/>
        <item m="1" x="53"/>
        <item m="1" x="54"/>
        <item m="1" x="55"/>
        <item m="1" x="56"/>
        <item m="1" x="57"/>
        <item m="1" x="58"/>
        <item m="1" x="59"/>
        <item m="1" x="60"/>
        <item m="1" x="61"/>
        <item m="1" x="62"/>
        <item m="1" x="12"/>
        <item m="1" x="13"/>
        <item m="1" x="14"/>
        <item m="1" x="15"/>
        <item m="1" x="16"/>
        <item m="1" x="17"/>
        <item m="1" x="18"/>
        <item m="1" x="19"/>
        <item m="1" x="20"/>
        <item m="1" x="21"/>
        <item m="1" x="22"/>
        <item m="1" x="23"/>
        <item m="1" x="24"/>
        <item m="1" x="25"/>
        <item m="1" x="35"/>
        <item m="1" x="26"/>
        <item m="1" x="27"/>
        <item m="1" x="36"/>
        <item m="1" x="28"/>
        <item m="1" x="29"/>
        <item m="1" x="30"/>
        <item m="1" x="37"/>
        <item m="1" x="38"/>
        <item m="1" x="31"/>
        <item m="1" x="32"/>
        <item m="1" x="33"/>
        <item x="0"/>
        <item x="1"/>
        <item x="2"/>
        <item x="3"/>
        <item x="4"/>
        <item x="5"/>
        <item x="6"/>
        <item x="7"/>
        <item x="8"/>
        <item x="9"/>
        <item x="10"/>
        <item x="11"/>
        <item t="default"/>
      </items>
    </pivotField>
    <pivotField axis="axisPage" multipleItemSelectionAllowed="1" showAll="0">
      <items count="27">
        <item x="2"/>
        <item x="0"/>
        <item m="1" x="25"/>
        <item x="6"/>
        <item m="1" x="24"/>
        <item m="1" x="23"/>
        <item m="1" x="22"/>
        <item x="1"/>
        <item x="3"/>
        <item m="1" x="21"/>
        <item x="4"/>
        <item m="1" x="20"/>
        <item m="1" x="19"/>
        <item x="5"/>
        <item x="10"/>
        <item x="8"/>
        <item x="9"/>
        <item x="7"/>
        <item x="11"/>
        <item x="12"/>
        <item x="13"/>
        <item x="14"/>
        <item x="15"/>
        <item x="16"/>
        <item x="17"/>
        <item x="18"/>
        <item t="default"/>
      </items>
    </pivotField>
    <pivotField axis="axisRow" numFmtId="164" showAll="0">
      <items count="411">
        <item m="1" x="362"/>
        <item m="1" x="363"/>
        <item m="1" x="364"/>
        <item m="1" x="365"/>
        <item m="1" x="366"/>
        <item m="1" x="367"/>
        <item m="1" x="368"/>
        <item m="1" x="369"/>
        <item m="1" x="370"/>
        <item m="1" x="371"/>
        <item m="1" x="372"/>
        <item m="1" x="373"/>
        <item m="1" x="374"/>
        <item m="1" x="375"/>
        <item m="1" x="376"/>
        <item m="1" x="377"/>
        <item m="1" x="378"/>
        <item m="1" x="379"/>
        <item m="1" x="380"/>
        <item m="1" x="381"/>
        <item m="1" x="382"/>
        <item m="1" x="383"/>
        <item m="1" x="384"/>
        <item m="1" x="385"/>
        <item m="1" x="386"/>
        <item m="1" x="387"/>
        <item m="1" x="388"/>
        <item m="1" x="389"/>
        <item m="1" x="390"/>
        <item m="1" x="391"/>
        <item m="1" x="392"/>
        <item m="1" x="393"/>
        <item m="1" x="394"/>
        <item m="1" x="395"/>
        <item m="1" x="396"/>
        <item m="1" x="397"/>
        <item m="1" x="398"/>
        <item m="1" x="399"/>
        <item m="1" x="400"/>
        <item m="1" x="401"/>
        <item m="1" x="402"/>
        <item m="1" x="403"/>
        <item m="1" x="404"/>
        <item m="1" x="405"/>
        <item m="1" x="406"/>
        <item m="1" x="407"/>
        <item m="1" x="408"/>
        <item m="1" x="409"/>
        <item m="1" x="300"/>
        <item m="1" x="301"/>
        <item m="1" x="302"/>
        <item m="1" x="303"/>
        <item m="1" x="304"/>
        <item m="1" x="305"/>
        <item m="1" x="306"/>
        <item m="1" x="307"/>
        <item m="1" x="308"/>
        <item m="1" x="309"/>
        <item m="1" x="310"/>
        <item m="1" x="311"/>
        <item m="1" x="312"/>
        <item m="1" x="313"/>
        <item m="1" x="314"/>
        <item m="1" x="315"/>
        <item m="1" x="316"/>
        <item m="1" x="317"/>
        <item m="1" x="346"/>
        <item m="1" x="318"/>
        <item m="1" x="319"/>
        <item m="1" x="320"/>
        <item m="1" x="321"/>
        <item m="1" x="322"/>
        <item m="1" x="323"/>
        <item m="1" x="335"/>
        <item m="1" x="324"/>
        <item m="1" x="325"/>
        <item m="1" x="326"/>
        <item m="1" x="327"/>
        <item m="1" x="328"/>
        <item m="1" x="329"/>
        <item m="1" x="330"/>
        <item m="1" x="331"/>
        <item m="1" x="332"/>
        <item m="1" x="333"/>
        <item m="1" x="334"/>
        <item m="1" x="336"/>
        <item m="1" x="337"/>
        <item m="1" x="338"/>
        <item m="1" x="339"/>
        <item m="1" x="340"/>
        <item m="1" x="341"/>
        <item m="1" x="342"/>
        <item m="1" x="343"/>
        <item m="1" x="344"/>
        <item m="1" x="345"/>
        <item m="1" x="347"/>
        <item m="1" x="348"/>
        <item m="1" x="349"/>
        <item m="1" x="350"/>
        <item m="1" x="351"/>
        <item m="1" x="352"/>
        <item m="1" x="353"/>
        <item m="1" x="354"/>
        <item m="1" x="355"/>
        <item m="1" x="356"/>
        <item m="1" x="357"/>
        <item m="1" x="358"/>
        <item m="1" x="359"/>
        <item m="1" x="360"/>
        <item m="1" x="361"/>
        <item m="1" x="192"/>
        <item m="1" x="194"/>
        <item m="1" x="195"/>
        <item m="1" x="196"/>
        <item m="1" x="197"/>
        <item m="1" x="198"/>
        <item m="1" x="199"/>
        <item m="1" x="200"/>
        <item m="1" x="201"/>
        <item m="1" x="202"/>
        <item m="1" x="203"/>
        <item m="1" x="204"/>
        <item m="1" x="205"/>
        <item m="1" x="206"/>
        <item m="1" x="207"/>
        <item m="1" x="208"/>
        <item m="1" x="209"/>
        <item m="1" x="210"/>
        <item m="1" x="211"/>
        <item m="1" x="212"/>
        <item m="1" x="213"/>
        <item m="1" x="214"/>
        <item m="1" x="215"/>
        <item m="1" x="216"/>
        <item m="1" x="217"/>
        <item m="1" x="218"/>
        <item m="1" x="219"/>
        <item m="1" x="220"/>
        <item m="1" x="221"/>
        <item m="1" x="193"/>
        <item m="1" x="222"/>
        <item m="1" x="223"/>
        <item m="1" x="224"/>
        <item m="1" x="225"/>
        <item m="1" x="226"/>
        <item m="1" x="227"/>
        <item m="1" x="228"/>
        <item m="1" x="229"/>
        <item m="1" x="230"/>
        <item m="1" x="231"/>
        <item m="1" x="232"/>
        <item m="1" x="233"/>
        <item m="1" x="234"/>
        <item m="1" x="235"/>
        <item m="1" x="236"/>
        <item m="1" x="237"/>
        <item m="1" x="238"/>
        <item m="1" x="239"/>
        <item m="1" x="240"/>
        <item m="1" x="241"/>
        <item m="1" x="242"/>
        <item m="1" x="243"/>
        <item m="1" x="244"/>
        <item m="1" x="245"/>
        <item m="1" x="246"/>
        <item m="1" x="247"/>
        <item m="1" x="248"/>
        <item m="1" x="249"/>
        <item m="1" x="250"/>
        <item m="1" x="251"/>
        <item m="1" x="252"/>
        <item m="1" x="253"/>
        <item m="1" x="254"/>
        <item m="1" x="255"/>
        <item m="1" x="256"/>
        <item m="1" x="257"/>
        <item m="1" x="258"/>
        <item m="1" x="259"/>
        <item m="1" x="260"/>
        <item m="1" x="261"/>
        <item m="1" x="262"/>
        <item m="1" x="263"/>
        <item m="1" x="264"/>
        <item m="1" x="265"/>
        <item m="1" x="266"/>
        <item m="1" x="267"/>
        <item m="1" x="268"/>
        <item m="1" x="269"/>
        <item m="1" x="270"/>
        <item m="1" x="271"/>
        <item m="1" x="272"/>
        <item m="1" x="273"/>
        <item m="1" x="274"/>
        <item m="1" x="275"/>
        <item m="1" x="276"/>
        <item m="1" x="277"/>
        <item m="1" x="278"/>
        <item m="1" x="279"/>
        <item m="1" x="280"/>
        <item m="1" x="281"/>
        <item m="1" x="282"/>
        <item m="1" x="283"/>
        <item m="1" x="284"/>
        <item m="1" x="285"/>
        <item m="1" x="286"/>
        <item m="1" x="287"/>
        <item m="1" x="288"/>
        <item m="1" x="290"/>
        <item m="1" x="291"/>
        <item m="1" x="292"/>
        <item m="1" x="289"/>
        <item m="1" x="293"/>
        <item m="1" x="294"/>
        <item m="1" x="295"/>
        <item m="1" x="296"/>
        <item m="1" x="297"/>
        <item m="1" x="298"/>
        <item m="1" x="299"/>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91"/>
        <item m="1" x="92"/>
        <item m="1" x="93"/>
        <item m="1" x="94"/>
        <item m="1" x="95"/>
        <item m="1" x="96"/>
        <item m="1" x="97"/>
        <item m="1" x="98"/>
        <item m="1" x="99"/>
        <item m="1" x="100"/>
        <item m="1" x="101"/>
        <item m="1" x="102"/>
        <item m="1" x="103"/>
        <item m="1" x="104"/>
        <item m="1" x="105"/>
        <item m="1" x="106"/>
        <item m="1" x="107"/>
        <item m="1" x="108"/>
        <item m="1" x="109"/>
        <item m="1" x="110"/>
        <item m="1" x="111"/>
        <item m="1" x="112"/>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6"/>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8"/>
        <item m="1" x="159"/>
        <item m="1" x="160"/>
        <item m="1" x="161"/>
        <item m="1" x="162"/>
        <item m="1" x="163"/>
        <item m="1" x="164"/>
        <item m="1" x="165"/>
        <item m="1" x="166"/>
        <item m="1" x="167"/>
        <item m="1" x="168"/>
        <item m="1" x="169"/>
        <item m="1" x="170"/>
        <item m="1" x="171"/>
        <item m="1" x="172"/>
        <item m="1" x="173"/>
        <item m="1" x="174"/>
        <item m="1" x="175"/>
        <item m="1" x="176"/>
        <item m="1" x="177"/>
        <item m="1" x="178"/>
        <item m="1" x="179"/>
        <item m="1" x="180"/>
        <item m="1" x="181"/>
        <item m="1" x="182"/>
        <item m="1" x="183"/>
        <item m="1" x="184"/>
        <item m="1" x="185"/>
        <item m="1" x="186"/>
        <item m="1" x="187"/>
        <item m="1" x="188"/>
        <item m="1" x="189"/>
        <item m="1" x="190"/>
        <item m="1" x="191"/>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t="default"/>
      </items>
    </pivotField>
    <pivotField showAll="0"/>
    <pivotField axis="axisPage" multipleItemSelectionAllowed="1" showAll="0">
      <items count="218">
        <item m="1" x="171"/>
        <item m="1" x="200"/>
        <item m="1" x="201"/>
        <item m="1" x="209"/>
        <item m="1" x="199"/>
        <item m="1" x="198"/>
        <item m="1" x="202"/>
        <item m="1" x="213"/>
        <item m="1" x="205"/>
        <item m="1" x="206"/>
        <item m="1" x="203"/>
        <item m="1" x="204"/>
        <item m="1" x="214"/>
        <item m="1" x="207"/>
        <item m="1" x="208"/>
        <item m="1" x="211"/>
        <item m="1" x="212"/>
        <item m="1" x="210"/>
        <item m="1" x="166"/>
        <item m="1" x="216"/>
        <item m="1" x="165"/>
        <item m="1" x="215"/>
        <item m="1" x="168"/>
        <item m="1" x="167"/>
        <item m="1" x="169"/>
        <item m="1" x="175"/>
        <item m="1" x="170"/>
        <item m="1" x="172"/>
        <item m="1" x="176"/>
        <item m="1" x="177"/>
        <item m="1" x="196"/>
        <item m="1" x="173"/>
        <item m="1" x="174"/>
        <item m="1" x="136"/>
        <item m="1" x="158"/>
        <item m="1" x="197"/>
        <item m="1" x="178"/>
        <item m="1" x="179"/>
        <item m="1" x="180"/>
        <item m="1" x="181"/>
        <item m="1" x="182"/>
        <item m="1" x="112"/>
        <item m="1" x="183"/>
        <item m="1" x="184"/>
        <item m="1" x="185"/>
        <item m="1" x="186"/>
        <item m="1" x="187"/>
        <item m="1" x="188"/>
        <item m="1" x="189"/>
        <item m="1" x="190"/>
        <item m="1" x="191"/>
        <item m="1" x="192"/>
        <item m="1" x="193"/>
        <item m="1" x="194"/>
        <item m="1" x="195"/>
        <item x="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9"/>
        <item m="1" x="160"/>
        <item m="1" x="161"/>
        <item m="1" x="162"/>
        <item m="1" x="163"/>
        <item m="1" x="164"/>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110"/>
        <item m="1" x="91"/>
        <item m="1" x="92"/>
        <item m="1" x="93"/>
        <item m="1" x="94"/>
        <item m="1" x="95"/>
        <item m="1" x="96"/>
        <item m="1" x="97"/>
        <item m="1" x="98"/>
        <item m="1" x="99"/>
        <item m="1" x="100"/>
        <item m="1" x="101"/>
        <item m="1" x="102"/>
        <item m="1" x="103"/>
        <item m="1" x="104"/>
        <item m="1" x="105"/>
        <item m="1" x="106"/>
        <item m="1" x="107"/>
        <item m="1" x="108"/>
        <item m="1" x="109"/>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umFmtId="164" showAll="0"/>
    <pivotField dataField="1" showAll="0"/>
    <pivotField numFmtId="43" showAll="0"/>
    <pivotField dataField="1" numFmtId="43" showAll="0"/>
    <pivotField dataField="1" showAll="0"/>
    <pivotField showAll="0"/>
    <pivotField dragToRow="0" dragToCol="0" dragToPage="0" showAll="0" defaultSubtotal="0"/>
    <pivotField dragToRow="0" dragToCol="0" dragToPage="0" showAll="0" defaultSubtotal="0"/>
    <pivotField dragToRow="0" dragToCol="0" dragToPage="0" showAll="0" defaultSubtotal="0"/>
  </pivotFields>
  <rowFields count="1">
    <field x="2"/>
  </rowFields>
  <rowItems count="45">
    <i>
      <x v="366"/>
    </i>
    <i>
      <x v="367"/>
    </i>
    <i>
      <x v="368"/>
    </i>
    <i>
      <x v="369"/>
    </i>
    <i>
      <x v="370"/>
    </i>
    <i>
      <x v="371"/>
    </i>
    <i>
      <x v="372"/>
    </i>
    <i>
      <x v="373"/>
    </i>
    <i>
      <x v="374"/>
    </i>
    <i>
      <x v="375"/>
    </i>
    <i>
      <x v="376"/>
    </i>
    <i>
      <x v="377"/>
    </i>
    <i>
      <x v="378"/>
    </i>
    <i>
      <x v="379"/>
    </i>
    <i>
      <x v="380"/>
    </i>
    <i>
      <x v="381"/>
    </i>
    <i>
      <x v="382"/>
    </i>
    <i>
      <x v="383"/>
    </i>
    <i>
      <x v="384"/>
    </i>
    <i>
      <x v="385"/>
    </i>
    <i>
      <x v="386"/>
    </i>
    <i>
      <x v="387"/>
    </i>
    <i>
      <x v="388"/>
    </i>
    <i>
      <x v="389"/>
    </i>
    <i>
      <x v="390"/>
    </i>
    <i>
      <x v="391"/>
    </i>
    <i>
      <x v="392"/>
    </i>
    <i>
      <x v="393"/>
    </i>
    <i>
      <x v="394"/>
    </i>
    <i>
      <x v="395"/>
    </i>
    <i>
      <x v="396"/>
    </i>
    <i>
      <x v="397"/>
    </i>
    <i>
      <x v="398"/>
    </i>
    <i>
      <x v="399"/>
    </i>
    <i>
      <x v="400"/>
    </i>
    <i>
      <x v="401"/>
    </i>
    <i>
      <x v="402"/>
    </i>
    <i>
      <x v="403"/>
    </i>
    <i>
      <x v="404"/>
    </i>
    <i>
      <x v="405"/>
    </i>
    <i>
      <x v="406"/>
    </i>
    <i>
      <x v="407"/>
    </i>
    <i>
      <x v="408"/>
    </i>
    <i>
      <x v="409"/>
    </i>
    <i t="grand">
      <x/>
    </i>
  </rowItems>
  <colFields count="1">
    <field x="-2"/>
  </colFields>
  <colItems count="3">
    <i>
      <x/>
    </i>
    <i i="1">
      <x v="1"/>
    </i>
    <i i="2">
      <x v="2"/>
    </i>
  </colItems>
  <pageFields count="3">
    <pageField fld="1" hier="-1"/>
    <pageField fld="0" hier="-1"/>
    <pageField fld="4" hier="-1"/>
  </pageFields>
  <dataFields count="3">
    <dataField name="Sum of Tiyaar/gaz" fld="6" baseField="2" baseItem="0"/>
    <dataField name="Sum of tiyar/meters" fld="8" baseField="0" baseItem="0" numFmtId="43"/>
    <dataField name="Sum of billing" fld="9"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9766807-2FAF-42B6-B070-4BF70FC56CD7}" name="PivotTable3" cacheId="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Gari #">
  <location ref="L8:P41" firstHeaderRow="0" firstDataRow="1" firstDataCol="1" rowPageCount="1" colPageCount="1"/>
  <pivotFields count="9">
    <pivotField axis="axisRow" numFmtId="14" showAll="0">
      <items count="93">
        <item m="1" x="76"/>
        <item m="1" x="77"/>
        <item m="1" x="78"/>
        <item m="1" x="79"/>
        <item m="1" x="80"/>
        <item m="1" x="81"/>
        <item m="1" x="82"/>
        <item m="1" x="91"/>
        <item m="1" x="72"/>
        <item m="1" x="83"/>
        <item m="1" x="84"/>
        <item m="1" x="85"/>
        <item m="1" x="86"/>
        <item m="1" x="87"/>
        <item m="1" x="88"/>
        <item m="1" x="89"/>
        <item m="1" x="43"/>
        <item m="1" x="44"/>
        <item m="1" x="90"/>
        <item m="1" x="45"/>
        <item m="1" x="42"/>
        <item m="1" x="46"/>
        <item m="1" x="48"/>
        <item m="1" x="49"/>
        <item m="1" x="50"/>
        <item m="1" x="52"/>
        <item m="1" x="53"/>
        <item m="1" x="54"/>
        <item m="1" x="47"/>
        <item m="1" x="51"/>
        <item m="1" x="55"/>
        <item m="1" x="56"/>
        <item m="1" x="57"/>
        <item m="1" x="58"/>
        <item m="1" x="41"/>
        <item m="1" x="59"/>
        <item m="1" x="73"/>
        <item m="1" x="74"/>
        <item m="1" x="75"/>
        <item m="1" x="60"/>
        <item m="1" x="61"/>
        <item m="1" x="62"/>
        <item m="1" x="63"/>
        <item m="1" x="64"/>
        <item m="1" x="65"/>
        <item m="1" x="66"/>
        <item m="1" x="67"/>
        <item m="1" x="68"/>
        <item m="1" x="69"/>
        <item m="1" x="70"/>
        <item m="1" x="71"/>
        <item m="1" x="12"/>
        <item m="1" x="13"/>
        <item m="1" x="14"/>
        <item m="1" x="15"/>
        <item m="1" x="16"/>
        <item m="1" x="17"/>
        <item m="1" x="18"/>
        <item m="1" x="19"/>
        <item m="1" x="21"/>
        <item m="1" x="22"/>
        <item m="1" x="23"/>
        <item m="1" x="20"/>
        <item m="1" x="24"/>
        <item m="1" x="25"/>
        <item m="1" x="26"/>
        <item m="1" x="27"/>
        <item m="1" x="28"/>
        <item m="1" x="29"/>
        <item m="1" x="30"/>
        <item m="1" x="31"/>
        <item m="1" x="32"/>
        <item m="1" x="33"/>
        <item m="1" x="34"/>
        <item m="1" x="35"/>
        <item m="1" x="36"/>
        <item m="1" x="37"/>
        <item m="1" x="38"/>
        <item m="1" x="39"/>
        <item m="1" x="40"/>
        <item x="0"/>
        <item x="1"/>
        <item x="2"/>
        <item x="3"/>
        <item x="4"/>
        <item x="5"/>
        <item x="6"/>
        <item x="7"/>
        <item x="8"/>
        <item x="9"/>
        <item x="10"/>
        <item x="11"/>
        <item t="default"/>
      </items>
    </pivotField>
    <pivotField axis="axisPage" showAll="0">
      <items count="9">
        <item x="1"/>
        <item x="0"/>
        <item m="1" x="5"/>
        <item m="1" x="7"/>
        <item x="2"/>
        <item x="3"/>
        <item x="4"/>
        <item m="1" x="6"/>
        <item t="default"/>
      </items>
    </pivotField>
    <pivotField axis="axisRow" showAll="0">
      <items count="68">
        <item m="1" x="57"/>
        <item m="1" x="41"/>
        <item m="1" x="53"/>
        <item m="1" x="23"/>
        <item m="1" x="58"/>
        <item m="1" x="59"/>
        <item m="1" x="54"/>
        <item m="1" x="55"/>
        <item m="1" x="56"/>
        <item x="1"/>
        <item m="1" x="34"/>
        <item m="1" x="60"/>
        <item m="1" x="61"/>
        <item m="1" x="62"/>
        <item m="1" x="63"/>
        <item m="1" x="64"/>
        <item m="1" x="65"/>
        <item m="1" x="30"/>
        <item m="1" x="31"/>
        <item m="1" x="66"/>
        <item m="1" x="32"/>
        <item x="0"/>
        <item m="1" x="33"/>
        <item m="1" x="35"/>
        <item m="1" x="36"/>
        <item m="1" x="37"/>
        <item m="1" x="38"/>
        <item m="1" x="39"/>
        <item m="1" x="40"/>
        <item m="1" x="42"/>
        <item m="1" x="43"/>
        <item m="1" x="25"/>
        <item m="1" x="44"/>
        <item m="1" x="45"/>
        <item m="1" x="46"/>
        <item m="1" x="29"/>
        <item m="1" x="47"/>
        <item m="1" x="48"/>
        <item m="1" x="27"/>
        <item m="1" x="49"/>
        <item m="1" x="50"/>
        <item m="1" x="51"/>
        <item m="1" x="52"/>
        <item m="1" x="15"/>
        <item m="1" x="16"/>
        <item m="1" x="17"/>
        <item m="1" x="18"/>
        <item m="1" x="19"/>
        <item m="1" x="20"/>
        <item m="1" x="21"/>
        <item m="1" x="22"/>
        <item m="1" x="24"/>
        <item m="1" x="26"/>
        <item m="1" x="28"/>
        <item m="1" x="14"/>
        <item x="2"/>
        <item x="3"/>
        <item x="4"/>
        <item x="5"/>
        <item x="6"/>
        <item x="7"/>
        <item x="8"/>
        <item x="9"/>
        <item x="10"/>
        <item x="11"/>
        <item x="12"/>
        <item x="13"/>
        <item t="default"/>
      </items>
    </pivotField>
    <pivotField dataField="1" numFmtId="164" showAll="0"/>
    <pivotField numFmtId="164" showAll="0"/>
    <pivotField numFmtId="164" showAll="0"/>
    <pivotField dataField="1" numFmtId="164" showAll="0"/>
    <pivotField dataField="1" numFmtId="164" showAll="0"/>
    <pivotField dataField="1" numFmtId="164" showAll="0"/>
  </pivotFields>
  <rowFields count="2">
    <field x="0"/>
    <field x="2"/>
  </rowFields>
  <rowItems count="33">
    <i>
      <x v="80"/>
    </i>
    <i r="1">
      <x v="9"/>
    </i>
    <i r="1">
      <x v="21"/>
    </i>
    <i r="1">
      <x v="55"/>
    </i>
    <i>
      <x v="81"/>
    </i>
    <i r="1">
      <x v="9"/>
    </i>
    <i r="1">
      <x v="56"/>
    </i>
    <i r="1">
      <x v="57"/>
    </i>
    <i>
      <x v="82"/>
    </i>
    <i r="1">
      <x v="9"/>
    </i>
    <i>
      <x v="83"/>
    </i>
    <i r="1">
      <x v="9"/>
    </i>
    <i>
      <x v="84"/>
    </i>
    <i r="1">
      <x v="9"/>
    </i>
    <i>
      <x v="85"/>
    </i>
    <i r="1">
      <x v="58"/>
    </i>
    <i>
      <x v="86"/>
    </i>
    <i r="1">
      <x v="59"/>
    </i>
    <i>
      <x v="87"/>
    </i>
    <i r="1">
      <x v="9"/>
    </i>
    <i r="1">
      <x v="60"/>
    </i>
    <i r="1">
      <x v="61"/>
    </i>
    <i>
      <x v="88"/>
    </i>
    <i r="1">
      <x v="56"/>
    </i>
    <i r="1">
      <x v="62"/>
    </i>
    <i>
      <x v="89"/>
    </i>
    <i r="1">
      <x v="63"/>
    </i>
    <i>
      <x v="90"/>
    </i>
    <i r="1">
      <x v="64"/>
    </i>
    <i>
      <x v="91"/>
    </i>
    <i r="1">
      <x v="65"/>
    </i>
    <i r="1">
      <x v="66"/>
    </i>
    <i t="grand">
      <x/>
    </i>
  </rowItems>
  <colFields count="1">
    <field x="-2"/>
  </colFields>
  <colItems count="4">
    <i>
      <x/>
    </i>
    <i i="1">
      <x v="1"/>
    </i>
    <i i="2">
      <x v="2"/>
    </i>
    <i i="3">
      <x v="3"/>
    </i>
  </colItems>
  <pageFields count="1">
    <pageField fld="1" hier="-1"/>
  </pageFields>
  <dataFields count="4">
    <dataField name="Sum of Weight" fld="3" baseField="0" baseItem="0" numFmtId="164"/>
    <dataField name="Sum of total" fld="6" baseField="0" baseItem="0" numFmtId="164"/>
    <dataField name="Sum of Paid" fld="7" baseField="0" baseItem="0" numFmtId="164"/>
    <dataField name="Sum of balance" fld="8" baseField="0" baseItem="0" numFmtId="164"/>
  </dataFields>
  <formats count="2">
    <format dxfId="82">
      <pivotArea dataOnly="0" labelOnly="1" outline="0" fieldPosition="0">
        <references count="1">
          <reference field="1" count="1">
            <x v="1"/>
          </reference>
        </references>
      </pivotArea>
    </format>
    <format dxfId="81">
      <pivotArea dataOnly="0" labelOnly="1" outline="0" fieldPosition="0">
        <references count="1">
          <reference field="1" count="1">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EB0047DD-2C16-4A8B-96A1-89F799ED19DB}" name="PivotTable2" cacheId="5"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163:L200" firstHeaderRow="0" firstDataRow="1" firstDataCol="1"/>
  <pivotFields count="7">
    <pivotField numFmtId="14" showAll="0"/>
    <pivotField axis="axisRow" showAll="0">
      <items count="58">
        <item x="3"/>
        <item x="21"/>
        <item x="1"/>
        <item m="1" x="41"/>
        <item m="1" x="46"/>
        <item x="31"/>
        <item x="2"/>
        <item x="7"/>
        <item x="14"/>
        <item x="22"/>
        <item x="8"/>
        <item m="1" x="55"/>
        <item m="1" x="40"/>
        <item x="4"/>
        <item m="1" x="48"/>
        <item m="1" x="53"/>
        <item x="16"/>
        <item x="10"/>
        <item x="5"/>
        <item m="1" x="37"/>
        <item x="25"/>
        <item x="12"/>
        <item m="1" x="56"/>
        <item x="34"/>
        <item m="1" x="38"/>
        <item m="1" x="54"/>
        <item m="1" x="45"/>
        <item x="13"/>
        <item m="1" x="47"/>
        <item m="1" x="49"/>
        <item m="1" x="50"/>
        <item m="1" x="51"/>
        <item x="26"/>
        <item m="1" x="52"/>
        <item m="1" x="42"/>
        <item x="27"/>
        <item x="19"/>
        <item m="1" x="39"/>
        <item m="1" x="36"/>
        <item x="24"/>
        <item x="35"/>
        <item x="6"/>
        <item x="9"/>
        <item m="1" x="43"/>
        <item x="29"/>
        <item m="1" x="44"/>
        <item x="0"/>
        <item x="11"/>
        <item x="15"/>
        <item x="17"/>
        <item x="18"/>
        <item x="20"/>
        <item x="23"/>
        <item x="28"/>
        <item x="30"/>
        <item x="32"/>
        <item x="33"/>
        <item t="default"/>
      </items>
    </pivotField>
    <pivotField dataField="1" showAll="0"/>
    <pivotField dataField="1" showAll="0"/>
    <pivotField showAll="0"/>
    <pivotField showAll="0"/>
    <pivotField showAll="0"/>
  </pivotFields>
  <rowFields count="1">
    <field x="1"/>
  </rowFields>
  <rowItems count="37">
    <i>
      <x/>
    </i>
    <i>
      <x v="1"/>
    </i>
    <i>
      <x v="2"/>
    </i>
    <i>
      <x v="5"/>
    </i>
    <i>
      <x v="6"/>
    </i>
    <i>
      <x v="7"/>
    </i>
    <i>
      <x v="8"/>
    </i>
    <i>
      <x v="9"/>
    </i>
    <i>
      <x v="10"/>
    </i>
    <i>
      <x v="13"/>
    </i>
    <i>
      <x v="16"/>
    </i>
    <i>
      <x v="17"/>
    </i>
    <i>
      <x v="18"/>
    </i>
    <i>
      <x v="20"/>
    </i>
    <i>
      <x v="21"/>
    </i>
    <i>
      <x v="23"/>
    </i>
    <i>
      <x v="27"/>
    </i>
    <i>
      <x v="32"/>
    </i>
    <i>
      <x v="35"/>
    </i>
    <i>
      <x v="36"/>
    </i>
    <i>
      <x v="39"/>
    </i>
    <i>
      <x v="40"/>
    </i>
    <i>
      <x v="41"/>
    </i>
    <i>
      <x v="42"/>
    </i>
    <i>
      <x v="44"/>
    </i>
    <i>
      <x v="46"/>
    </i>
    <i>
      <x v="47"/>
    </i>
    <i>
      <x v="48"/>
    </i>
    <i>
      <x v="49"/>
    </i>
    <i>
      <x v="50"/>
    </i>
    <i>
      <x v="51"/>
    </i>
    <i>
      <x v="52"/>
    </i>
    <i>
      <x v="53"/>
    </i>
    <i>
      <x v="54"/>
    </i>
    <i>
      <x v="55"/>
    </i>
    <i>
      <x v="56"/>
    </i>
    <i t="grand">
      <x/>
    </i>
  </rowItems>
  <colFields count="1">
    <field x="-2"/>
  </colFields>
  <colItems count="2">
    <i>
      <x/>
    </i>
    <i i="1">
      <x v="1"/>
    </i>
  </colItems>
  <dataFields count="2">
    <dataField name="Sum of Credit" fld="3" baseField="0" baseItem="0"/>
    <dataField name="Sum of Debit" fld="2" baseField="0" baseItem="0"/>
  </dataFields>
  <formats count="1">
    <format dxfId="63">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501352D-875A-40F5-872B-61931E55FFF0}" name="PivotTable2"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K9:M13" firstHeaderRow="0" firstDataRow="1" firstDataCol="1" rowPageCount="1" colPageCount="1"/>
  <pivotFields count="9">
    <pivotField axis="axisRow" showAll="0">
      <items count="31">
        <item m="1" x="25"/>
        <item m="1" x="26"/>
        <item m="1" x="27"/>
        <item m="1" x="28"/>
        <item m="1" x="29"/>
        <item m="1" x="24"/>
        <item m="1" x="12"/>
        <item m="1" x="13"/>
        <item m="1" x="17"/>
        <item m="1" x="18"/>
        <item m="1" x="14"/>
        <item m="1" x="19"/>
        <item m="1" x="20"/>
        <item m="1" x="21"/>
        <item m="1" x="22"/>
        <item m="1" x="23"/>
        <item m="1" x="11"/>
        <item m="1" x="15"/>
        <item m="1" x="16"/>
        <item m="1" x="4"/>
        <item m="1" x="5"/>
        <item m="1" x="6"/>
        <item m="1" x="7"/>
        <item m="1" x="8"/>
        <item m="1" x="9"/>
        <item m="1" x="10"/>
        <item x="0"/>
        <item x="1"/>
        <item x="3"/>
        <item x="2"/>
        <item t="default"/>
      </items>
    </pivotField>
    <pivotField showAll="0"/>
    <pivotField showAll="0"/>
    <pivotField showAll="0"/>
    <pivotField dataField="1" showAll="0"/>
    <pivotField axis="axisPage" showAll="0">
      <items count="6">
        <item x="0"/>
        <item x="2"/>
        <item m="1" x="4"/>
        <item m="1" x="3"/>
        <item x="1"/>
        <item t="default"/>
      </items>
    </pivotField>
    <pivotField showAll="0"/>
    <pivotField dataField="1" showAll="0"/>
    <pivotField showAll="0"/>
  </pivotFields>
  <rowFields count="1">
    <field x="0"/>
  </rowFields>
  <rowItems count="4">
    <i>
      <x v="26"/>
    </i>
    <i>
      <x v="27"/>
    </i>
    <i>
      <x v="29"/>
    </i>
    <i t="grand">
      <x/>
    </i>
  </rowItems>
  <colFields count="1">
    <field x="-2"/>
  </colFields>
  <colItems count="2">
    <i>
      <x/>
    </i>
    <i i="1">
      <x v="1"/>
    </i>
  </colItems>
  <pageFields count="1">
    <pageField fld="5" item="0" hier="-1"/>
  </pageFields>
  <dataFields count="2">
    <dataField name="Sum of Price" fld="4"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22051E1-B88F-4951-8A35-C5B5AE69E8EC}" name="PivotTable1" cacheId="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J4:M8" firstHeaderRow="0" firstDataRow="1" firstDataCol="1"/>
  <pivotFields count="8">
    <pivotField numFmtId="14" showAll="0"/>
    <pivotField axis="axisRow" showAll="0">
      <items count="7">
        <item m="1" x="5"/>
        <item m="1" x="3"/>
        <item x="1"/>
        <item m="1" x="4"/>
        <item x="0"/>
        <item x="2"/>
        <item t="default"/>
      </items>
    </pivotField>
    <pivotField showAll="0"/>
    <pivotField showAll="0"/>
    <pivotField showAll="0"/>
    <pivotField dataField="1" showAll="0"/>
    <pivotField dataField="1" showAll="0"/>
    <pivotField dataField="1" showAll="0"/>
  </pivotFields>
  <rowFields count="1">
    <field x="1"/>
  </rowFields>
  <rowItems count="4">
    <i>
      <x v="2"/>
    </i>
    <i>
      <x v="4"/>
    </i>
    <i>
      <x v="5"/>
    </i>
    <i t="grand">
      <x/>
    </i>
  </rowItems>
  <colFields count="1">
    <field x="-2"/>
  </colFields>
  <colItems count="3">
    <i>
      <x/>
    </i>
    <i i="1">
      <x v="1"/>
    </i>
    <i i="2">
      <x v="2"/>
    </i>
  </colItems>
  <dataFields count="3">
    <dataField name="Sum of Price" fld="5" baseField="0" baseItem="0"/>
    <dataField name="Sum of Paid" fld="6" baseField="0" baseItem="0"/>
    <dataField name="Sum of Balance"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71D3480-4DC4-4678-B47A-3C0EAA1BC14F}"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Shipment number">
  <location ref="A3:C33" firstHeaderRow="0" firstDataRow="1" firstDataCol="1" rowPageCount="1" colPageCount="1"/>
  <pivotFields count="14">
    <pivotField showAll="0"/>
    <pivotField axis="axisPage" showAll="0">
      <items count="27">
        <item m="1" x="23"/>
        <item x="2"/>
        <item x="0"/>
        <item x="1"/>
        <item m="1" x="25"/>
        <item m="1" x="21"/>
        <item x="6"/>
        <item m="1" x="24"/>
        <item x="3"/>
        <item x="4"/>
        <item m="1" x="22"/>
        <item m="1" x="20"/>
        <item m="1" x="19"/>
        <item x="5"/>
        <item x="10"/>
        <item x="8"/>
        <item x="9"/>
        <item x="7"/>
        <item x="11"/>
        <item x="12"/>
        <item x="13"/>
        <item x="14"/>
        <item x="15"/>
        <item x="16"/>
        <item x="17"/>
        <item x="18"/>
        <item t="default"/>
      </items>
    </pivotField>
    <pivotField showAll="0"/>
    <pivotField showAll="0"/>
    <pivotField axis="axisRow" showAll="0">
      <items count="218">
        <item m="1" x="200"/>
        <item m="1" x="201"/>
        <item m="1" x="199"/>
        <item m="1" x="198"/>
        <item m="1" x="202"/>
        <item m="1" x="204"/>
        <item m="1" x="203"/>
        <item m="1" x="205"/>
        <item m="1" x="206"/>
        <item m="1" x="207"/>
        <item m="1" x="208"/>
        <item m="1" x="209"/>
        <item m="1" x="210"/>
        <item m="1" x="211"/>
        <item m="1" x="136"/>
        <item m="1" x="158"/>
        <item m="1" x="212"/>
        <item m="1" x="213"/>
        <item m="1" x="214"/>
        <item m="1" x="166"/>
        <item m="1" x="165"/>
        <item m="1" x="215"/>
        <item m="1" x="216"/>
        <item m="1" x="175"/>
        <item m="1" x="167"/>
        <item m="1" x="168"/>
        <item m="1" x="169"/>
        <item m="1" x="170"/>
        <item m="1" x="171"/>
        <item m="1" x="172"/>
        <item m="1" x="173"/>
        <item m="1" x="174"/>
        <item m="1" x="176"/>
        <item m="1" x="196"/>
        <item m="1" x="177"/>
        <item m="1" x="197"/>
        <item m="1" x="178"/>
        <item m="1" x="179"/>
        <item m="1" x="180"/>
        <item m="1" x="181"/>
        <item m="1" x="182"/>
        <item m="1" x="112"/>
        <item m="1" x="183"/>
        <item m="1" x="184"/>
        <item m="1" x="185"/>
        <item m="1" x="186"/>
        <item m="1" x="187"/>
        <item m="1" x="188"/>
        <item m="1" x="189"/>
        <item m="1" x="190"/>
        <item m="1" x="191"/>
        <item m="1" x="192"/>
        <item m="1" x="193"/>
        <item m="1" x="194"/>
        <item m="1" x="195"/>
        <item x="0"/>
        <item m="1" x="111"/>
        <item m="1" x="113"/>
        <item m="1" x="114"/>
        <item m="1" x="115"/>
        <item m="1" x="116"/>
        <item m="1" x="117"/>
        <item m="1" x="118"/>
        <item m="1" x="119"/>
        <item m="1" x="120"/>
        <item m="1" x="121"/>
        <item m="1" x="122"/>
        <item m="1" x="123"/>
        <item m="1" x="124"/>
        <item m="1" x="125"/>
        <item m="1" x="126"/>
        <item m="1" x="127"/>
        <item m="1" x="128"/>
        <item m="1" x="129"/>
        <item m="1" x="130"/>
        <item m="1" x="131"/>
        <item m="1" x="132"/>
        <item m="1" x="133"/>
        <item m="1" x="134"/>
        <item m="1" x="135"/>
        <item m="1" x="137"/>
        <item m="1" x="138"/>
        <item m="1" x="139"/>
        <item m="1" x="140"/>
        <item m="1" x="141"/>
        <item m="1" x="142"/>
        <item m="1" x="143"/>
        <item m="1" x="144"/>
        <item m="1" x="145"/>
        <item m="1" x="146"/>
        <item m="1" x="147"/>
        <item m="1" x="148"/>
        <item m="1" x="149"/>
        <item m="1" x="150"/>
        <item m="1" x="151"/>
        <item m="1" x="152"/>
        <item m="1" x="153"/>
        <item m="1" x="154"/>
        <item m="1" x="155"/>
        <item m="1" x="156"/>
        <item m="1" x="157"/>
        <item m="1" x="159"/>
        <item m="1" x="160"/>
        <item m="1" x="161"/>
        <item m="1" x="162"/>
        <item m="1" x="163"/>
        <item m="1" x="164"/>
        <item m="1" x="29"/>
        <item m="1" x="30"/>
        <item m="1" x="31"/>
        <item m="1" x="32"/>
        <item m="1" x="33"/>
        <item m="1" x="34"/>
        <item m="1" x="35"/>
        <item m="1" x="36"/>
        <item m="1" x="37"/>
        <item m="1" x="38"/>
        <item m="1" x="39"/>
        <item m="1" x="40"/>
        <item m="1" x="41"/>
        <item m="1" x="42"/>
        <item m="1" x="43"/>
        <item m="1" x="44"/>
        <item m="1" x="45"/>
        <item m="1" x="46"/>
        <item m="1" x="47"/>
        <item m="1" x="48"/>
        <item m="1" x="49"/>
        <item m="1" x="50"/>
        <item m="1" x="51"/>
        <item m="1" x="52"/>
        <item m="1" x="53"/>
        <item m="1" x="54"/>
        <item m="1" x="55"/>
        <item m="1" x="56"/>
        <item m="1" x="57"/>
        <item m="1" x="58"/>
        <item m="1" x="59"/>
        <item m="1" x="60"/>
        <item m="1" x="61"/>
        <item m="1" x="62"/>
        <item m="1" x="63"/>
        <item m="1" x="64"/>
        <item m="1" x="65"/>
        <item m="1" x="66"/>
        <item m="1" x="67"/>
        <item m="1" x="68"/>
        <item m="1" x="69"/>
        <item m="1" x="70"/>
        <item m="1" x="71"/>
        <item m="1" x="72"/>
        <item m="1" x="73"/>
        <item m="1" x="74"/>
        <item m="1" x="75"/>
        <item m="1" x="76"/>
        <item m="1" x="77"/>
        <item m="1" x="78"/>
        <item m="1" x="79"/>
        <item m="1" x="80"/>
        <item m="1" x="81"/>
        <item m="1" x="82"/>
        <item m="1" x="83"/>
        <item m="1" x="84"/>
        <item m="1" x="85"/>
        <item m="1" x="86"/>
        <item m="1" x="87"/>
        <item m="1" x="88"/>
        <item m="1" x="89"/>
        <item m="1" x="90"/>
        <item m="1" x="110"/>
        <item m="1" x="91"/>
        <item m="1" x="92"/>
        <item m="1" x="93"/>
        <item m="1" x="94"/>
        <item m="1" x="95"/>
        <item m="1" x="96"/>
        <item m="1" x="97"/>
        <item m="1" x="98"/>
        <item m="1" x="99"/>
        <item m="1" x="100"/>
        <item m="1" x="101"/>
        <item m="1" x="102"/>
        <item m="1" x="103"/>
        <item m="1" x="104"/>
        <item m="1" x="105"/>
        <item m="1" x="106"/>
        <item m="1" x="107"/>
        <item m="1" x="108"/>
        <item m="1" x="109"/>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dataField="1" showAll="0"/>
    <pivotField dataField="1" showAll="0"/>
    <pivotField numFmtId="2" showAll="0"/>
    <pivotField numFmtId="43" showAll="0"/>
    <pivotField showAll="0"/>
    <pivotField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30">
    <i>
      <x v="55"/>
    </i>
    <i>
      <x v="189"/>
    </i>
    <i>
      <x v="190"/>
    </i>
    <i>
      <x v="191"/>
    </i>
    <i>
      <x v="192"/>
    </i>
    <i>
      <x v="193"/>
    </i>
    <i>
      <x v="194"/>
    </i>
    <i>
      <x v="195"/>
    </i>
    <i>
      <x v="196"/>
    </i>
    <i>
      <x v="197"/>
    </i>
    <i>
      <x v="198"/>
    </i>
    <i>
      <x v="199"/>
    </i>
    <i>
      <x v="200"/>
    </i>
    <i>
      <x v="201"/>
    </i>
    <i>
      <x v="202"/>
    </i>
    <i>
      <x v="203"/>
    </i>
    <i>
      <x v="204"/>
    </i>
    <i>
      <x v="205"/>
    </i>
    <i>
      <x v="206"/>
    </i>
    <i>
      <x v="207"/>
    </i>
    <i>
      <x v="208"/>
    </i>
    <i>
      <x v="209"/>
    </i>
    <i>
      <x v="210"/>
    </i>
    <i>
      <x v="211"/>
    </i>
    <i>
      <x v="212"/>
    </i>
    <i>
      <x v="213"/>
    </i>
    <i>
      <x v="214"/>
    </i>
    <i>
      <x v="215"/>
    </i>
    <i>
      <x v="216"/>
    </i>
    <i t="grand">
      <x/>
    </i>
  </rowItems>
  <colFields count="1">
    <field x="-2"/>
  </colFields>
  <colItems count="2">
    <i>
      <x/>
    </i>
    <i i="1">
      <x v="1"/>
    </i>
  </colItems>
  <pageFields count="1">
    <pageField fld="1" hier="-1"/>
  </pageFields>
  <dataFields count="2">
    <dataField name="Max of Kora/metre" fld="5" subtotal="max" baseField="4" baseItem="0"/>
    <dataField name="Sum of Tiyaar/gaz" fld="6" baseField="0" baseItem="0"/>
  </dataFields>
  <formats count="9">
    <format dxfId="19">
      <pivotArea type="all" dataOnly="0" outline="0" fieldPosition="0"/>
    </format>
    <format dxfId="18">
      <pivotArea outline="0" collapsedLevelsAreSubtotals="1" fieldPosition="0"/>
    </format>
    <format dxfId="17">
      <pivotArea field="4" type="button" dataOnly="0" labelOnly="1" outline="0" axis="axisRow" fieldPosition="0"/>
    </format>
    <format dxfId="16">
      <pivotArea dataOnly="0" labelOnly="1" fieldPosition="0">
        <references count="1">
          <reference field="4" count="0"/>
        </references>
      </pivotArea>
    </format>
    <format dxfId="15">
      <pivotArea dataOnly="0" labelOnly="1" grandRow="1" outline="0" fieldPosition="0"/>
    </format>
    <format dxfId="14">
      <pivotArea dataOnly="0" labelOnly="1" outline="0" fieldPosition="0">
        <references count="1">
          <reference field="4294967294" count="2">
            <x v="0"/>
            <x v="1"/>
          </reference>
        </references>
      </pivotArea>
    </format>
    <format dxfId="13">
      <pivotArea grandRow="1" outline="0" collapsedLevelsAreSubtotals="1" fieldPosition="0"/>
    </format>
    <format dxfId="12">
      <pivotArea field="4" type="button" dataOnly="0" labelOnly="1" outline="0" axis="axisRow" fieldPosition="0"/>
    </format>
    <format dxfId="11">
      <pivotArea dataOnly="0" labelOnly="1" outline="0" fieldPosition="0">
        <references count="1">
          <reference field="4294967294" count="2">
            <x v="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hipment_Number" xr10:uid="{C8A0327E-E9EF-480B-A686-7D81EA729A7A}" sourceName="Shipment Number">
  <pivotTables>
    <pivotTable tabId="2" name="PivotTable1"/>
  </pivotTables>
  <data>
    <tabular pivotCacheId="1341418871">
      <items count="217">
        <i x="9" s="1"/>
        <i x="2" s="1"/>
        <i x="10" s="1"/>
        <i x="22" s="1"/>
        <i x="12" s="1"/>
        <i x="3" s="1"/>
        <i x="24" s="1"/>
        <i x="5" s="1"/>
        <i x="20" s="1"/>
        <i x="7" s="1"/>
        <i x="26" s="1"/>
        <i x="27" s="1"/>
        <i x="1" s="1"/>
        <i x="25" s="1"/>
        <i x="17" s="1"/>
        <i x="4" s="1"/>
        <i x="8" s="1"/>
        <i x="14" s="1"/>
        <i x="6" s="1"/>
        <i x="28" s="1"/>
        <i x="11" s="1"/>
        <i x="13" s="1"/>
        <i x="15" s="1"/>
        <i x="18" s="1"/>
        <i x="16" s="1"/>
        <i x="19" s="1"/>
        <i x="23" s="1"/>
        <i x="21" s="1"/>
        <i x="171" s="1" nd="1"/>
        <i x="200" s="1" nd="1"/>
        <i x="201" s="1" nd="1"/>
        <i x="209" s="1" nd="1"/>
        <i x="199" s="1" nd="1"/>
        <i x="198" s="1" nd="1"/>
        <i x="202" s="1" nd="1"/>
        <i x="213" s="1" nd="1"/>
        <i x="205" s="1" nd="1"/>
        <i x="206" s="1" nd="1"/>
        <i x="203" s="1" nd="1"/>
        <i x="204" s="1" nd="1"/>
        <i x="214" s="1" nd="1"/>
        <i x="207" s="1" nd="1"/>
        <i x="208" s="1" nd="1"/>
        <i x="211" s="1" nd="1"/>
        <i x="212" s="1" nd="1"/>
        <i x="210" s="1" nd="1"/>
        <i x="166" s="1" nd="1"/>
        <i x="216" s="1" nd="1"/>
        <i x="165" s="1" nd="1"/>
        <i x="215" s="1" nd="1"/>
        <i x="168" s="1" nd="1"/>
        <i x="129" s="1" nd="1"/>
        <i x="167" s="1" nd="1"/>
        <i x="169" s="1" nd="1"/>
        <i x="175" s="1" nd="1"/>
        <i x="170" s="1" nd="1"/>
        <i x="172" s="1" nd="1"/>
        <i x="188" s="1" nd="1"/>
        <i x="111" s="1" nd="1"/>
        <i x="176" s="1" nd="1"/>
        <i x="116" s="1" nd="1"/>
        <i x="182" s="1" nd="1"/>
        <i x="177" s="1" nd="1"/>
        <i x="180" s="1" nd="1"/>
        <i x="185" s="1" nd="1"/>
        <i x="196" s="1" nd="1"/>
        <i x="178" s="1" nd="1"/>
        <i x="190" s="1" nd="1"/>
        <i x="193" s="1" nd="1"/>
        <i x="184" s="1" nd="1"/>
        <i x="173" s="1" nd="1"/>
        <i x="181" s="1" nd="1"/>
        <i x="174" s="1" nd="1"/>
        <i x="179" s="1" nd="1"/>
        <i x="112" s="1" nd="1"/>
        <i x="183" s="1" nd="1"/>
        <i x="189" s="1" nd="1"/>
        <i x="126" s="1" nd="1"/>
        <i x="186" s="1" nd="1"/>
        <i x="191" s="1" nd="1"/>
        <i x="187" s="1" nd="1"/>
        <i x="153" s="1" nd="1"/>
        <i x="192" s="1" nd="1"/>
        <i x="194" s="1" nd="1"/>
        <i x="114" s="1" nd="1"/>
        <i x="121" s="1" nd="1"/>
        <i x="195" s="1" nd="1"/>
        <i x="118" s="1" nd="1"/>
        <i x="119" s="1" nd="1"/>
        <i x="113" s="1" nd="1"/>
        <i x="117" s="1" nd="1"/>
        <i x="115" s="1" nd="1"/>
        <i x="124" s="1" nd="1"/>
        <i x="120" s="1" nd="1"/>
        <i x="122" s="1" nd="1"/>
        <i x="125" s="1" nd="1"/>
        <i x="133" s="1" nd="1"/>
        <i x="123" s="1" nd="1"/>
        <i x="132" s="1" nd="1"/>
        <i x="137" s="1" nd="1"/>
        <i x="131" s="1" nd="1"/>
        <i x="134" s="1" nd="1"/>
        <i x="144" s="1" nd="1"/>
        <i x="130" s="1" nd="1"/>
        <i x="127" s="1" nd="1"/>
        <i x="128" s="1" nd="1"/>
        <i x="143" s="1" nd="1"/>
        <i x="136" s="1" nd="1"/>
        <i x="147" s="1" nd="1"/>
        <i x="142" s="1" nd="1"/>
        <i x="135" s="1" nd="1"/>
        <i x="159" s="1" nd="1"/>
        <i x="140" s="1" nd="1"/>
        <i x="150" s="1" nd="1"/>
        <i x="148" s="1" nd="1"/>
        <i x="138" s="1" nd="1"/>
        <i x="146" s="1" nd="1"/>
        <i x="145" s="1" nd="1"/>
        <i x="141" s="1" nd="1"/>
        <i x="151" s="1" nd="1"/>
        <i x="149" s="1" nd="1"/>
        <i x="152" s="1" nd="1"/>
        <i x="139" s="1" nd="1"/>
        <i x="80" s="1" nd="1"/>
        <i x="154" s="1" nd="1"/>
        <i x="155" s="1" nd="1"/>
        <i x="38" s="1" nd="1"/>
        <i x="40" s="1" nd="1"/>
        <i x="162" s="1" nd="1"/>
        <i x="34" s="1" nd="1"/>
        <i x="81" s="1" nd="1"/>
        <i x="156" s="1" nd="1"/>
        <i x="157" s="1" nd="1"/>
        <i x="37" s="1" nd="1"/>
        <i x="164" s="1" nd="1"/>
        <i x="36" s="1" nd="1"/>
        <i x="51" s="1" nd="1"/>
        <i x="163" s="1" nd="1"/>
        <i x="158" s="1" nd="1"/>
        <i x="55" s="1" nd="1"/>
        <i x="161" s="1" nd="1"/>
        <i x="160" s="1" nd="1"/>
        <i x="76" s="1" nd="1"/>
        <i x="29" s="1" nd="1"/>
        <i x="41" s="1" nd="1"/>
        <i x="77" s="1" nd="1"/>
        <i x="75" s="1" nd="1"/>
        <i x="33" s="1" nd="1"/>
        <i x="35" s="1" nd="1"/>
        <i x="39" s="1" nd="1"/>
        <i x="30" s="1" nd="1"/>
        <i x="65" s="1" nd="1"/>
        <i x="70" s="1" nd="1"/>
        <i x="31" s="1" nd="1"/>
        <i x="32" s="1" nd="1"/>
        <i x="42" s="1" nd="1"/>
        <i x="45" s="1" nd="1"/>
        <i x="52" s="1" nd="1"/>
        <i x="44" s="1" nd="1"/>
        <i x="47" s="1" nd="1"/>
        <i x="46" s="1" nd="1"/>
        <i x="89" s="1" nd="1"/>
        <i x="43" s="1" nd="1"/>
        <i x="68" s="1" nd="1"/>
        <i x="84" s="1" nd="1"/>
        <i x="48" s="1" nd="1"/>
        <i x="73" s="1" nd="1"/>
        <i x="86" s="1" nd="1"/>
        <i x="57" s="1" nd="1"/>
        <i x="98" s="1" nd="1"/>
        <i x="56" s="1" nd="1"/>
        <i x="53" s="1" nd="1"/>
        <i x="49" s="1" nd="1"/>
        <i x="50" s="1" nd="1"/>
        <i x="69" s="1" nd="1"/>
        <i x="58" s="1" nd="1"/>
        <i x="59" s="1" nd="1"/>
        <i x="54" s="1" nd="1"/>
        <i x="61" s="1" nd="1"/>
        <i x="62" s="1" nd="1"/>
        <i x="91" s="1" nd="1"/>
        <i x="60" s="1" nd="1"/>
        <i x="78" s="1" nd="1"/>
        <i x="66" s="1" nd="1"/>
        <i x="63" s="1" nd="1"/>
        <i x="67" s="1" nd="1"/>
        <i x="64" s="1" nd="1"/>
        <i x="71" s="1" nd="1"/>
        <i x="90" s="1" nd="1"/>
        <i x="85" s="1" nd="1"/>
        <i x="104" s="1" nd="1"/>
        <i x="72" s="1" nd="1"/>
        <i x="83" s="1" nd="1"/>
        <i x="74" s="1" nd="1"/>
        <i x="99" s="1" nd="1"/>
        <i x="82" s="1" nd="1"/>
        <i x="97" s="1" nd="1"/>
        <i x="88" s="1" nd="1"/>
        <i x="87" s="1" nd="1"/>
        <i x="103" s="1" nd="1"/>
        <i x="100" s="1" nd="1"/>
        <i x="108" s="1" nd="1"/>
        <i x="92" s="1" nd="1"/>
        <i x="101" s="1" nd="1"/>
        <i x="106" s="1" nd="1"/>
        <i x="110" s="1" nd="1"/>
        <i x="107" s="1" nd="1"/>
        <i x="102" s="1" nd="1"/>
        <i x="93" s="1" nd="1"/>
        <i x="96" s="1" nd="1"/>
        <i x="105" s="1" nd="1"/>
        <i x="94" s="1" nd="1"/>
        <i x="95" s="1" nd="1"/>
        <i x="109" s="1" nd="1"/>
        <i x="79" s="1" nd="1"/>
        <i x="197" s="1" nd="1"/>
        <i x="0" s="1" nd="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 xr10:uid="{795E221B-CA14-4E3C-BCC3-ADCBC1244CE9}" sourceName="Party Name">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 xr10:uid="{D6DCB082-70B9-49F4-92EE-90FF7705BF83}" sourceName="Party">
  <extLst>
    <x:ext xmlns:x15="http://schemas.microsoft.com/office/spreadsheetml/2010/11/main" uri="{2F2917AC-EB37-4324-AD4E-5DD8C200BD13}">
      <x15:tableSlicerCache tableId="14" column="2"/>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1" xr10:uid="{E12585E0-B136-443F-AD68-C9C80CA7EB19}" sourceName="Party Name">
  <extLst>
    <x:ext xmlns:x15="http://schemas.microsoft.com/office/spreadsheetml/2010/11/main" uri="{2F2917AC-EB37-4324-AD4E-5DD8C200BD13}">
      <x15:tableSlicerCache tableId="3" column="2"/>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 xr10:uid="{584AC669-07E6-46D1-B04B-5B9A432D9A10}" sourceName="Date">
  <extLst>
    <x:ext xmlns:x15="http://schemas.microsoft.com/office/spreadsheetml/2010/11/main" uri="{2F2917AC-EB37-4324-AD4E-5DD8C200BD13}">
      <x15:tableSlicerCache tableId="1"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rty_Name2" xr10:uid="{B1CE111B-C03D-455C-802F-5A6E1DBFE0F5}" sourceName="Party Name">
  <extLst>
    <x:ext xmlns:x15="http://schemas.microsoft.com/office/spreadsheetml/2010/11/main" uri="{2F2917AC-EB37-4324-AD4E-5DD8C200BD13}">
      <x15:tableSlicerCache tableId="2" column="8"/>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e1" xr10:uid="{59685556-BE76-4A00-81B3-5814BB498FE4}" sourceName="Date">
  <extLst>
    <x:ext xmlns:x15="http://schemas.microsoft.com/office/spreadsheetml/2010/11/main" uri="{2F2917AC-EB37-4324-AD4E-5DD8C200BD13}">
      <x15:tableSlicerCache tableId="14" column="1"/>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rson" xr10:uid="{ADFDF2CD-C831-4FB8-BF02-B2DA1D1400C0}" sourceName="Person">
  <extLst>
    <x:ext xmlns:x15="http://schemas.microsoft.com/office/spreadsheetml/2010/11/main" uri="{2F2917AC-EB37-4324-AD4E-5DD8C200BD13}">
      <x15:tableSlicerCache tableId="16"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xr10:uid="{F2AC5779-5A53-4BA7-BEEF-73B7946A3948}" cache="Slicer_Party_Name" caption="Party Name" columnCount="4" rowHeight="247650"/>
  <slicer name="Date" xr10:uid="{A1A3D396-C797-4750-957E-CF701F9D3C93}" cache="Slicer_Date" caption="Date" rowHeight="2476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1" xr10:uid="{663D6C72-DC00-4848-8A46-2F05DE4A2577}" cache="Slicer_Party_Name1" caption="Party Name" rowHeight="2476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xr10:uid="{8CB7DD44-BF59-47B2-AB64-03EC8FC8FD4A}" cache="Slicer_Party" caption="Party" startItem="21" columnCount="3" rowHeight="180000"/>
  <slicer name="Date 1" xr10:uid="{8E7BDD3C-DB8C-4BD4-9ACC-14DA5E7A745C}" cache="Slicer_Date1" caption="Date" rowHeight="2476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rty Name 2" xr10:uid="{684571A0-AFE3-49B8-B794-50BABDA24345}" cache="Slicer_Party_Name2" caption="Column1" rowHeight="2476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erson" xr10:uid="{F4756620-6DF0-4AD4-88A3-886E9C792FF1}" cache="Slicer_Person" caption="Person" rowHeight="247650"/>
</slicers>
</file>

<file path=xl/slicers/slicer6.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hipment Number" xr10:uid="{07A5CFB3-DECF-470C-B6C0-B5255850F5AA}" cache="Slicer_Shipment_Number" caption="Shipment Number" startItem="4" rowHeight="2476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26F66F6-6434-425A-A910-C3CBF3339B20}" name="Table4" displayName="Table4" ref="B1:E18" totalsRowShown="0">
  <autoFilter ref="B1:E18" xr:uid="{726F66F6-6434-425A-A910-C3CBF3339B20}"/>
  <tableColumns count="4">
    <tableColumn id="1" xr3:uid="{7A2445A9-BF1B-49FB-84BB-52F6CB270F38}" name="Party Name" dataDxfId="123">
      <calculatedColumnFormula>B49</calculatedColumnFormula>
    </tableColumn>
    <tableColumn id="2" xr3:uid="{7EDCC2ED-0339-42B3-9633-FFEA7A3DD9F3}" name="Tiyaar" dataDxfId="122">
      <calculatedColumnFormula>SUMIFS(ledger!G:G, ledger!B:B, B2, ledger!E:E, "&lt;&gt;*RD*") / 1.0936</calculatedColumnFormula>
    </tableColumn>
    <tableColumn id="3" xr3:uid="{CC1535DD-3FE7-4F55-8040-E7643388A78E}" name="Rate"/>
    <tableColumn id="4" xr3:uid="{059CB70B-ADAD-4985-84AA-0D530BAC5567}" name="Total" dataDxfId="121">
      <calculatedColumnFormula>(SUMIFS(ledger!G:G, ledger!B:B, B2, ledger!E:E, "&lt;&gt;*RD*",ledger!D:D, "Silky") / 1.0936)*12 + (SUMIFS(ledger!G:G, ledger!B:B, B2, ledger!E:E, "&lt;&gt;*RD*",ledger!D:D, "Chamki") / 1.0936)*10</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49E5D32-DF9C-4018-96AB-CA98E118D910}" name="Table21" displayName="Table21" ref="B7:E20" totalsRowShown="0" headerRowDxfId="120" dataDxfId="119">
  <autoFilter ref="B7:E20" xr:uid="{449E5D32-DF9C-4018-96AB-CA98E118D910}"/>
  <tableColumns count="4">
    <tableColumn id="1" xr3:uid="{F663704C-91DD-4BB9-B7EB-EEB0C5EDED6C}" name="Description" dataDxfId="118"/>
    <tableColumn id="2" xr3:uid="{6D94D495-CD0B-4FD3-9771-81D731982A97}" name="Rate" dataDxfId="117" dataCellStyle="Comma"/>
    <tableColumn id="3" xr3:uid="{2D14CEAD-3602-40E7-A488-3584EBC9141E}" name="gazana" dataDxfId="116" dataCellStyle="Comma"/>
    <tableColumn id="4" xr3:uid="{06FEE63C-6480-4079-8426-51BC26B38B34}" name="sum" dataDxfId="115" dataCellStyle="Comma">
      <calculatedColumnFormula>Table21[[#This Row],[gazana]]*Table21[[#This Row],[Rate]]</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40D0749A-70DE-4EC8-A4EE-00E713C72289}" name="Table12" displayName="Table12" ref="B3:D14" totalsRowCount="1">
  <autoFilter ref="B3:D13" xr:uid="{40D0749A-70DE-4EC8-A4EE-00E713C72289}"/>
  <tableColumns count="3">
    <tableColumn id="1" xr3:uid="{1EA52ED7-9CB7-4573-9DD3-268050EECEA4}" name="Type"/>
    <tableColumn id="2" xr3:uid="{8DE1A7AC-456D-429D-A522-6C6D0DAD1C74}" name="Amount" totalsRowFunction="custom" dataDxfId="114" totalsRowDxfId="113" dataCellStyle="Comma">
      <totalsRowFormula>SUM(Table12[Amount])</totalsRowFormula>
    </tableColumn>
    <tableColumn id="3" xr3:uid="{12F975D1-A51D-47BD-82DF-F0C35A709016}" name="Descriptio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B9E47AE5-DECF-4AE8-B09E-D2B6BE4574A8}" name="Table20" displayName="Table20" ref="B18:D22" totalsRowShown="0">
  <autoFilter ref="B18:D22" xr:uid="{B9E47AE5-DECF-4AE8-B09E-D2B6BE4574A8}"/>
  <tableColumns count="3">
    <tableColumn id="1" xr3:uid="{A1241CCD-0076-43C0-B909-5B2E7BC5D1EE}" name="Stock"/>
    <tableColumn id="2" xr3:uid="{6CC6073F-DD16-46A3-9F83-C1DB83B8F18B}" name="quantity"/>
    <tableColumn id="3" xr3:uid="{C5BC1FD9-364F-45F2-BB32-96F9E454C99A}" name="Column3"/>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36E8F7F-D03F-4198-8335-91A003EA9E45}" name="Table6" displayName="Table6" ref="B2:C5" totalsRowShown="0" headerRowDxfId="112" dataDxfId="111" headerRowCellStyle="Comma" dataCellStyle="Comma">
  <autoFilter ref="B2:C5" xr:uid="{136E8F7F-D03F-4198-8335-91A003EA9E45}"/>
  <tableColumns count="2">
    <tableColumn id="1" xr3:uid="{279FA697-9952-479A-AC05-0D4992B41374}" name="Column1" dataDxfId="110" dataCellStyle="Comma"/>
    <tableColumn id="2" xr3:uid="{8A64998B-65EF-41CD-BCB0-3DDB7B359C54}" name="Column2" dataDxfId="109" dataCellStyle="Comma"/>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B0C9E74-2F66-4C26-94CA-FD4A0A4B2ACA}" name="Table19" displayName="Table19" ref="B10:C21" totalsRowShown="0">
  <autoFilter ref="B10:C21" xr:uid="{2B0C9E74-2F66-4C26-94CA-FD4A0A4B2ACA}"/>
  <tableColumns count="2">
    <tableColumn id="1" xr3:uid="{4311E5F0-1C85-4B10-9FF6-5ACB13038079}" name="Column1" dataDxfId="108"/>
    <tableColumn id="2" xr3:uid="{51D27FA2-8DDF-4369-BAF7-7D1FE90E16A0}" name="Column2" dataDxfId="107"/>
  </tableColumns>
  <tableStyleInfo name="TableStyleMedium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A0F58B95-D9E6-473F-8BE5-C4A8DDED103B}" name="Table13" displayName="Table13" ref="B2:F35" totalsRowCount="1">
  <autoFilter ref="B2:F34" xr:uid="{A0F58B95-D9E6-473F-8BE5-C4A8DDED103B}"/>
  <tableColumns count="5">
    <tableColumn id="1" xr3:uid="{8D801E24-A4A4-436D-ACAE-08E5208293FB}" name="Date" dataDxfId="106" totalsRowDxfId="105"/>
    <tableColumn id="2" xr3:uid="{8A25A580-75B6-436A-86F0-A6F6FD45C9B8}" name="Type"/>
    <tableColumn id="3" xr3:uid="{D0F39D34-97FE-4856-BF51-811617A1CC29}" name="Debit" totalsRowFunction="sum">
      <calculatedColumnFormula>SUMIFS(Table14[Debit], Table14[Date], Table13[[#This Row],[Date]], Table14[Party], "Transport")</calculatedColumnFormula>
    </tableColumn>
    <tableColumn id="4" xr3:uid="{920800CF-A78E-443D-8B14-2DF96850B1AA}" name="Credit" totalsRowFunction="sum" dataDxfId="104">
      <calculatedColumnFormula>SUMIFS(Table14[Credit], Table14[Date], Table13[[#This Row],[Date]], Table14[Party], "Transport")</calculatedColumnFormula>
    </tableColumn>
    <tableColumn id="5" xr3:uid="{3EAACA7A-7CB5-4CE5-AAFF-541AAE704336}" name="Diff" totalsRowFunction="custom">
      <totalsRowFormula>Table13[[#Totals],[Debit]]-Table13[[#Totals],[Credit]]</totalsRowFormula>
    </tableColumn>
  </tableColumns>
  <tableStyleInfo name="TableStyleMedium2"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1DACEC6-751B-4B1D-817F-5C5BCD38EF6D}" name="Table1" displayName="Table1" ref="A1:K77" totalsRowCount="1" headerRowDxfId="102" dataDxfId="101" headerRowCellStyle="Comma" dataCellStyle="Comma">
  <autoFilter ref="A1:K76" xr:uid="{11DACEC6-751B-4B1D-817F-5C5BCD38EF6D}"/>
  <tableColumns count="11">
    <tableColumn id="1" xr3:uid="{2FCE3FA8-A48C-4685-8919-AE44C6C71FD9}" name="Date" dataDxfId="100" dataCellStyle="Comma"/>
    <tableColumn id="2" xr3:uid="{5780FD5F-0890-44E6-B59C-8E37A559FE36}" name="Party Name" dataDxfId="99" dataCellStyle="Comma"/>
    <tableColumn id="3" xr3:uid="{5B3ECD85-9174-40AC-BFBD-49CAC97A83D3}" name="Bill Number" dataDxfId="98" dataCellStyle="Comma"/>
    <tableColumn id="4" xr3:uid="{11B50761-04B6-4262-AD4D-7182450037D1}" name="Quality" dataDxfId="97" dataCellStyle="Comma"/>
    <tableColumn id="5" xr3:uid="{2C556969-B713-4967-BD24-466AACCBE5F5}" name="Shipment Number" dataDxfId="96" totalsRowDxfId="95" dataCellStyle="Comma"/>
    <tableColumn id="6" xr3:uid="{F4E1FD2B-9017-4DEB-B772-BF447ECE56F7}" name="Kora/metre" dataDxfId="94" totalsRowDxfId="93" dataCellStyle="Comma"/>
    <tableColumn id="7" xr3:uid="{52ACC1DA-7A76-4A90-B809-3A1AE728E7EA}" name="Tiyaar/gaz" dataDxfId="92" totalsRowDxfId="91" dataCellStyle="Comma"/>
    <tableColumn id="8" xr3:uid="{31A0FF5E-56F0-44D1-9865-73256B964660}" name="shortage %" dataDxfId="90" totalsRowDxfId="89" dataCellStyle="Comma">
      <calculatedColumnFormula>_xlfn.XLOOKUP(Table1[[#This Row],[Shipment Number]], 'pivot '!A:A,'pivot '!G:G, "NF")</calculatedColumnFormula>
    </tableColumn>
    <tableColumn id="9" xr3:uid="{F99075E0-AC8E-094D-BB85-272AD2C6C568}" name="tiyar/meters" totalsRowFunction="custom" dataDxfId="88" totalsRowDxfId="87" dataCellStyle="Comma">
      <totalsRowFormula array="1">SUMPRODUCT( SUBTOTAL(109, OFFSET(Table1[tiyar/meters], ROW(Table1[tiyar/meters])-MIN(ROW(Table1[tiyar/meters])), 0, 1)), --(Table1[Bill Number]&lt;&gt;"September Closing CF") )</totalsRowFormula>
    </tableColumn>
    <tableColumn id="10" xr3:uid="{4B2AF87E-7D86-A946-B130-EA2852096C91}" name="billing" totalsRowFunction="custom" dataDxfId="86" totalsRowDxfId="85" dataCellStyle="Comma">
      <totalsRowFormula array="1">SUMPRODUCT( SUBTOTAL(109, OFFSET(Table1[billing], ROW(Table1[billing])-MIN(ROW(Table1[billing])), 0, 1)), --(Table1[Bill Number]&lt;&gt;"September Closing CF") )</totalsRowFormula>
    </tableColumn>
    <tableColumn id="11" xr3:uid="{0D198F0C-D2D3-4F75-9F3B-25A393B5D570}" name="Total Billing" totalsRowFunction="custom" dataDxfId="84" totalsRowDxfId="83" dataCellStyle="Comma">
      <totalsRowFormula>SUMIFS(Table1[billing], Table1[Bill Number], "&lt;&gt;September Closing CF")</totalsRowFormula>
    </tableColumn>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E8C957-ABE7-4E4F-8D4E-7D44E26B334F}" name="Table3" displayName="Table3" ref="A1:I32" totalsRowCount="1" headerRowDxfId="80" headerRowBorderDxfId="79" tableBorderDxfId="78">
  <autoFilter ref="A1:I31" xr:uid="{F8E8C957-ABE7-4E4F-8D4E-7D44E26B334F}"/>
  <tableColumns count="9">
    <tableColumn id="1" xr3:uid="{C2E817D6-AB98-4DDD-8890-736B27F261CD}" name="Date" dataDxfId="77" totalsRowDxfId="76"/>
    <tableColumn id="2" xr3:uid="{CFB51890-CCDC-463C-81C9-3F8BD7469CB9}" name="Party Name"/>
    <tableColumn id="3" xr3:uid="{A113D971-1C9D-4733-99C4-BD0CC4333209}" name="Vehicle Number"/>
    <tableColumn id="4" xr3:uid="{49780304-3DD1-4AE9-98EE-2BC7EB8F3B57}" name="Weight" dataDxfId="75" totalsRowDxfId="74" dataCellStyle="Comma"/>
    <tableColumn id="5" xr3:uid="{FCAF1BC6-1D8C-42AD-8BBC-F924BF2DC7FE}" name="Rate" dataDxfId="73" totalsRowDxfId="72" dataCellStyle="Comma"/>
    <tableColumn id="6" xr3:uid="{8C70A624-4134-410C-9C45-9FDEB51D51BF}" name="Rent" dataDxfId="71" totalsRowDxfId="70" dataCellStyle="Comma"/>
    <tableColumn id="7" xr3:uid="{EBCE10AE-9634-4982-9C95-37ABC8A7078C}" name="Total" totalsRowFunction="sum" dataDxfId="69" totalsRowDxfId="68" dataCellStyle="Comma">
      <calculatedColumnFormula>D2*E2</calculatedColumnFormula>
    </tableColumn>
    <tableColumn id="9" xr3:uid="{D4788559-C94A-44D9-B9AE-E72B214355AC}" name="Paid" totalsRowFunction="sum" dataDxfId="67" totalsRowDxfId="66" dataCellStyle="Comma"/>
    <tableColumn id="8" xr3:uid="{E26F5BF0-1875-4FC6-994D-49F202ED562B}" name="balance" totalsRowFunction="sum" dataDxfId="65" totalsRowDxfId="64" dataCellStyle="Comma">
      <calculatedColumnFormula>(D2*E2)-Table3[[#This Row],[Paid]]</calculatedColumnFormula>
    </tableColumn>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CB032221-B416-47A8-9A76-693DE76CFD04}" name="Table14" displayName="Table14" ref="A1:G179" totalsRowCount="1">
  <autoFilter ref="A1:G178" xr:uid="{CB032221-B416-47A8-9A76-693DE76CFD04}"/>
  <tableColumns count="7">
    <tableColumn id="1" xr3:uid="{554B1EED-65B6-4E9A-B646-82727FAC40DE}" name="Date" dataDxfId="62" totalsRowDxfId="3"/>
    <tableColumn id="2" xr3:uid="{32259059-42CF-4947-83DE-115AA430BE2B}" name="Party"/>
    <tableColumn id="3" xr3:uid="{A1320223-D55D-483C-91C3-AB19B95CC9D8}" name="Debit" totalsRowFunction="sum" dataDxfId="61" totalsRowDxfId="2" dataCellStyle="Comma"/>
    <tableColumn id="4" xr3:uid="{E9745767-9FF0-4B1C-9052-FF335D1D7588}" name="Credit" totalsRowFunction="sum" dataDxfId="60" totalsRowDxfId="1" dataCellStyle="Comma"/>
    <tableColumn id="5" xr3:uid="{5C88A48E-2467-4E6D-B626-2442B7FD0BE4}" name="Description"/>
    <tableColumn id="6" xr3:uid="{63CA4666-144E-4BE6-8B7C-7CB992BD3041}" name="Mode" totalsRowFunction="custom" dataDxfId="59" totalsRowDxfId="0">
      <totalsRowFormula>(Table14[[#Totals],[Credit]]-Table14[[#Totals],[Debit]])</totalsRowFormula>
    </tableColumn>
    <tableColumn id="7" xr3:uid="{949C7305-E4C4-48D6-B5DE-F5966AE105DD}" name="Withdrawal"/>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DCE01694-23ED-48BF-8B92-4186B9ED10A8}" name="Table17" displayName="Table17" ref="J3:K6" totalsRowShown="0" headerRowBorderDxfId="58" tableBorderDxfId="57" totalsRowBorderDxfId="56">
  <autoFilter ref="J3:K6" xr:uid="{DCE01694-23ED-48BF-8B92-4186B9ED10A8}"/>
  <tableColumns count="2">
    <tableColumn id="1" xr3:uid="{C8484DAF-2989-4C2F-9AEC-A6917E1C57F6}" name="Type" dataDxfId="55"/>
    <tableColumn id="2" xr3:uid="{B07B7A2A-4D4E-4654-BED6-FE2F0A7BEC34}" name="Amount" dataDxfId="54"/>
  </tableColumns>
  <tableStyleInfo name="TableStyleMedium2"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D166BDD1-ACD7-45D7-8AE9-7350373F8CEB}" name="Table18" displayName="Table18" ref="M3:O7" totalsRowCount="1" headerRowDxfId="53" headerRowBorderDxfId="52" tableBorderDxfId="51" totalsRowBorderDxfId="50">
  <autoFilter ref="M3:O6" xr:uid="{D166BDD1-ACD7-45D7-8AE9-7350373F8CEB}"/>
  <tableColumns count="3">
    <tableColumn id="1" xr3:uid="{64F0205E-DEA7-4571-BA86-E4374A5FEE28}" name="Type" totalsRowLabel="Total" dataDxfId="49" totalsRowDxfId="48"/>
    <tableColumn id="2" xr3:uid="{15FA05F9-789C-4459-9BE0-5C1EC84D3365}" name="amount" totalsRowFunction="custom" dataDxfId="47" totalsRowDxfId="46">
      <totalsRowFormula>SUM(N5:N6)</totalsRowFormula>
    </tableColumn>
    <tableColumn id="3" xr3:uid="{3681D409-90C6-44D0-BDE2-4B5943A516F0}" name="Actual" totalsRowFunction="custom" totalsRowDxfId="45">
      <totalsRowFormula>SUM(O5,O6)</totalsRowFormula>
    </tableColumn>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77E0731B-E176-4C4A-A6F7-CD6C16273723}" name="Table7" displayName="Table7" ref="K2:N5" totalsRowCount="1">
  <autoFilter ref="K2:N4" xr:uid="{77E0731B-E176-4C4A-A6F7-CD6C16273723}"/>
  <tableColumns count="4">
    <tableColumn id="1" xr3:uid="{ED2EE743-D65D-40B8-B1D2-9A3999DB9021}" name="Date" dataDxfId="44" totalsRowDxfId="43"/>
    <tableColumn id="2" xr3:uid="{5B9D0FEE-4304-4C5C-A05C-5B27CF7841D3}" name="Type"/>
    <tableColumn id="3" xr3:uid="{6A91CA0D-C802-4C6F-9F39-CA53687E8EDE}" name="Description"/>
    <tableColumn id="4" xr3:uid="{A251D40C-AB87-4BB4-85F8-444B20E32FDF}" name="Total" totalsRowFunction="custom" dataDxfId="42" totalsRowDxfId="41" dataCellStyle="Comma">
      <totalsRowFormula>SUM(Table7[Total])</totalsRowFormula>
    </tableColumn>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B276AC52-D856-4F5C-BAC5-B41503DDA11B}" name="Table8" displayName="Table8" ref="A1:I8" totalsRowCount="1" headerRowDxfId="40" headerRowBorderDxfId="39">
  <autoFilter ref="A1:I7" xr:uid="{B276AC52-D856-4F5C-BAC5-B41503DDA11B}"/>
  <tableColumns count="9">
    <tableColumn id="1" xr3:uid="{1A00B993-AF25-45A2-BFF9-E0DD747BB444}" name="Date"/>
    <tableColumn id="2" xr3:uid="{0A3FC504-E40A-4FB2-9B51-E79A4BC1EC63}" name="Chemical Name"/>
    <tableColumn id="3" xr3:uid="{216C88B1-47EE-4EC2-975B-32C391B36543}" name="Boxes"/>
    <tableColumn id="5" xr3:uid="{124DE3CE-AA7A-4822-99BD-69CE8547DD00}" name="Rate" dataDxfId="38"/>
    <tableColumn id="4" xr3:uid="{1889A312-9B41-4EC4-BD8F-05252F27084A}" name="Price" totalsRowFunction="sum"/>
    <tableColumn id="6" xr3:uid="{8B974B20-F003-4E67-8660-024FA4F324A9}" name="Party"/>
    <tableColumn id="7" xr3:uid="{0A5A5C21-FD61-47DA-9F54-66A6479FA557}" name="Paid" dataDxfId="37">
      <calculatedColumnFormula>SUMIFS(Table14[Debit], Table14[Date], Table8[[#This Row],[Date]], Table14[Party], Table8[[#This Row],[Party]])</calculatedColumnFormula>
    </tableColumn>
    <tableColumn id="8" xr3:uid="{8DCB3B43-2161-4081-82EC-CDB0F4DE4E6F}" name="Balance" totalsRowFunction="sum" dataDxfId="36">
      <calculatedColumnFormula>Table8[[#This Row],[Price]]-Table8[[#This Row],[Paid]]</calculatedColumnFormula>
    </tableColumn>
    <tableColumn id="9" xr3:uid="{774991E8-E731-4369-B42A-6867C4E08D5A}" name="info"/>
  </tableColumns>
  <tableStyleInfo name="TableStyleMedium2"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D3C87E4-120A-4395-90A1-466202120EC6}" name="Table23" displayName="Table23" ref="L33:P56" totalsRowShown="0">
  <autoFilter ref="L33:P56" xr:uid="{3D3C87E4-120A-4395-90A1-466202120EC6}"/>
  <tableColumns count="5">
    <tableColumn id="1" xr3:uid="{3790A6D0-5CFF-413F-A3F3-4DC22D4BF461}" name="Stock"/>
    <tableColumn id="2" xr3:uid="{D41F9BA4-5950-4E87-AFB4-4300ED9B7EC7}" name="boxes"/>
    <tableColumn id="3" xr3:uid="{8FD2097B-B76F-4506-8A7C-680AAA414EF4}" name="kgs"/>
    <tableColumn id="4" xr3:uid="{2DE2F906-CF4C-457D-A4F8-CE5A4953DA02}" name="Rate"/>
    <tableColumn id="5" xr3:uid="{CCDBF5A6-50E5-44F0-89C8-65E15A59CF7C}" name="total"/>
  </tableColumns>
  <tableStyleInfo name="TableStyleMedium2"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18ECE447-7C3E-4E68-93A1-CFBC40F77258}" name="Table2325" displayName="Table2325" ref="A13:E37" totalsRowCount="1">
  <autoFilter ref="A13:E36" xr:uid="{18ECE447-7C3E-4E68-93A1-CFBC40F77258}"/>
  <tableColumns count="5">
    <tableColumn id="1" xr3:uid="{14FC11FB-D9C7-464F-BC0D-00D0DBE7D387}" name="Stock"/>
    <tableColumn id="2" xr3:uid="{08852A10-B253-4125-923F-8339BB6E494E}" name="boxes"/>
    <tableColumn id="3" xr3:uid="{337A4ADE-F0D9-4AED-B032-9EBD8AEF8401}" name="kgs"/>
    <tableColumn id="4" xr3:uid="{9C1C0875-C9E7-4E5B-AB3E-0C5189D43AEC}" name="Rate"/>
    <tableColumn id="5" xr3:uid="{B957BF57-E4E7-4F92-8ABA-5B0CD4B0B740}" name="total" totalsRowFunction="custom">
      <totalsRowFormula>SUM(Table2325[total])</totalsRowFormula>
    </tableColumn>
  </tableColumns>
  <tableStyleInfo name="TableStyleMedium2"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4C80688-A8BA-4BA7-90B4-791CD99446B4}" name="Table2" displayName="Table2" ref="A4:H10" totalsRowCount="1" headerRowDxfId="35" headerRowBorderDxfId="34">
  <autoFilter ref="A4:H9" xr:uid="{A4C80688-A8BA-4BA7-90B4-791CD99446B4}"/>
  <sortState xmlns:xlrd2="http://schemas.microsoft.com/office/spreadsheetml/2017/richdata2" ref="A5:H6">
    <sortCondition ref="A4:A6"/>
  </sortState>
  <tableColumns count="8">
    <tableColumn id="1" xr3:uid="{4A818912-918E-4111-ACFC-BC93FEF7C1AD}" name="Date" dataDxfId="33" totalsRowDxfId="32"/>
    <tableColumn id="8" xr3:uid="{477ACFD5-62AF-4F69-974B-E9B974C11D7D}" name="Party Name" dataDxfId="31"/>
    <tableColumn id="2" xr3:uid="{5B0EA59B-2D3B-4B7B-BA56-6C615D2F6506}" name="Item"/>
    <tableColumn id="3" xr3:uid="{6300FCFD-553D-4800-9CD0-2405B6C4D56F}" name="Boxes"/>
    <tableColumn id="4" xr3:uid="{9FBD2AB3-9F7F-4D27-86AD-36F05B132D6A}" name="Quantity"/>
    <tableColumn id="5" xr3:uid="{F5590721-CD26-461E-BC7A-3AC6FD6C8D07}" name="Price" totalsRowFunction="sum" dataDxfId="30">
      <calculatedColumnFormula>Table2[[#This Row],[Quantity]]*200*Table2[[#This Row],[Boxes]]</calculatedColumnFormula>
    </tableColumn>
    <tableColumn id="6" xr3:uid="{30432929-CBD4-4BA8-B63F-CD0F6CF6405F}" name="Paid" totalsRowFunction="sum" dataDxfId="29">
      <calculatedColumnFormula>SUMIFS(Table14[Debit], Table14[Date], Table2[[#This Row],[Date]], Table14[Party], Table2[[#This Row],[Party Name]],Table14[Description],Table2[[#This Row],[Item]])</calculatedColumnFormula>
    </tableColumn>
    <tableColumn id="7" xr3:uid="{BB689DF2-5D1E-436D-84C4-9745D88E8F3D}" name="Balance" totalsRowFunction="sum" dataDxfId="28">
      <calculatedColumnFormula>Table2[[#This Row],[Price]]-Table2[[#This Row],[Paid]]</calculatedColumnFormula>
    </tableColumn>
  </tableColumns>
  <tableStyleInfo name="TableStyleMedium2"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1B357E87-68FF-4AC2-8066-39F0E529CFC4}" name="Table10" displayName="Table10" ref="B2:E7" totalsRowShown="0">
  <autoFilter ref="B2:E7" xr:uid="{1B357E87-68FF-4AC2-8066-39F0E529CFC4}"/>
  <tableColumns count="4">
    <tableColumn id="1" xr3:uid="{787B6E2D-E4E4-408D-8699-000441F05577}" name="Date"/>
    <tableColumn id="2" xr3:uid="{8AC4085A-53BD-4DCC-AABB-BDA934F378A3}" name="Bill number"/>
    <tableColumn id="3" xr3:uid="{69AD0C13-F4F5-48D9-A785-CD628CA35526}" name="Units"/>
    <tableColumn id="4" xr3:uid="{9C0851DF-D6F1-4E88-AC04-06EE93955F1C}" name="Total"/>
  </tableColumns>
  <tableStyleInfo name="TableStyleMedium2"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288DB1B-6B38-4D3F-A584-F50B092833D5}" name="Table210" displayName="Table210" ref="B2:E6" totalsRowCount="1">
  <autoFilter ref="B2:E5" xr:uid="{2288DB1B-6B38-4D3F-A584-F50B092833D5}"/>
  <sortState xmlns:xlrd2="http://schemas.microsoft.com/office/spreadsheetml/2017/richdata2" ref="B3:E3">
    <sortCondition ref="B3"/>
  </sortState>
  <tableColumns count="4">
    <tableColumn id="11" xr3:uid="{98DE5394-4EDB-4DDA-8F3F-AA0DF0DC98BB}" name="Date" totalsRowLabel="Total"/>
    <tableColumn id="1" xr3:uid="{72BAEFE6-C0F7-4E56-9269-EAE763B50636}" name="Type"/>
    <tableColumn id="2" xr3:uid="{5CD13227-2772-4576-B38D-C6906BDDB84D}" name="Amount" totalsRowFunction="sum" dataDxfId="27" totalsRowDxfId="26" dataCellStyle="Comma"/>
    <tableColumn id="6" xr3:uid="{8816813F-07CA-42C2-B1D6-851406F94D6E}" name="Column1" totalsRowFunction="count"/>
  </tableColumns>
  <tableStyleInfo name="TableStyleMedium2"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2116EC9-BBDE-41BB-A2D7-8BCF3AB6260F}" name="Table11" displayName="Table11" ref="B2:E37" totalsRowCount="1">
  <autoFilter ref="B2:E36" xr:uid="{62116EC9-BBDE-41BB-A2D7-8BCF3AB6260F}"/>
  <tableColumns count="4">
    <tableColumn id="1" xr3:uid="{7DB097C9-B24B-4164-AE75-219BA075790F}" name="Date" dataDxfId="25" totalsRowDxfId="24"/>
    <tableColumn id="2" xr3:uid="{053BFC14-4828-417C-9F9F-95B6E232A945}" name="Amount" totalsRowFunction="custom" dataDxfId="23" totalsRowDxfId="22" dataCellStyle="Comma">
      <calculatedColumnFormula>Cashbook!#REF!</calculatedColumnFormula>
      <totalsRowFormula>SUM(Table11[Amount])</totalsRowFormula>
    </tableColumn>
    <tableColumn id="3" xr3:uid="{2E55C6E1-AD6B-4BC4-97B3-79E57921B815}" name="Column1"/>
    <tableColumn id="4" xr3:uid="{7EA13E0F-23E7-454D-8FB4-1534C59EB376}" name="Column2"/>
  </tableColumns>
  <tableStyleInfo name="TableStyleMedium2"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A7B203B0-1AB7-490A-A749-F34A78C46DF4}" name="Table16" displayName="Table16" ref="H2:J36" totalsRowCount="1">
  <autoFilter ref="H2:J35" xr:uid="{A7B203B0-1AB7-490A-A749-F34A78C46DF4}"/>
  <tableColumns count="3">
    <tableColumn id="1" xr3:uid="{B4CDCF07-E9DA-48C6-997D-76B3FCF36D4E}" name="Date" dataDxfId="21" totalsRowDxfId="20"/>
    <tableColumn id="2" xr3:uid="{EC66B9BB-B8FA-42B5-8213-88EBD296FC5F}" name="Advance" totalsRowFunction="sum">
      <calculatedColumnFormula>SUMIFS(Table14[Debit], Table14[Date], Table16[[#This Row],[Date]], Table14[Party], "Advance Salary", Table14[Description], Table16[[#This Row],[Person]] )</calculatedColumnFormula>
    </tableColumn>
    <tableColumn id="3" xr3:uid="{BC0CDAC8-9BF5-4D1D-BC37-F21C6DCD121A}" name="Perso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4694C645-BA0B-477E-AE5E-02046C12E841}" name="Table5" displayName="Table5" ref="B2:E35" totalsRowCount="1">
  <autoFilter ref="B2:E34" xr:uid="{4694C645-BA0B-477E-AE5E-02046C12E841}"/>
  <tableColumns count="4">
    <tableColumn id="1" xr3:uid="{1D391A77-9D14-4B37-AD91-EEEDC97B6A4E}" name="Date" dataDxfId="10" totalsRowDxfId="9"/>
    <tableColumn id="2" xr3:uid="{B579509C-6B30-4107-AD5D-29484D2620F7}" name="Type"/>
    <tableColumn id="3" xr3:uid="{4563E1C4-DFFB-47FA-BCFB-33EA270AD884}" name="Amount" totalsRowFunction="custom">
      <calculatedColumnFormula>SUMIFS(Table14[Debit], Table14[Date], Table5[[#This Row],[Date]], Table14[Party], "Rashan")</calculatedColumnFormula>
      <totalsRowFormula>SUM(Table5[Amount])</totalsRowFormula>
    </tableColumn>
    <tableColumn id="4" xr3:uid="{7D5F88DD-337D-497A-A5B0-AF06B47BEDD2}" name="Column1"/>
  </tableColumns>
  <tableStyleInfo name="TableStyleMedium2" showFirstColumn="0" showLastColumn="0" showRowStripes="1" showColumnStripes="0"/>
</table>
</file>

<file path=xl/tables/table2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7265B0E-A50D-4BC5-9C1C-E62AF5B48CAF}" name="Table15" displayName="Table15" ref="H2:J35" totalsRowCount="1">
  <autoFilter ref="H2:J34" xr:uid="{A7265B0E-A50D-4BC5-9C1C-E62AF5B48CAF}"/>
  <tableColumns count="3">
    <tableColumn id="1" xr3:uid="{AB5830E5-ECCF-4406-AB96-EB98EE86F300}" name="Date" dataDxfId="8" totalsRowDxfId="7"/>
    <tableColumn id="2" xr3:uid="{4EBD2B2B-3B34-41C2-ABCE-6323AB3BD2BC}" name="Type"/>
    <tableColumn id="3" xr3:uid="{D68E9581-5913-4B55-8149-35CB7814F997}" name="Amount" totalsRowFunction="custom">
      <calculatedColumnFormula>SUMIFS(Table14[Debit], Table14[Date], Table15[[#This Row],[Date]], Table14[Party], "Parts")</calculatedColumnFormula>
      <totalsRowFormula>SUM(Table15[Amount])</totalsRowFormula>
    </tableColumn>
  </tableColumns>
  <tableStyleInfo name="TableStyleMedium2" showFirstColumn="0" showLastColumn="0" showRowStripes="1" showColumnStripes="0"/>
</table>
</file>

<file path=xl/tables/table2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2993807-B770-4023-98E3-8834035352C5}" name="Table22" displayName="Table22" ref="A1:C28" totalsRowShown="0">
  <autoFilter ref="A1:C28" xr:uid="{12993807-B770-4023-98E3-8834035352C5}"/>
  <tableColumns count="3">
    <tableColumn id="1" xr3:uid="{DF7536DF-F3D0-48F5-83DE-312320C1F7F4}" name="Party Name" dataDxfId="6">
      <calculatedColumnFormula>Billing!Q5</calculatedColumnFormula>
    </tableColumn>
    <tableColumn id="2" xr3:uid="{7093A59E-B58F-487D-888A-9AA8156B5F9A}" name="Amount Paid" dataDxfId="5">
      <calculatedColumnFormula>Billing!AA5</calculatedColumnFormula>
    </tableColumn>
    <tableColumn id="3" xr3:uid="{82D37DD3-FDA4-4C89-BBC6-89947894747E}" name="Balance"/>
  </tableColumns>
  <tableStyleInfo name="TableStyleMedium2" showFirstColumn="0" showLastColumn="0" showRowStripes="1" showColumnStripes="0"/>
</table>
</file>

<file path=xl/tables/table2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EFFCFD9F-93FF-4AFC-90E2-CE42E8512CA2}" name="Table25" displayName="Table25" ref="A1:B18" totalsRowShown="0">
  <autoFilter ref="A1:B18" xr:uid="{EFFCFD9F-93FF-4AFC-90E2-CE42E8512CA2}"/>
  <tableColumns count="2">
    <tableColumn id="1" xr3:uid="{31AA849F-784A-4EE5-9A44-4DB4BC5751A0}" name="Party Names">
      <calculatedColumnFormula>Billing!Q5</calculatedColumnFormula>
    </tableColumn>
    <tableColumn id="2" xr3:uid="{F72CFEEB-BA11-4A49-BD19-88592EB6A27C}" name="Credit" dataDxfId="4" dataCellStyle="Comma">
      <calculatedColumnFormula>_xlfn.XLOOKUP($A2,[1]Billing!$O$5:$O$29,[1]Billing!$W$5:$W$29)</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7.xml"/></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pivotTable" Target="../pivotTables/pivotTable3.xml"/><Relationship Id="rId1" Type="http://schemas.openxmlformats.org/officeDocument/2006/relationships/pivotTable" Target="../pivotTables/pivotTable2.xml"/><Relationship Id="rId6" Type="http://schemas.microsoft.com/office/2007/relationships/slicer" Target="../slicers/slicer1.xml"/><Relationship Id="rId5" Type="http://schemas.openxmlformats.org/officeDocument/2006/relationships/table" Target="../tables/table8.xml"/><Relationship Id="rId4" Type="http://schemas.openxmlformats.org/officeDocument/2006/relationships/drawing" Target="../drawings/drawing1.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6.bin"/><Relationship Id="rId1" Type="http://schemas.openxmlformats.org/officeDocument/2006/relationships/pivotTable" Target="../pivotTables/pivotTable4.xml"/><Relationship Id="rId5" Type="http://schemas.microsoft.com/office/2007/relationships/slicer" Target="../slicers/slicer2.xml"/><Relationship Id="rId4" Type="http://schemas.openxmlformats.org/officeDocument/2006/relationships/table" Target="../tables/table9.xm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3.xml"/><Relationship Id="rId7" Type="http://schemas.microsoft.com/office/2007/relationships/slicer" Target="../slicers/slicer3.xml"/><Relationship Id="rId2" Type="http://schemas.openxmlformats.org/officeDocument/2006/relationships/printerSettings" Target="../printerSettings/printerSettings7.bin"/><Relationship Id="rId1" Type="http://schemas.openxmlformats.org/officeDocument/2006/relationships/pivotTable" Target="../pivotTables/pivotTable5.xml"/><Relationship Id="rId6" Type="http://schemas.openxmlformats.org/officeDocument/2006/relationships/table" Target="../tables/table12.xml"/><Relationship Id="rId5" Type="http://schemas.openxmlformats.org/officeDocument/2006/relationships/table" Target="../tables/table11.xml"/><Relationship Id="rId4" Type="http://schemas.openxmlformats.org/officeDocument/2006/relationships/table" Target="../tables/table10.xml"/></Relationships>
</file>

<file path=xl/worksheets/_rels/sheet9.xml.rels><?xml version="1.0" encoding="UTF-8" standalone="yes"?>
<Relationships xmlns="http://schemas.openxmlformats.org/package/2006/relationships"><Relationship Id="rId3" Type="http://schemas.openxmlformats.org/officeDocument/2006/relationships/table" Target="../tables/table14.xml"/><Relationship Id="rId2" Type="http://schemas.openxmlformats.org/officeDocument/2006/relationships/table" Target="../tables/table13.xml"/><Relationship Id="rId1" Type="http://schemas.openxmlformats.org/officeDocument/2006/relationships/pivotTable" Target="../pivotTables/pivotTable6.xml"/><Relationship Id="rId5" Type="http://schemas.openxmlformats.org/officeDocument/2006/relationships/table" Target="../tables/table16.xml"/><Relationship Id="rId4" Type="http://schemas.openxmlformats.org/officeDocument/2006/relationships/table" Target="../tables/table15.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7.xml"/><Relationship Id="rId2" Type="http://schemas.openxmlformats.org/officeDocument/2006/relationships/drawing" Target="../drawings/drawing4.xml"/><Relationship Id="rId1" Type="http://schemas.openxmlformats.org/officeDocument/2006/relationships/pivotTable" Target="../pivotTables/pivotTable7.xml"/><Relationship Id="rId4" Type="http://schemas.microsoft.com/office/2007/relationships/slicer" Target="../slicers/slicer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8.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9.xml"/></Relationships>
</file>

<file path=xl/worksheets/_rels/sheet13.xml.rels><?xml version="1.0" encoding="UTF-8" standalone="yes"?>
<Relationships xmlns="http://schemas.openxmlformats.org/package/2006/relationships"><Relationship Id="rId3" Type="http://schemas.openxmlformats.org/officeDocument/2006/relationships/table" Target="../tables/table20.xml"/><Relationship Id="rId2" Type="http://schemas.openxmlformats.org/officeDocument/2006/relationships/drawing" Target="../drawings/drawing5.xml"/><Relationship Id="rId1" Type="http://schemas.openxmlformats.org/officeDocument/2006/relationships/printerSettings" Target="../printerSettings/printerSettings8.bin"/><Relationship Id="rId5" Type="http://schemas.microsoft.com/office/2007/relationships/slicer" Target="../slicers/slicer5.xml"/><Relationship Id="rId4" Type="http://schemas.openxmlformats.org/officeDocument/2006/relationships/table" Target="../tables/table21.xml"/></Relationships>
</file>

<file path=xl/worksheets/_rels/sheet14.xml.rels><?xml version="1.0" encoding="UTF-8" standalone="yes"?>
<Relationships xmlns="http://schemas.openxmlformats.org/package/2006/relationships"><Relationship Id="rId3" Type="http://schemas.microsoft.com/office/2007/relationships/slicer" Target="../slicers/slicer6.xml"/><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15.xml.rels><?xml version="1.0" encoding="UTF-8" standalone="yes"?>
<Relationships xmlns="http://schemas.openxmlformats.org/package/2006/relationships"><Relationship Id="rId2" Type="http://schemas.openxmlformats.org/officeDocument/2006/relationships/table" Target="../tables/table23.xml"/><Relationship Id="rId1" Type="http://schemas.openxmlformats.org/officeDocument/2006/relationships/table" Target="../tables/table22.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24.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2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413788-DC3D-4686-B6D6-08186A86599F}">
  <dimension ref="A1:AD102"/>
  <sheetViews>
    <sheetView topLeftCell="B74" zoomScale="127" workbookViewId="0">
      <selection activeCell="I83" sqref="I83"/>
    </sheetView>
  </sheetViews>
  <sheetFormatPr defaultRowHeight="14.4" x14ac:dyDescent="0.3"/>
  <cols>
    <col min="2" max="2" width="12.88671875" bestFit="1" customWidth="1"/>
    <col min="3" max="3" width="13.6640625" customWidth="1"/>
    <col min="4" max="4" width="12.5546875" customWidth="1"/>
    <col min="5" max="5" width="11" customWidth="1"/>
    <col min="6" max="6" width="13.33203125" customWidth="1"/>
    <col min="7" max="7" width="15.88671875" bestFit="1" customWidth="1"/>
    <col min="8" max="8" width="12.33203125" bestFit="1" customWidth="1"/>
    <col min="9" max="10" width="12.33203125" customWidth="1"/>
    <col min="11" max="11" width="15.21875" bestFit="1" customWidth="1"/>
    <col min="12" max="12" width="12" bestFit="1" customWidth="1"/>
    <col min="13" max="13" width="11.109375" bestFit="1" customWidth="1"/>
    <col min="14" max="15" width="16.21875" customWidth="1"/>
    <col min="16" max="16" width="11.44140625" customWidth="1"/>
    <col min="17" max="17" width="16.21875" customWidth="1"/>
    <col min="18" max="18" width="19.109375" customWidth="1"/>
    <col min="19" max="19" width="11.109375" customWidth="1"/>
    <col min="20" max="20" width="13.88671875" customWidth="1"/>
    <col min="21" max="21" width="14.88671875" customWidth="1"/>
    <col min="22" max="22" width="13" customWidth="1"/>
    <col min="23" max="23" width="15.5546875" customWidth="1"/>
    <col min="24" max="24" width="15.21875" bestFit="1" customWidth="1"/>
    <col min="25" max="25" width="12" bestFit="1" customWidth="1"/>
    <col min="26" max="26" width="11.109375" bestFit="1" customWidth="1"/>
    <col min="27" max="27" width="15.77734375" customWidth="1"/>
    <col min="28" max="28" width="10.88671875" customWidth="1"/>
    <col min="30" max="30" width="15.88671875" customWidth="1"/>
    <col min="33" max="33" width="12.109375" customWidth="1"/>
    <col min="34" max="34" width="11.44140625" customWidth="1"/>
  </cols>
  <sheetData>
    <row r="1" spans="2:30" ht="28.8" x14ac:dyDescent="0.55000000000000004">
      <c r="B1" t="s">
        <v>2</v>
      </c>
      <c r="C1" t="s">
        <v>3</v>
      </c>
      <c r="D1" t="s">
        <v>4</v>
      </c>
      <c r="E1" t="s">
        <v>5</v>
      </c>
      <c r="G1" s="9" t="s">
        <v>0</v>
      </c>
    </row>
    <row r="2" spans="2:30" x14ac:dyDescent="0.3">
      <c r="B2" t="str">
        <f t="shared" ref="B2:B18" si="0">B49</f>
        <v>BSC</v>
      </c>
      <c r="C2" s="18">
        <f>SUMIFS(ledger!G:G, ledger!B:B, B2, ledger!E:E, "&lt;&gt;*RD*") / 1.0936</f>
        <v>195843.08705193858</v>
      </c>
      <c r="D2">
        <v>10</v>
      </c>
      <c r="E2" s="14">
        <f>(SUMIFS(ledger!G:G, ledger!B:B, B2, ledger!E:E, "&lt;&gt;*RD*",ledger!D:D, "Silky") / 1.0936)*12 + (SUMIFS(ledger!G:G, ledger!B:B, B2, ledger!E:E, "&lt;&gt;*RD*",ledger!D:D, "Chamki") / 1.0936)*10</f>
        <v>2074765.910753475</v>
      </c>
      <c r="Q2" t="s">
        <v>1</v>
      </c>
    </row>
    <row r="3" spans="2:30" x14ac:dyDescent="0.3">
      <c r="B3" t="str">
        <f t="shared" si="0"/>
        <v>Ejaz Sahab</v>
      </c>
      <c r="C3" s="18">
        <f>SUMIFS(ledger!G:G, ledger!B:B, B3, ledger!E:E, "&lt;&gt;*RD*") / 1.0936</f>
        <v>44246.525237746893</v>
      </c>
      <c r="D3">
        <v>10</v>
      </c>
      <c r="E3" s="14">
        <f>(SUMIFS(ledger!G:G, ledger!B:B, B3, ledger!E:E, "&lt;&gt;*RD*",ledger!D:D, "Silky") / 1.0936)*12 + (SUMIFS(ledger!G:G, ledger!B:B, B3, ledger!E:E, "&lt;&gt;*RD*",ledger!D:D, "Chamki") / 1.0936)*10</f>
        <v>530958.30285296275</v>
      </c>
    </row>
    <row r="4" spans="2:30" x14ac:dyDescent="0.3">
      <c r="B4" t="str">
        <f t="shared" si="0"/>
        <v>Arshad</v>
      </c>
      <c r="C4" s="18">
        <f>SUMIFS(ledger!G:G, ledger!B:B, B4, ledger!E:E, "&lt;&gt;*RD*") / 1.0936</f>
        <v>84637.893196781282</v>
      </c>
      <c r="D4">
        <v>10</v>
      </c>
      <c r="E4" s="14">
        <f>(SUMIFS(ledger!G:G, ledger!B:B, B4, ledger!E:E, "&lt;&gt;*RD*",ledger!D:D, "Silky") / 1.0936)*12 + (SUMIFS(ledger!G:G, ledger!B:B, B4, ledger!E:E, "&lt;&gt;*RD*",ledger!D:D, "Chamki") / 1.0936)*10</f>
        <v>846378.93196781282</v>
      </c>
      <c r="Q4" s="22"/>
      <c r="R4" s="24" t="s">
        <v>10</v>
      </c>
      <c r="S4" s="24" t="s">
        <v>11</v>
      </c>
      <c r="T4" s="24" t="s">
        <v>12</v>
      </c>
      <c r="U4" s="24" t="s">
        <v>13</v>
      </c>
      <c r="V4" s="24" t="s">
        <v>14</v>
      </c>
      <c r="W4" s="24" t="s">
        <v>15</v>
      </c>
      <c r="X4" s="24" t="s">
        <v>315</v>
      </c>
      <c r="Y4" s="24" t="s">
        <v>316</v>
      </c>
      <c r="Z4" s="24" t="s">
        <v>16</v>
      </c>
      <c r="AA4" s="24" t="s">
        <v>17</v>
      </c>
      <c r="AB4" s="24" t="s">
        <v>18</v>
      </c>
      <c r="AC4" s="24" t="s">
        <v>19</v>
      </c>
      <c r="AD4" s="24" t="s">
        <v>20</v>
      </c>
    </row>
    <row r="5" spans="2:30" x14ac:dyDescent="0.3">
      <c r="B5" t="str">
        <f t="shared" si="0"/>
        <v>Shehzad Kamoki</v>
      </c>
      <c r="C5" s="18">
        <f>SUMIFS(ledger!G:G, ledger!B:B, B5, ledger!E:E, "&lt;&gt;*RD*") / 1.0936</f>
        <v>0</v>
      </c>
      <c r="D5">
        <v>10.5</v>
      </c>
      <c r="E5" s="14">
        <f>(SUMIFS(ledger!G:G, ledger!B:B, B5, ledger!E:E, "&lt;&gt;*RD*",ledger!D:D, "Silky") / 1.0936)*12 + (SUMIFS(ledger!G:G, ledger!B:B, B5, ledger!E:E, "&lt;&gt;*RD*",ledger!D:D, "Chamki") / 1.0936)*10.5</f>
        <v>0</v>
      </c>
      <c r="Q5" s="25" t="str" cm="1">
        <f t="array" ref="Q5:Q23">_xlfn.UNIQUE(Table1[Party Name])</f>
        <v>BSC</v>
      </c>
      <c r="R5" s="23" cm="1">
        <f t="array" ref="R5">_xlfn.BYROW(B49,_xlfn.LAMBDA(_xlpm.party,SUMIFS(ledger!G:G,ledger!B:B,_xlpm.party,ledger!E:E,"&lt;&gt;*RD*")))+_xlfn.IFNA(C84,0)</f>
        <v>1880103</v>
      </c>
      <c r="S5" s="23" cm="1">
        <f t="array" ref="S5">_xlfn.BYROW(B49, _xlfn.LAMBDA(_xlpm.party, SUMIFS(ledger!G:G, ledger!B:B, _xlpm.party, ledger!E:E, "&lt;&gt;*RD*") / 1.0936 ))+_xlfn.IFNA(D84,0)</f>
        <v>1719187.0885149965</v>
      </c>
      <c r="T5" s="23" cm="1">
        <f t="array" ref="T5">(_xlfn.BYROW(B49,_xlfn.LAMBDA(_xlpm.party,SUMIFS(ledger!G:G,ledger!B:B,_xlpm.party,ledger!E:E,"&lt;&gt;*RD*",ledger!D:D,"Chamki")+SUMIFS(ledger!G:G, ledger!B:B, _xlpm.party, ledger!E:E, "&lt;&gt;*RD*", ledger!D:D, "Crinkle")))/1.0936)+_xlfn.IFNA(E84,0)</f>
        <v>1630831.1997073884</v>
      </c>
      <c r="U5" s="75" cm="1">
        <f t="array" ref="U5">(_xlfn.BYROW(B49,_xlfn.LAMBDA(_xlpm.party,SUMIFS(ledger!G:G,ledger!B:B,_xlpm.party,ledger!E:E,"&lt;&gt;*RD*",ledger!D:D,"Silky")))/1.0936)+_xlfn.IFNA(F84,0)</f>
        <v>88355.888807607902</v>
      </c>
      <c r="V5" s="23" cm="1">
        <f t="array" ref="V5">(_xlfn.BYROW(B49,_xlfn.LAMBDA(_xlpm.party,
(SUMIFS(ledger!J:J,ledger!B:B,_xlpm.party,ledger!E:E,"&lt;&gt;*RD*",ledger!D:D,"Chamki",ledger!C:C,"&lt;&gt;September Closing CF")+
SUMIFS(ledger!J:J,ledger!B:B,_xlpm.party,ledger!E:E,"&lt;&gt;*RD*",ledger!D:D,"Crinkle",ledger!C:C,"&lt;&gt;September Closing CF")
)+_xlfn.IFNA(G84,0))))</f>
        <v>16308311.997073889</v>
      </c>
      <c r="W5" s="75" cm="1">
        <f t="array" ref="W5">_xlfn.BYROW(B49, _xlfn.LAMBDA(_xlpm.party,
   SUMIFS(ledger!J:J, ledger!B:B, _xlpm.party, ledger!E:E, "&lt;&gt;*RD*", ledger!D:D, "Silky", ledger!C:C, "&lt;&gt;September Closing CF")
)) + _xlfn.IFNA(H84, 0)</f>
        <v>1060270.6656912947</v>
      </c>
      <c r="X5" s="75" cm="1">
        <f t="array" ref="X5">_xlfn.BYROW(B49, _xlfn.LAMBDA(_xlpm.party,
   SUMIFS(ledger!J:J, ledger!B:B, _xlpm.party, ledger!E:E, "&lt;&gt;*RD*", ledger!D:D, "Slub", ledger!C:C, "&lt;&gt;September Closing CF")
))</f>
        <v>0</v>
      </c>
      <c r="Y5" s="75"/>
      <c r="Z5" s="44">
        <f>V5+W5</f>
        <v>17368582.662765183</v>
      </c>
      <c r="AA5" s="23">
        <f>(SUMIF(Table14[Party],Q5,Table14[Credit]))+_xlfn.IFNA(L84,0)</f>
        <v>16815241</v>
      </c>
      <c r="AB5" s="38">
        <f>Z5-AA5</f>
        <v>553341.66276518255</v>
      </c>
      <c r="AC5" s="22">
        <v>10</v>
      </c>
      <c r="AD5" s="22">
        <v>12</v>
      </c>
    </row>
    <row r="6" spans="2:30" x14ac:dyDescent="0.3">
      <c r="B6" t="str">
        <f t="shared" si="0"/>
        <v>Sufi Nawaz Sahab</v>
      </c>
      <c r="C6" s="18">
        <f>SUMIFS(ledger!G:G, ledger!B:B, B6, ledger!E:E, "&lt;&gt;*RD*") / 1.0936</f>
        <v>0</v>
      </c>
      <c r="D6">
        <v>10</v>
      </c>
      <c r="E6" s="14">
        <f>((SUMIFS(ledger!G:G, ledger!B:B, B6, ledger!E:E, "&lt;&gt;*RD*",ledger!D:D, "Silky") / 1.0936) *12) + ((SUMIFS(ledger!G:G, ledger!B:B, B6, ledger!E:E, "&lt;&gt;*RD*",ledger!D:D, "Chamki") / 1.0936)* 9)</f>
        <v>0</v>
      </c>
      <c r="Q6" s="25" t="str">
        <v>Ejaz Sahab</v>
      </c>
      <c r="R6" s="23" cm="1">
        <f t="array" ref="R6">_xlfn.BYROW(B50,_xlfn.LAMBDA(_xlpm.party,SUMIFS(ledger!G:G,ledger!B:B,_xlpm.party,ledger!E:E,"&lt;&gt;*RD*")))+_xlfn.IFNA(C85,0)</f>
        <v>207460</v>
      </c>
      <c r="S6" s="23" cm="1">
        <f t="array" ref="S6">_xlfn.BYROW(B50, _xlfn.LAMBDA(_xlpm.party, SUMIFS(ledger!G:G, ledger!B:B, _xlpm.party, ledger!E:E, "&lt;&gt;*RD*") / 1.0936 ))+_xlfn.IFNA(D85,0)</f>
        <v>189703.7307973665</v>
      </c>
      <c r="T6" s="23" cm="1">
        <f t="array" ref="T6">(_xlfn.BYROW(B50,_xlfn.LAMBDA(_xlpm.party,SUMIFS(ledger!G:G,ledger!B:B,_xlpm.party,ledger!E:E,"&lt;&gt;*RD*",ledger!D:D,"Chamki")+SUMIFS(ledger!G:G, ledger!B:B, _xlpm.party, ledger!E:E, "&lt;&gt;*RD*", ledger!D:D, "Crinkle")))/1.0936)+_xlfn.IFNA(E85,0)</f>
        <v>130559.6196049744</v>
      </c>
      <c r="U6" s="75" cm="1">
        <f t="array" ref="U6">(_xlfn.BYROW(B50,_xlfn.LAMBDA(_xlpm.party,SUMIFS(ledger!G:G,ledger!B:B,_xlpm.party,ledger!E:E,"&lt;&gt;*RD*",ledger!D:D,"Silky")))/1.0936)+_xlfn.IFNA(F85,0)</f>
        <v>59144.111192392105</v>
      </c>
      <c r="V6" s="23" cm="1">
        <f t="array" ref="V6">(_xlfn.BYROW(B50,_xlfn.LAMBDA(_xlpm.party,
(SUMIFS(ledger!J:J,ledger!B:B,_xlpm.party,ledger!E:E,"&lt;&gt;*RD*",ledger!D:D,"Chamki",ledger!C:C,"&lt;&gt;September Closing CF")+
SUMIFS(ledger!J:J,ledger!B:B,_xlpm.party,ledger!E:E,"&lt;&gt;*RD*",ledger!D:D,"Crinkle",ledger!C:C,"&lt;&gt;September Closing CF")
)+_xlfn.IFNA(G85,0))))</f>
        <v>1305596.196049744</v>
      </c>
      <c r="W6" s="23" cm="1">
        <f t="array" ref="W6">_xlfn.BYROW(B50, _xlfn.LAMBDA(_xlpm.party,
   SUMIFS(ledger!J:J, ledger!B:B, _xlpm.party, ledger!E:E, "&lt;&gt;*RD*", ledger!D:D, "Silky", ledger!C:C, "&lt;&gt;September Closing CF")
)) + _xlfn.IFNA(H85, 0)</f>
        <v>709729.33430870529</v>
      </c>
      <c r="X6" s="75" cm="1">
        <f t="array" ref="X6">_xlfn.BYROW(B50, _xlfn.LAMBDA(_xlpm.party,
   SUMIFS(ledger!J:J, ledger!B:B, _xlpm.party, ledger!E:E, "&lt;&gt;*RD*", ledger!D:D, "Slub", ledger!C:C, "&lt;&gt;September Closing CF")
))</f>
        <v>0</v>
      </c>
      <c r="Y6" s="23"/>
      <c r="Z6" s="44">
        <f t="shared" ref="Z6:Z12" si="1">V6+W6</f>
        <v>2015325.5303584493</v>
      </c>
      <c r="AA6" s="23">
        <f>(SUMIF(Table14[Party],Q6,Table14[Credit]))+_xlfn.IFNA(L85,0)</f>
        <v>859904</v>
      </c>
      <c r="AB6" s="38">
        <f>Z6-AA6</f>
        <v>1155421.5303584493</v>
      </c>
      <c r="AC6" s="22">
        <v>10</v>
      </c>
      <c r="AD6" s="22">
        <v>12</v>
      </c>
    </row>
    <row r="7" spans="2:30" x14ac:dyDescent="0.3">
      <c r="B7" t="str">
        <f t="shared" si="0"/>
        <v>Sajad Khan</v>
      </c>
      <c r="C7" s="18">
        <f>SUMIFS(ledger!G:G, ledger!B:B, B7, ledger!E:E, "&lt;&gt;*RD*") / 1.0936</f>
        <v>46940.380395025604</v>
      </c>
      <c r="D7">
        <v>10</v>
      </c>
      <c r="E7" s="14" cm="1">
        <f t="array" ref="E7">(SUMIFS(ledger!G:G, ledger!B:B, B7, ledger!E:E, "&lt;&gt;*RD*",ledger!D:D, "Silky") / 1.0936)*12 + (SUMIFS(ledger!G:G, ledger!B:B, B7, ledger!E:E, "&lt;&gt;*RD*",ledger!D:D, "Chamki") / 1.0936)*10 +(SUMIFS(ledger!G:G, ledger!B:B, party, ledger!E:E, "&lt;&gt;*RD*", ledger!D:D, "Crinkle")/ 1.0936)*10</f>
        <v>414511.70446232631</v>
      </c>
      <c r="Q7" s="25" t="str">
        <v>Arshad</v>
      </c>
      <c r="R7" s="23" cm="1">
        <f t="array" ref="R7">_xlfn.BYROW(B51,_xlfn.LAMBDA(_xlpm.party,SUMIFS(ledger!G:G,ledger!B:B,_xlpm.party,ledger!E:E,"&lt;&gt;*RD*")))+_xlfn.IFNA(C86,0)</f>
        <v>352308</v>
      </c>
      <c r="S7" s="23" cm="1">
        <f t="array" ref="S7">_xlfn.BYROW(B51, _xlfn.LAMBDA(_xlpm.party, SUMIFS(ledger!G:G, ledger!B:B, _xlpm.party, ledger!E:E, "&lt;&gt;*RD*") / 1.0936 ))+_xlfn.IFNA(D86,0)</f>
        <v>322154.35259692761</v>
      </c>
      <c r="T7" s="23" cm="1">
        <f t="array" ref="T7">(_xlfn.BYROW(B51,_xlfn.LAMBDA(_xlpm.party,SUMIFS(ledger!G:G,ledger!B:B,_xlpm.party,ledger!E:E,"&lt;&gt;*RD*",ledger!D:D,"Chamki")+SUMIFS(ledger!G:G, ledger!B:B, _xlpm.party, ledger!E:E, "&lt;&gt;*RD*", ledger!D:D, "Crinkle")))/1.0936)+_xlfn.IFNA(E86,0)</f>
        <v>307360.09509875643</v>
      </c>
      <c r="U7" s="75" cm="1">
        <f t="array" ref="U7">(_xlfn.BYROW(B51,_xlfn.LAMBDA(_xlpm.party,SUMIFS(ledger!G:G,ledger!B:B,_xlpm.party,ledger!E:E,"&lt;&gt;*RD*",ledger!D:D,"Silky")))/1.0936)+_xlfn.IFNA(F86,0)</f>
        <v>14794.257498171179</v>
      </c>
      <c r="V7" s="23" cm="1">
        <f t="array" ref="V7">(_xlfn.BYROW(B51,_xlfn.LAMBDA(_xlpm.party,
(SUMIFS(ledger!J:J,ledger!B:B,_xlpm.party,ledger!E:E,"&lt;&gt;*RD*",ledger!D:D,"Chamki",ledger!C:C,"&lt;&gt;September Closing CF")+
SUMIFS(ledger!J:J,ledger!B:B,_xlpm.party,ledger!E:E,"&lt;&gt;*RD*",ledger!D:D,"Crinkle",ledger!C:C,"&lt;&gt;September Closing CF")
)+_xlfn.IFNA(G86,0))))</f>
        <v>3073600.9509875644</v>
      </c>
      <c r="W7" s="23" cm="1">
        <f t="array" ref="W7">_xlfn.BYROW(B51, _xlfn.LAMBDA(_xlpm.party,
   SUMIFS(ledger!J:J, ledger!B:B, _xlpm.party, ledger!E:E, "&lt;&gt;*RD*", ledger!D:D, "Silky", ledger!C:C, "&lt;&gt;September Closing CF")
)) + _xlfn.IFNA(H86, 0)</f>
        <v>177531.08997805414</v>
      </c>
      <c r="X7" s="75" cm="1">
        <f t="array" ref="X7">_xlfn.BYROW(B51, _xlfn.LAMBDA(_xlpm.party,
   SUMIFS(ledger!J:J, ledger!B:B, _xlpm.party, ledger!E:E, "&lt;&gt;*RD*", ledger!D:D, "Slub", ledger!C:C, "&lt;&gt;September Closing CF")
))</f>
        <v>0</v>
      </c>
      <c r="Y7" s="23"/>
      <c r="Z7" s="44">
        <f t="shared" si="1"/>
        <v>3251132.0409656186</v>
      </c>
      <c r="AA7" s="23">
        <f>(SUMIF(Table14[Party],Q7,Table14[Credit]))+_xlfn.IFNA(L86,0)</f>
        <v>3093935</v>
      </c>
      <c r="AB7" s="38">
        <f>Z7-AA7</f>
        <v>157197.04096561857</v>
      </c>
      <c r="AC7" s="22">
        <v>10</v>
      </c>
      <c r="AD7" s="22">
        <v>12</v>
      </c>
    </row>
    <row r="8" spans="2:30" x14ac:dyDescent="0.3">
      <c r="B8" t="str">
        <f t="shared" si="0"/>
        <v>Raaz Fabrics</v>
      </c>
      <c r="C8" s="18">
        <f>SUMIFS(ledger!G:G, ledger!B:B, B8, ledger!E:E, "&lt;&gt;*RD*") / 1.0936</f>
        <v>0</v>
      </c>
      <c r="D8">
        <v>10</v>
      </c>
      <c r="E8" s="14">
        <f>(SUMIFS(ledger!G:G, ledger!B:B, B8, ledger!E:E, "&lt;&gt;*RD*",ledger!D:D, "Silky") / 1.0936)*12 + (SUMIFS(ledger!G:G, ledger!B:B, B8, ledger!E:E, "&lt;&gt;*RD*",ledger!D:D, "chamki") / 1.0936)*10 +(SUMIFS(ledger!G:G, ledger!B:B, B8, ledger!E:E, "&lt;&gt;*RD*",ledger!D:D, "Crinkle") / 1.0936)*10</f>
        <v>0</v>
      </c>
      <c r="Q8" s="25" t="str">
        <v>Shehzad Kamoki</v>
      </c>
      <c r="R8" s="23" cm="1">
        <f t="array" ref="R8">_xlfn.BYROW(B52,_xlfn.LAMBDA(_xlpm.party,SUMIFS(ledger!G:G,ledger!B:B,_xlpm.party,ledger!E:E,"&lt;&gt;*RD*")))+_xlfn.IFNA(C87,0)</f>
        <v>134607</v>
      </c>
      <c r="S8" s="23" cm="1">
        <f t="array" ref="S8">_xlfn.BYROW(B52, _xlfn.LAMBDA(_xlpm.party, SUMIFS(ledger!G:G, ledger!B:B, _xlpm.party, ledger!E:E, "&lt;&gt;*RD*") / 1.0936 ))+_xlfn.IFNA(D87,0)</f>
        <v>123086.13752743235</v>
      </c>
      <c r="T8" s="23" cm="1">
        <f t="array" ref="T8">(_xlfn.BYROW(B52,_xlfn.LAMBDA(_xlpm.party,SUMIFS(ledger!G:G,ledger!B:B,_xlpm.party,ledger!E:E,"&lt;&gt;*RD*",ledger!D:D,"Chamki")+SUMIFS(ledger!G:G, ledger!B:B, _xlpm.party, ledger!E:E, "&lt;&gt;*RD*", ledger!D:D, "Crinkle")))/1.0936)+_xlfn.IFNA(E87,0)</f>
        <v>123086.13752743235</v>
      </c>
      <c r="U8" s="75" cm="1">
        <f t="array" ref="U8">(_xlfn.BYROW(B52,_xlfn.LAMBDA(_xlpm.party,SUMIFS(ledger!G:G,ledger!B:B,_xlpm.party,ledger!E:E,"&lt;&gt;*RD*",ledger!D:D,"Silky")))/1.0936)+_xlfn.IFNA(F87,0)</f>
        <v>0</v>
      </c>
      <c r="V8" s="23" cm="1">
        <f t="array" ref="V8">(_xlfn.BYROW(B52,_xlfn.LAMBDA(_xlpm.party,
(SUMIFS(ledger!J:J,ledger!B:B,_xlpm.party,ledger!E:E,"&lt;&gt;*RD*",ledger!D:D,"Chamki",ledger!C:C,"&lt;&gt;September Closing CF")+
SUMIFS(ledger!J:J,ledger!B:B,_xlpm.party,ledger!E:E,"&lt;&gt;*RD*",ledger!D:D,"Crinkle",ledger!C:C,"&lt;&gt;September Closing CF")
)+_xlfn.IFNA(G87,0))))</f>
        <v>1269270.3440380397</v>
      </c>
      <c r="W8" s="23" cm="1">
        <f t="array" ref="W8">_xlfn.BYROW(B52, _xlfn.LAMBDA(_xlpm.party,
   SUMIFS(ledger!J:J, ledger!B:B, _xlpm.party, ledger!E:E, "&lt;&gt;*RD*", ledger!D:D, "Silky", ledger!C:C, "&lt;&gt;September Closing CF")
)) + _xlfn.IFNA(H87, 0)</f>
        <v>0</v>
      </c>
      <c r="X8" s="75" cm="1">
        <f t="array" ref="X8">_xlfn.BYROW(B52, _xlfn.LAMBDA(_xlpm.party,
   SUMIFS(ledger!J:J, ledger!B:B, _xlpm.party, ledger!E:E, "&lt;&gt;*RD*", ledger!D:D, "Slub", ledger!C:C, "&lt;&gt;September Closing CF")
))</f>
        <v>0</v>
      </c>
      <c r="Y8" s="23"/>
      <c r="Z8" s="44">
        <f t="shared" si="1"/>
        <v>1269270.3440380397</v>
      </c>
      <c r="AA8" s="23">
        <f>(SUMIF(Table14[Party],Q8,Table14[Credit]))+_xlfn.IFNA(L87,0)</f>
        <v>1268740</v>
      </c>
      <c r="AB8" s="38">
        <f>Z8-AA8</f>
        <v>530.34403803967871</v>
      </c>
      <c r="AC8" s="22">
        <v>10.5</v>
      </c>
      <c r="AD8" s="22">
        <v>13</v>
      </c>
    </row>
    <row r="9" spans="2:30" x14ac:dyDescent="0.3">
      <c r="B9" t="str">
        <f t="shared" si="0"/>
        <v>Azam</v>
      </c>
      <c r="C9" s="18">
        <f>SUMIFS(ledger!G:G, ledger!B:B, B9, ledger!E:E, "&lt;&gt;*RD*") / 1.0936</f>
        <v>0</v>
      </c>
      <c r="D9">
        <v>10</v>
      </c>
      <c r="E9" s="14">
        <f>(SUMIFS(ledger!G:G, ledger!B:B, B9, ledger!E:E, "&lt;&gt;*RD*",ledger!D:D, "Silky") / 1.0936)*12 + (SUMIFS(ledger!G:G, ledger!B:B, B9, ledger!E:E, "&lt;&gt;*RD*",ledger!D:D, "Chamki") / 1.0936)*10</f>
        <v>0</v>
      </c>
      <c r="Q9" s="25" t="str">
        <v>Sufi Nawaz Sahab</v>
      </c>
      <c r="R9" s="23" cm="1">
        <f t="array" ref="R9">_xlfn.BYROW(B53,_xlfn.LAMBDA(_xlpm.party,SUMIFS(ledger!G:G,ledger!B:B,_xlpm.party,ledger!E:E,"&lt;&gt;*RD*")))+_xlfn.IFNA(C88,0)</f>
        <v>1186725</v>
      </c>
      <c r="S9" s="23" cm="1">
        <f t="array" ref="S9">_xlfn.BYROW(B53, _xlfn.LAMBDA(_xlpm.party, SUMIFS(ledger!G:G, ledger!B:B, _xlpm.party, ledger!E:E, "&lt;&gt;*RD*") / 1.0936 ))+_xlfn.IFNA(D88,0)</f>
        <v>1085154.5354791514</v>
      </c>
      <c r="T9" s="23" cm="1">
        <f t="array" ref="T9">(_xlfn.BYROW(B53,_xlfn.LAMBDA(_xlpm.party,SUMIFS(ledger!G:G,ledger!B:B,_xlpm.party,ledger!E:E,"&lt;&gt;*RD*",ledger!D:D,"Chamki")+SUMIFS(ledger!G:G, ledger!B:B, _xlpm.party, ledger!E:E, "&lt;&gt;*RD*", ledger!D:D, "Crinkle")))/1.0936)+_xlfn.IFNA(E88,0)</f>
        <v>599330.65106071695</v>
      </c>
      <c r="U9" s="75" cm="1">
        <f t="array" ref="U9">(_xlfn.BYROW(B53,_xlfn.LAMBDA(_xlpm.party,SUMIFS(ledger!G:G,ledger!B:B,_xlpm.party,ledger!E:E,"&lt;&gt;*RD*",ledger!D:D,"Silky")))/1.0936)+_xlfn.IFNA(F88,0)</f>
        <v>485823.88441843458</v>
      </c>
      <c r="V9" s="23" cm="1">
        <f t="array" ref="V9">(_xlfn.BYROW(B53,_xlfn.LAMBDA(_xlpm.party,
(SUMIFS(ledger!J:J,ledger!B:B,_xlpm.party,ledger!E:E,"&lt;&gt;*RD*",ledger!D:D,"Chamki",ledger!C:C,"&lt;&gt;September Closing CF")+
SUMIFS(ledger!J:J,ledger!B:B,_xlpm.party,ledger!E:E,"&lt;&gt;*RD*",ledger!D:D,"Crinkle",ledger!C:C,"&lt;&gt;September Closing CF")
)+_xlfn.IFNA(G88,0))))</f>
        <v>5408917.8595464528</v>
      </c>
      <c r="W9" s="23" cm="1">
        <f t="array" ref="W9">_xlfn.BYROW(B53, _xlfn.LAMBDA(_xlpm.party,
   SUMIFS(ledger!J:J, ledger!B:B, _xlpm.party, ledger!E:E, "&lt;&gt;*RD*", ledger!D:D, "Silky", ledger!C:C, "&lt;&gt;September Closing CF")
)) + _xlfn.IFNA(H88, 0)</f>
        <v>5829886.6130212145</v>
      </c>
      <c r="X9" s="75" cm="1">
        <f t="array" ref="X9">_xlfn.BYROW(B53, _xlfn.LAMBDA(_xlpm.party,
   SUMIFS(ledger!J:J, ledger!B:B, _xlpm.party, ledger!E:E, "&lt;&gt;*RD*", ledger!D:D, "Slub", ledger!C:C, "&lt;&gt;September Closing CF")
))</f>
        <v>0</v>
      </c>
      <c r="Y9" s="23"/>
      <c r="Z9" s="44">
        <f t="shared" si="1"/>
        <v>11238804.472567666</v>
      </c>
      <c r="AA9" s="23">
        <f>(SUMIF(Table14[Party],Q9,Table14[Credit]))+_xlfn.IFNA(L88,0)</f>
        <v>10129100</v>
      </c>
      <c r="AB9" s="38">
        <f t="shared" ref="AB9:AB17" si="2">Z9-AA9</f>
        <v>1109704.4725676663</v>
      </c>
      <c r="AC9" s="22">
        <v>10</v>
      </c>
      <c r="AD9" s="22">
        <v>12</v>
      </c>
    </row>
    <row r="10" spans="2:30" x14ac:dyDescent="0.3">
      <c r="B10" t="str">
        <f t="shared" si="0"/>
        <v>Ubaidullah</v>
      </c>
      <c r="C10" s="18">
        <f>SUMIFS(ledger!G:G, ledger!B:B, B10, ledger!E:E, "&lt;&gt;*RD*") / 1.0936</f>
        <v>0</v>
      </c>
      <c r="D10">
        <v>10</v>
      </c>
      <c r="E10" s="14">
        <f>(SUMIFS(ledger!G:G, ledger!B:B, B10, ledger!E:E, "&lt;&gt;*RD*",ledger!D:D, "Silky") / 1.0936)*12 + (SUMIFS(ledger!G:G, ledger!B:B, B10, ledger!E:E, "&lt;&gt;*RD*",ledger!D:D, "Chamki") / 1.0936)*10</f>
        <v>0</v>
      </c>
      <c r="Q10" s="25" t="str">
        <v>Sajad Khan</v>
      </c>
      <c r="R10" s="23" cm="1">
        <f t="array" ref="R10">_xlfn.BYROW(B54,_xlfn.LAMBDA(_xlpm.party,SUMIFS(ledger!G:G,ledger!B:B,_xlpm.party,ledger!E:E,"&lt;&gt;*RD*")))+_xlfn.IFNA(C89,0)</f>
        <v>532994</v>
      </c>
      <c r="S10" s="23" cm="1">
        <f t="array" ref="S10">_xlfn.BYROW(B54, _xlfn.LAMBDA(_xlpm.party, SUMIFS(ledger!G:G, ledger!B:B, _xlpm.party, ledger!E:E, "&lt;&gt;*RD*") / 1.0936 ))+_xlfn.IFNA(D89,0)</f>
        <v>487375.64008778345</v>
      </c>
      <c r="T10" s="23" cm="1">
        <f t="array" ref="T10">(_xlfn.BYROW(B54,_xlfn.LAMBDA(_xlpm.party,SUMIFS(ledger!G:G,ledger!B:B,_xlpm.party,ledger!E:E,"&lt;&gt;*RD*",ledger!D:D,"Chamki")+SUMIFS(ledger!G:G, ledger!B:B, _xlpm.party, ledger!E:E, "&lt;&gt;*RD*", ledger!D:D, "Crinkle")))/1.0936)+_xlfn.IFNA(E89,0)</f>
        <v>481886.43013899052</v>
      </c>
      <c r="U10" s="75" cm="1">
        <f t="array" ref="U10">(_xlfn.BYROW(B54,_xlfn.LAMBDA(_xlpm.party,SUMIFS(ledger!G:G,ledger!B:B,_xlpm.party,ledger!E:E,"&lt;&gt;*RD*",ledger!D:D,"Silky")))/1.0936)+_xlfn.IFNA(F89,0)</f>
        <v>0</v>
      </c>
      <c r="V10" s="23" cm="1">
        <f t="array" ref="V10">(_xlfn.BYROW(B54,_xlfn.LAMBDA(_xlpm.party,
(SUMIFS(ledger!J:J,ledger!B:B,_xlpm.party,ledger!E:E,"&lt;&gt;*RD*",ledger!D:D,"Chamki",ledger!C:C,"&lt;&gt;September Closing CF")+
SUMIFS(ledger!J:J,ledger!B:B,_xlpm.party,ledger!E:E,"&lt;&gt;*RD*",ledger!D:D,"Crinkle",ledger!C:C,"&lt;&gt;September Closing CF")
)+_xlfn.IFNA(G89,0))))</f>
        <v>4818864.3013899047</v>
      </c>
      <c r="W10" s="23" cm="1">
        <f t="array" ref="W10">_xlfn.BYROW(B54, _xlfn.LAMBDA(_xlpm.party,
   SUMIFS(ledger!J:J, ledger!B:B, _xlpm.party, ledger!E:E, "&lt;&gt;*RD*", ledger!D:D, "Silky", ledger!C:C, "&lt;&gt;September Closing CF")
)) + _xlfn.IFNA(H89, 0)</f>
        <v>0</v>
      </c>
      <c r="X10" s="75" cm="1">
        <f t="array" ref="X10">_xlfn.BYROW(B54, _xlfn.LAMBDA(_xlpm.party,
   SUMIFS(ledger!J:J, ledger!B:B, _xlpm.party, ledger!E:E, "&lt;&gt;*RD*", ledger!D:D, "Slub", ledger!C:C, "&lt;&gt;September Closing CF")
))</f>
        <v>71359.729334308722</v>
      </c>
      <c r="Y10" s="23"/>
      <c r="Z10" s="44">
        <f t="shared" si="1"/>
        <v>4818864.3013899047</v>
      </c>
      <c r="AA10" s="23">
        <f>(SUMIF(Table14[Party],Q10,Table14[Credit]))+_xlfn.IFNA(L89,0)</f>
        <v>4817947</v>
      </c>
      <c r="AB10" s="38">
        <f t="shared" si="2"/>
        <v>917.30138990469277</v>
      </c>
      <c r="AC10" s="22">
        <v>10</v>
      </c>
      <c r="AD10" s="22">
        <v>12</v>
      </c>
    </row>
    <row r="11" spans="2:30" x14ac:dyDescent="0.3">
      <c r="B11" t="str">
        <f t="shared" si="0"/>
        <v>Ashraf Zia</v>
      </c>
      <c r="C11" s="18">
        <f>SUMIFS(ledger!G:G, ledger!B:B, B11, ledger!E:E, "&lt;&gt;*RD*") / 1.0936</f>
        <v>0</v>
      </c>
      <c r="D11">
        <v>12</v>
      </c>
      <c r="E11" s="14">
        <f>(SUMIFS(ledger!G:G, ledger!B:B, B11, ledger!E:E, "&lt;&gt;*RD*",ledger!D:D, "Silky") / 1.0936)*12 + (SUMIFS(ledger!G:G, ledger!B:B, B11, ledger!E:E, "&lt;&gt;*RD*",ledger!D:D, "Chamki") / 1.0936)*10</f>
        <v>0</v>
      </c>
      <c r="Q11" s="25" t="str">
        <v>Raaz Fabrics</v>
      </c>
      <c r="R11" s="23" cm="1">
        <f t="array" ref="R11">_xlfn.BYROW(B55,_xlfn.LAMBDA(_xlpm.party,SUMIFS(ledger!G:G,ledger!B:B,_xlpm.party,ledger!E:E,"&lt;&gt;*RD*")))+_xlfn.IFNA(C90,0)</f>
        <v>75559</v>
      </c>
      <c r="S11" s="23" cm="1">
        <f t="array" ref="S11">_xlfn.BYROW(B55, _xlfn.LAMBDA(_xlpm.party, SUMIFS(ledger!G:G, ledger!B:B, _xlpm.party, ledger!E:E, "&lt;&gt;*RD*") / 1.0936 ))+_xlfn.IFNA(D90,0)</f>
        <v>69091.989758595475</v>
      </c>
      <c r="T11" s="23" cm="1">
        <f t="array" ref="T11">(_xlfn.BYROW(B55,_xlfn.LAMBDA(_xlpm.party,SUMIFS(ledger!G:G,ledger!B:B,_xlpm.party,ledger!E:E,"&lt;&gt;*RD*",ledger!D:D,"Chamki")+SUMIFS(ledger!G:G, ledger!B:B, _xlpm.party, ledger!E:E, "&lt;&gt;*RD*", ledger!D:D, "Crinkle")))/1.0936)+_xlfn.IFNA(E90,0)</f>
        <v>69091.989758595475</v>
      </c>
      <c r="U11" s="75" cm="1">
        <f t="array" ref="U11">(_xlfn.BYROW(B55,_xlfn.LAMBDA(_xlpm.party,SUMIFS(ledger!G:G,ledger!B:B,_xlpm.party,ledger!E:E,"&lt;&gt;*RD*",ledger!D:D,"Silky")))/1.0936)+_xlfn.IFNA(F90,0)</f>
        <v>0</v>
      </c>
      <c r="V11" s="23" cm="1">
        <f t="array" ref="V11">(_xlfn.BYROW(B55,_xlfn.LAMBDA(_xlpm.party,
(SUMIFS(ledger!J:J,ledger!B:B,_xlpm.party,ledger!E:E,"&lt;&gt;*RD*",ledger!D:D,"Chamki",ledger!C:C,"&lt;&gt;September Closing CF")+
SUMIFS(ledger!J:J,ledger!B:B,_xlpm.party,ledger!E:E,"&lt;&gt;*RD*",ledger!D:D,"Crinkle",ledger!C:C,"&lt;&gt;September Closing CF")
)+_xlfn.IFNA(G90,0))))</f>
        <v>690919.89758595475</v>
      </c>
      <c r="W11" s="23" cm="1">
        <f t="array" ref="W11">_xlfn.BYROW(B55, _xlfn.LAMBDA(_xlpm.party,
   SUMIFS(ledger!J:J, ledger!B:B, _xlpm.party, ledger!E:E, "&lt;&gt;*RD*", ledger!D:D, "Silky", ledger!C:C, "&lt;&gt;September Closing CF")
)) + _xlfn.IFNA(H90, 0)</f>
        <v>0</v>
      </c>
      <c r="X11" s="75" cm="1">
        <f t="array" ref="X11">_xlfn.BYROW(B55, _xlfn.LAMBDA(_xlpm.party,
   SUMIFS(ledger!J:J, ledger!B:B, _xlpm.party, ledger!E:E, "&lt;&gt;*RD*", ledger!D:D, "Slub", ledger!C:C, "&lt;&gt;September Closing CF")
))</f>
        <v>0</v>
      </c>
      <c r="Y11" s="23"/>
      <c r="Z11" s="44">
        <f t="shared" si="1"/>
        <v>690919.89758595475</v>
      </c>
      <c r="AA11" s="23">
        <f>(SUMIF(Table14[Party],Q11,Table14[Credit]))+_xlfn.IFNA(L90,0)</f>
        <v>600000</v>
      </c>
      <c r="AB11" s="38">
        <f t="shared" si="2"/>
        <v>90919.89758595475</v>
      </c>
      <c r="AC11" s="22">
        <v>10</v>
      </c>
      <c r="AD11" s="22">
        <v>12</v>
      </c>
    </row>
    <row r="12" spans="2:30" x14ac:dyDescent="0.3">
      <c r="B12" t="str">
        <f t="shared" si="0"/>
        <v>Hafiz Qureshi</v>
      </c>
      <c r="C12" s="18">
        <f>SUMIFS(ledger!G:G, ledger!B:B, B12, ledger!E:E, "&lt;&gt;*RD*") / 1.0936</f>
        <v>49517.190929041702</v>
      </c>
      <c r="E12" s="14">
        <f>(SUMIFS(ledger!G:G, ledger!B:B, B12, ledger!E:E, "&lt;&gt;*RD*",ledger!D:D, "Silky") / 1.0936)*12 + (SUMIFS(ledger!G:G, ledger!B:B, B12, ledger!E:E, "&lt;&gt;*RD*",ledger!D:D, "Chamki") / 1.0936)*10</f>
        <v>495171.90929041704</v>
      </c>
      <c r="O12" s="33"/>
      <c r="P12" s="33"/>
      <c r="Q12" s="25" t="str">
        <v>Azam</v>
      </c>
      <c r="R12" s="23" cm="1">
        <f t="array" ref="R12">_xlfn.BYROW(B56,_xlfn.LAMBDA(_xlpm.party,SUMIFS(ledger!G:G,ledger!B:B,_xlpm.party,ledger!E:E,"&lt;&gt;*RD*")))+_xlfn.IFNA(C91,0)</f>
        <v>176954</v>
      </c>
      <c r="S12" s="23" cm="1">
        <f t="array" ref="S12">_xlfn.BYROW(B56, _xlfn.LAMBDA(_xlpm.party, SUMIFS(ledger!G:G, ledger!B:B, _xlpm.party, ledger!E:E, "&lt;&gt;*RD*") / 1.0936 ))+_xlfn.IFNA(D91,0)</f>
        <v>161808.70519385519</v>
      </c>
      <c r="T12" s="23" cm="1">
        <f t="array" ref="T12">(_xlfn.BYROW(B56,_xlfn.LAMBDA(_xlpm.party,SUMIFS(ledger!G:G,ledger!B:B,_xlpm.party,ledger!E:E,"&lt;&gt;*RD*",ledger!D:D,"Chamki")+SUMIFS(ledger!G:G, ledger!B:B, _xlpm.party, ledger!E:E, "&lt;&gt;*RD*", ledger!D:D, "Crinkle")))/1.0936)+_xlfn.IFNA(E91,0)</f>
        <v>161808.70519385519</v>
      </c>
      <c r="U12" s="75" cm="1">
        <f t="array" ref="U12">(_xlfn.BYROW(B56,_xlfn.LAMBDA(_xlpm.party,SUMIFS(ledger!G:G,ledger!B:B,_xlpm.party,ledger!E:E,"&lt;&gt;*RD*",ledger!D:D,"Silky")))/1.0936)+_xlfn.IFNA(F91,0)</f>
        <v>0</v>
      </c>
      <c r="V12" s="23" cm="1">
        <f t="array" ref="V12">(_xlfn.BYROW(B56,_xlfn.LAMBDA(_xlpm.party,
(SUMIFS(ledger!J:J,ledger!B:B,_xlpm.party,ledger!E:E,"&lt;&gt;*RD*",ledger!D:D,"Chamki",ledger!C:C,"&lt;&gt;September Closing CF")+
SUMIFS(ledger!J:J,ledger!B:B,_xlpm.party,ledger!E:E,"&lt;&gt;*RD*",ledger!D:D,"Crinkle",ledger!C:C,"&lt;&gt;September Closing CF")
)+_xlfn.IFNA(G91,0))))</f>
        <v>1618087.0519385519</v>
      </c>
      <c r="W12" s="23" cm="1">
        <f t="array" ref="W12">_xlfn.BYROW(B56, _xlfn.LAMBDA(_xlpm.party,
   SUMIFS(ledger!J:J, ledger!B:B, _xlpm.party, ledger!E:E, "&lt;&gt;*RD*", ledger!D:D, "Silky", ledger!C:C, "&lt;&gt;September Closing CF")
)) + _xlfn.IFNA(H91, 0)</f>
        <v>0</v>
      </c>
      <c r="X12" s="75" cm="1">
        <f t="array" ref="X12">_xlfn.BYROW(B56, _xlfn.LAMBDA(_xlpm.party,
   SUMIFS(ledger!J:J, ledger!B:B, _xlpm.party, ledger!E:E, "&lt;&gt;*RD*", ledger!D:D, "Slub", ledger!C:C, "&lt;&gt;September Closing CF")
))</f>
        <v>0</v>
      </c>
      <c r="Y12" s="23"/>
      <c r="Z12" s="44">
        <f t="shared" si="1"/>
        <v>1618087.0519385519</v>
      </c>
      <c r="AA12" s="23">
        <f>(SUMIF(Table14[Party],Q12,Table14[Credit]))+_xlfn.IFNA(L91,0)</f>
        <v>1617620</v>
      </c>
      <c r="AB12" s="38">
        <f t="shared" si="2"/>
        <v>467.05193855194375</v>
      </c>
      <c r="AC12" s="22">
        <v>10</v>
      </c>
      <c r="AD12" s="22">
        <v>12</v>
      </c>
    </row>
    <row r="13" spans="2:30" x14ac:dyDescent="0.3">
      <c r="B13" t="str">
        <f t="shared" si="0"/>
        <v>Badshah Fabrics</v>
      </c>
      <c r="C13" s="18">
        <f>SUMIFS(ledger!G:G, ledger!B:B, B13, ledger!E:E, "&lt;&gt;*RD*") / 1.0936</f>
        <v>69038.953913679594</v>
      </c>
      <c r="E13" s="14">
        <f>(SUMIFS(ledger!G:G, ledger!B:B, B13, ledger!E:E, "&lt;&gt;*RD*",ledger!D:D, "Silky") / 1.0936)*12 + (SUMIFS(ledger!G:G, ledger!B:B, B13, ledger!E:E, "&lt;&gt;*RD*",ledger!D:D, "Chamki") / 1.0936)*10</f>
        <v>690389.53913679591</v>
      </c>
      <c r="Q13" s="25" t="str">
        <v>Ubaidullah</v>
      </c>
      <c r="R13" s="23" cm="1">
        <f t="array" ref="R13">_xlfn.BYROW(B57,_xlfn.LAMBDA(_xlpm.party,SUMIFS(ledger!G:G,ledger!B:B,_xlpm.party,ledger!E:E,"&lt;&gt;*RD*")))+_xlfn.IFNA(C92,0)</f>
        <v>65752</v>
      </c>
      <c r="S13" s="23" cm="1">
        <f t="array" ref="S13">_xlfn.BYROW(B57, _xlfn.LAMBDA(_xlpm.party, SUMIFS(ledger!G:G, ledger!B:B, _xlpm.party, ledger!E:E, "&lt;&gt;*RD*") / 1.0936 ))+_xlfn.IFNA(D92,0)</f>
        <v>60124.35991221654</v>
      </c>
      <c r="T13" s="23" cm="1">
        <f t="array" ref="T13">(_xlfn.BYROW(B57,_xlfn.LAMBDA(_xlpm.party,SUMIFS(ledger!G:G,ledger!B:B,_xlpm.party,ledger!E:E,"&lt;&gt;*RD*",ledger!D:D,"Chamki")+SUMIFS(ledger!G:G, ledger!B:B, _xlpm.party, ledger!E:E, "&lt;&gt;*RD*", ledger!D:D, "Crinkle")))/1.0936)+_xlfn.IFNA(E92,0)</f>
        <v>45128.931967812736</v>
      </c>
      <c r="U13" s="75" cm="1">
        <f t="array" ref="U13">(_xlfn.BYROW(B57,_xlfn.LAMBDA(_xlpm.party,SUMIFS(ledger!G:G,ledger!B:B,_xlpm.party,ledger!E:E,"&lt;&gt;*RD*",ledger!D:D,"Silky")))/1.0936)+_xlfn.IFNA(F92,0)</f>
        <v>14995.427944403806</v>
      </c>
      <c r="V13" s="23" cm="1">
        <f t="array" ref="V13">(_xlfn.BYROW(B57,_xlfn.LAMBDA(_xlpm.party,
(SUMIFS(ledger!J:J,ledger!B:B,_xlpm.party,ledger!E:E,"&lt;&gt;*RD*",ledger!D:D,"Chamki",ledger!C:C,"&lt;&gt;September Closing CF")+
SUMIFS(ledger!J:J,ledger!B:B,_xlpm.party,ledger!E:E,"&lt;&gt;*RD*",ledger!D:D,"Crinkle",ledger!C:C,"&lt;&gt;September Closing CF")
)+_xlfn.IFNA(G92,0))))</f>
        <v>451289.31967812736</v>
      </c>
      <c r="W13" s="23" cm="1">
        <f t="array" ref="W13">_xlfn.BYROW(B57, _xlfn.LAMBDA(_xlpm.party,
   SUMIFS(ledger!J:J, ledger!B:B, _xlpm.party, ledger!E:E, "&lt;&gt;*RD*", ledger!D:D, "Silky", ledger!C:C, "&lt;&gt;September Closing CF")
)) + _xlfn.IFNA(H92, 0)</f>
        <v>179945.13533284568</v>
      </c>
      <c r="X13" s="75" cm="1">
        <f t="array" ref="X13">_xlfn.BYROW(B57, _xlfn.LAMBDA(_xlpm.party,
   SUMIFS(ledger!J:J, ledger!B:B, _xlpm.party, ledger!E:E, "&lt;&gt;*RD*", ledger!D:D, "Slub", ledger!C:C, "&lt;&gt;September Closing CF")
))</f>
        <v>0</v>
      </c>
      <c r="Y13" s="23"/>
      <c r="Z13" s="44">
        <f t="shared" ref="Z13:Z17" si="3">V13+W13</f>
        <v>631234.45501097303</v>
      </c>
      <c r="AA13" s="23">
        <f>(SUMIF(Table14[Party],Q13,Table14[Credit]))+_xlfn.IFNA(L92,0)</f>
        <v>630150</v>
      </c>
      <c r="AB13" s="38">
        <f t="shared" si="2"/>
        <v>1084.4550109730335</v>
      </c>
      <c r="AC13" s="22">
        <v>10</v>
      </c>
      <c r="AD13" s="22">
        <v>12</v>
      </c>
    </row>
    <row r="14" spans="2:30" x14ac:dyDescent="0.3">
      <c r="B14" t="str">
        <f t="shared" si="0"/>
        <v>Reject</v>
      </c>
      <c r="C14" s="18">
        <f>SUMIFS(ledger!G:G, ledger!B:B, B14, ledger!E:E, "&lt;&gt;*RD*") / 1.0936</f>
        <v>0</v>
      </c>
      <c r="E14" s="14">
        <f>(SUMIFS(ledger!G:G, ledger!B:B, B14, ledger!E:E, "&lt;&gt;*RD*",ledger!D:D, "Silky") / 1.0936)*12 + (SUMIFS(ledger!G:G, ledger!B:B, B14, ledger!E:E, "&lt;&gt;*RD*",ledger!D:D, "Chamki") / 1.0936)*10</f>
        <v>0</v>
      </c>
      <c r="Q14" s="25" t="str">
        <v>Ashraf Zia</v>
      </c>
      <c r="R14" s="23" cm="1">
        <f t="array" ref="R14">_xlfn.BYROW(B58,_xlfn.LAMBDA(_xlpm.party,SUMIFS(ledger!G:G,ledger!B:B,_xlpm.party,ledger!E:E,"&lt;&gt;*RD*")))+_xlfn.IFNA(C93,0)</f>
        <v>23305</v>
      </c>
      <c r="S14" s="23" cm="1">
        <f t="array" ref="S14">_xlfn.BYROW(B58, _xlfn.LAMBDA(_xlpm.party, SUMIFS(ledger!G:G, ledger!B:B, _xlpm.party, ledger!E:E, "&lt;&gt;*RD*") / 1.0936 ))+_xlfn.IFNA(D93,0)</f>
        <v>21310.35113386979</v>
      </c>
      <c r="T14" s="23" cm="1">
        <f t="array" ref="T14">(_xlfn.BYROW(B58,_xlfn.LAMBDA(_xlpm.party,SUMIFS(ledger!G:G,ledger!B:B,_xlpm.party,ledger!E:E,"&lt;&gt;*RD*",ledger!D:D,"Chamki")+SUMIFS(ledger!G:G, ledger!B:B, _xlpm.party, ledger!E:E, "&lt;&gt;*RD*", ledger!D:D, "Crinkle")))/1.0936)+_xlfn.IFNA(E93,0)</f>
        <v>21310.35113386979</v>
      </c>
      <c r="U14" s="75" cm="1">
        <f t="array" ref="U14">(_xlfn.BYROW(B58,_xlfn.LAMBDA(_xlpm.party,SUMIFS(ledger!G:G,ledger!B:B,_xlpm.party,ledger!E:E,"&lt;&gt;*RD*",ledger!D:D,"Silky")))/1.0936)+_xlfn.IFNA(F93,0)</f>
        <v>0</v>
      </c>
      <c r="V14" s="23" cm="1">
        <f t="array" ref="V14">(_xlfn.BYROW(B58,_xlfn.LAMBDA(_xlpm.party,
(SUMIFS(ledger!J:J,ledger!B:B,_xlpm.party,ledger!E:E,"&lt;&gt;*RD*",ledger!D:D,"Chamki",ledger!C:C,"&lt;&gt;September Closing CF")+
SUMIFS(ledger!J:J,ledger!B:B,_xlpm.party,ledger!E:E,"&lt;&gt;*RD*",ledger!D:D,"Crinkle",ledger!C:C,"&lt;&gt;September Closing CF")
)+_xlfn.IFNA(G93,0))))</f>
        <v>255724.21360643749</v>
      </c>
      <c r="W14" s="23" cm="1">
        <f t="array" ref="W14">_xlfn.BYROW(B58, _xlfn.LAMBDA(_xlpm.party,
   SUMIFS(ledger!J:J, ledger!B:B, _xlpm.party, ledger!E:E, "&lt;&gt;*RD*", ledger!D:D, "Silky", ledger!C:C, "&lt;&gt;September Closing CF")
)) + _xlfn.IFNA(H93, 0)</f>
        <v>0</v>
      </c>
      <c r="X14" s="75" cm="1">
        <f t="array" ref="X14">_xlfn.BYROW(B58, _xlfn.LAMBDA(_xlpm.party,
   SUMIFS(ledger!J:J, ledger!B:B, _xlpm.party, ledger!E:E, "&lt;&gt;*RD*", ledger!D:D, "Slub", ledger!C:C, "&lt;&gt;September Closing CF")
))</f>
        <v>0</v>
      </c>
      <c r="Y14" s="23"/>
      <c r="Z14" s="44">
        <f t="shared" si="3"/>
        <v>255724.21360643749</v>
      </c>
      <c r="AA14" s="23">
        <f>(SUMIF(Table14[Party],Q14,Table14[Credit]))+_xlfn.IFNA(L93,0)</f>
        <v>0</v>
      </c>
      <c r="AB14" s="38">
        <f t="shared" si="2"/>
        <v>255724.21360643749</v>
      </c>
      <c r="AC14" s="22">
        <v>12</v>
      </c>
      <c r="AD14" s="22">
        <v>12</v>
      </c>
    </row>
    <row r="15" spans="2:30" x14ac:dyDescent="0.3">
      <c r="B15" t="str">
        <f t="shared" si="0"/>
        <v>Amjad 7up</v>
      </c>
      <c r="C15" s="18">
        <f>SUMIFS(ledger!G:G, ledger!B:B, B15, ledger!E:E, "&lt;&gt;*RD*") / 1.0936</f>
        <v>0</v>
      </c>
      <c r="E15" s="14">
        <f>(SUMIFS(ledger!G:G, ledger!B:B, B15, ledger!E:E, "&lt;&gt;*RD*",ledger!D:D, "Silky") / 1.0936)*12 + (SUMIFS(ledger!G:G, ledger!B:B, B15, ledger!E:E, "&lt;&gt;*RD*",ledger!D:D, "Chamki") / 1.0936)*10</f>
        <v>0</v>
      </c>
      <c r="Q15" s="25" t="str">
        <v>Hafiz Qureshi</v>
      </c>
      <c r="R15" s="23" cm="1">
        <f t="array" ref="R15">_xlfn.BYROW(B59,_xlfn.LAMBDA(_xlpm.party,SUMIFS(ledger!G:G,ledger!B:B,_xlpm.party,ledger!E:E,"&lt;&gt;*RD*")))+_xlfn.IFNA(C94,0)</f>
        <v>103023</v>
      </c>
      <c r="S15" s="23" cm="1">
        <f t="array" ref="S15">_xlfn.BYROW(B59, _xlfn.LAMBDA(_xlpm.party, SUMIFS(ledger!G:G, ledger!B:B, _xlpm.party, ledger!E:E, "&lt;&gt;*RD*") / 1.0936 ))+_xlfn.IFNA(D94,0)</f>
        <v>94205.376737381128</v>
      </c>
      <c r="T15" s="23" cm="1">
        <f t="array" ref="T15">(_xlfn.BYROW(B59,_xlfn.LAMBDA(_xlpm.party,SUMIFS(ledger!G:G,ledger!B:B,_xlpm.party,ledger!E:E,"&lt;&gt;*RD*",ledger!D:D,"Chamki")+SUMIFS(ledger!G:G, ledger!B:B, _xlpm.party, ledger!E:E, "&lt;&gt;*RD*", ledger!D:D, "Crinkle")))/1.0936)+_xlfn.IFNA(E94,0)</f>
        <v>94205.376737381128</v>
      </c>
      <c r="U15" s="75" cm="1">
        <f t="array" ref="U15">(_xlfn.BYROW(B59,_xlfn.LAMBDA(_xlpm.party,SUMIFS(ledger!G:G,ledger!B:B,_xlpm.party,ledger!E:E,"&lt;&gt;*RD*",ledger!D:D,"Silky")))/1.0936)+_xlfn.IFNA(F94,0)</f>
        <v>0</v>
      </c>
      <c r="V15" s="23" cm="1">
        <f t="array" ref="V15">(_xlfn.BYROW(B59,_xlfn.LAMBDA(_xlpm.party,
(SUMIFS(ledger!J:J,ledger!B:B,_xlpm.party,ledger!E:E,"&lt;&gt;*RD*",ledger!D:D,"Chamki",ledger!C:C,"&lt;&gt;September Closing CF")+
SUMIFS(ledger!J:J,ledger!B:B,_xlpm.party,ledger!E:E,"&lt;&gt;*RD*",ledger!D:D,"Crinkle",ledger!C:C,"&lt;&gt;September Closing CF")
)+_xlfn.IFNA(G94,0))))</f>
        <v>942053.76737381134</v>
      </c>
      <c r="W15" s="23" cm="1">
        <f t="array" ref="W15">_xlfn.BYROW(B59, _xlfn.LAMBDA(_xlpm.party,
   SUMIFS(ledger!J:J, ledger!B:B, _xlpm.party, ledger!E:E, "&lt;&gt;*RD*", ledger!D:D, "Silky", ledger!C:C, "&lt;&gt;September Closing CF")
)) + _xlfn.IFNA(H94, 0)</f>
        <v>0</v>
      </c>
      <c r="X15" s="75" cm="1">
        <f t="array" ref="X15">_xlfn.BYROW(B59, _xlfn.LAMBDA(_xlpm.party,
   SUMIFS(ledger!J:J, ledger!B:B, _xlpm.party, ledger!E:E, "&lt;&gt;*RD*", ledger!D:D, "Slub", ledger!C:C, "&lt;&gt;September Closing CF")
))</f>
        <v>0</v>
      </c>
      <c r="Y15" s="23"/>
      <c r="Z15" s="44">
        <f t="shared" si="3"/>
        <v>942053.76737381134</v>
      </c>
      <c r="AA15" s="23">
        <f>(SUMIF(Table14[Party],Q15,Table14[Credit]))+_xlfn.IFNA(L94,0)</f>
        <v>400000</v>
      </c>
      <c r="AB15" s="38">
        <f t="shared" si="2"/>
        <v>542053.76737381134</v>
      </c>
      <c r="AC15" s="22">
        <v>10</v>
      </c>
      <c r="AD15" s="22">
        <v>12</v>
      </c>
    </row>
    <row r="16" spans="2:30" x14ac:dyDescent="0.3">
      <c r="B16" t="str">
        <f t="shared" si="0"/>
        <v>Hazrat Khan</v>
      </c>
      <c r="C16" s="18">
        <f>SUMIFS(ledger!G:G, ledger!B:B, B16, ledger!E:E, "&lt;&gt;*RD*") / 1.0936</f>
        <v>0</v>
      </c>
      <c r="E16" s="14">
        <f>(SUMIFS(ledger!G:G, ledger!B:B, B16, ledger!E:E, "&lt;&gt;*RD*",ledger!D:D, "Silky") / 1.0936)*12 + (SUMIFS(ledger!G:G, ledger!B:B, B16, ledger!E:E, "&lt;&gt;*RD*",ledger!D:D, "Chamki") / 1.0936)*10</f>
        <v>0</v>
      </c>
      <c r="Q16" s="25" t="str">
        <v>Badshah Fabrics</v>
      </c>
      <c r="R16" s="23" cm="1">
        <f t="array" ref="R16">_xlfn.BYROW(B60,_xlfn.LAMBDA(_xlpm.party,SUMIFS(ledger!G:G,ledger!B:B,_xlpm.party,ledger!E:E,"&lt;&gt;*RD*")))+_xlfn.IFNA(C95,0)</f>
        <v>352098</v>
      </c>
      <c r="S16" s="23" cm="1">
        <f t="array" ref="S16">_xlfn.BYROW(B60, _xlfn.LAMBDA(_xlpm.party, SUMIFS(ledger!G:G, ledger!B:B, _xlpm.party, ledger!E:E, "&lt;&gt;*RD*") / 1.0936 ))+_xlfn.IFNA(D95,0)</f>
        <v>321962.32626188739</v>
      </c>
      <c r="T16" s="23" cm="1">
        <f t="array" ref="T16">(_xlfn.BYROW(B60,_xlfn.LAMBDA(_xlpm.party,SUMIFS(ledger!G:G,ledger!B:B,_xlpm.party,ledger!E:E,"&lt;&gt;*RD*",ledger!D:D,"Chamki")+SUMIFS(ledger!G:G, ledger!B:B, _xlpm.party, ledger!E:E, "&lt;&gt;*RD*", ledger!D:D, "Crinkle")))/1.0936)+_xlfn.IFNA(E95,0)</f>
        <v>258807.60790051211</v>
      </c>
      <c r="U16" s="75" cm="1">
        <f t="array" ref="U16">(_xlfn.BYROW(B60,_xlfn.LAMBDA(_xlpm.party,SUMIFS(ledger!G:G,ledger!B:B,_xlpm.party,ledger!E:E,"&lt;&gt;*RD*",ledger!D:D,"Silky")))/1.0936)+_xlfn.IFNA(F95,0)</f>
        <v>63154.718361375279</v>
      </c>
      <c r="V16" s="23" cm="1">
        <f t="array" ref="V16">(_xlfn.BYROW(B60,_xlfn.LAMBDA(_xlpm.party,
(SUMIFS(ledger!J:J,ledger!B:B,_xlpm.party,ledger!E:E,"&lt;&gt;*RD*",ledger!D:D,"Chamki",ledger!C:C,"&lt;&gt;September Closing CF")+
SUMIFS(ledger!J:J,ledger!B:B,_xlpm.party,ledger!E:E,"&lt;&gt;*RD*",ledger!D:D,"Crinkle",ledger!C:C,"&lt;&gt;September Closing CF")
)+_xlfn.IFNA(G95,0))))</f>
        <v>2588076.0790051213</v>
      </c>
      <c r="W16" s="23" cm="1">
        <f t="array" ref="W16">_xlfn.BYROW(B60, _xlfn.LAMBDA(_xlpm.party,
   SUMIFS(ledger!J:J, ledger!B:B, _xlpm.party, ledger!E:E, "&lt;&gt;*RD*", ledger!D:D, "Silky", ledger!C:C, "&lt;&gt;September Closing CF")
)) + _xlfn.IFNA(H95, 0)</f>
        <v>757856.62033650337</v>
      </c>
      <c r="X16" s="75" cm="1">
        <f t="array" ref="X16">_xlfn.BYROW(B60, _xlfn.LAMBDA(_xlpm.party,
   SUMIFS(ledger!J:J, ledger!B:B, _xlpm.party, ledger!E:E, "&lt;&gt;*RD*", ledger!D:D, "Slub", ledger!C:C, "&lt;&gt;September Closing CF")
))</f>
        <v>0</v>
      </c>
      <c r="Y16" s="23"/>
      <c r="Z16" s="44">
        <f t="shared" si="3"/>
        <v>3345932.6993416245</v>
      </c>
      <c r="AA16" s="23">
        <f>(SUMIF(Table14[Party],Q16,Table14[Credit]))+_xlfn.IFNA(L95,0)</f>
        <v>1870000</v>
      </c>
      <c r="AB16" s="38">
        <f t="shared" si="2"/>
        <v>1475932.6993416245</v>
      </c>
      <c r="AC16" s="22">
        <v>10</v>
      </c>
      <c r="AD16" s="22">
        <v>12</v>
      </c>
    </row>
    <row r="17" spans="2:30" x14ac:dyDescent="0.3">
      <c r="B17" t="str">
        <f t="shared" si="0"/>
        <v>Haseeb Shamsi</v>
      </c>
      <c r="C17" s="18">
        <f>SUMIFS(ledger!G:G, ledger!B:B, B17, ledger!E:E, "&lt;&gt;*RD*") / 1.0936</f>
        <v>0</v>
      </c>
      <c r="E17" s="14">
        <f>(SUMIFS(ledger!G:G, ledger!B:B, B17, ledger!E:E, "&lt;&gt;*RD*",ledger!D:D, "Silky") / 1.0936)*12 + (SUMIFS(ledger!G:G, ledger!B:B, B17, ledger!E:E, "&lt;&gt;*RD*",ledger!D:D, "Chamki") / 1.0936)*10</f>
        <v>0</v>
      </c>
      <c r="Q17" s="25" t="str">
        <v>Reject</v>
      </c>
      <c r="R17" s="23" cm="1">
        <f t="array" ref="R17">_xlfn.BYROW(B61,_xlfn.LAMBDA(_xlpm.party,SUMIFS(ledger!G:G,ledger!B:B,_xlpm.party,ledger!E:E,"&lt;&gt;*RD*")))+_xlfn.IFNA(C96,0)</f>
        <v>0</v>
      </c>
      <c r="S17" s="23" cm="1">
        <f t="array" ref="S17">_xlfn.BYROW(B61, _xlfn.LAMBDA(_xlpm.party, SUMIFS(ledger!G:G, ledger!B:B, _xlpm.party, ledger!E:E, "&lt;&gt;*RD*") / 1.0936 ))+_xlfn.IFNA(D96,0)</f>
        <v>0</v>
      </c>
      <c r="T17" s="23" cm="1">
        <f t="array" ref="T17">(_xlfn.BYROW(B61,_xlfn.LAMBDA(_xlpm.party,SUMIFS(ledger!G:G,ledger!B:B,_xlpm.party,ledger!E:E,"&lt;&gt;*RD*",ledger!D:D,"Chamki")+SUMIFS(ledger!G:G, ledger!B:B, _xlpm.party, ledger!E:E, "&lt;&gt;*RD*", ledger!D:D, "Crinkle")))/1.0936)+_xlfn.IFNA(E96,0)</f>
        <v>0</v>
      </c>
      <c r="U17" s="75" cm="1">
        <f t="array" ref="U17">(_xlfn.BYROW(B61,_xlfn.LAMBDA(_xlpm.party,SUMIFS(ledger!G:G,ledger!B:B,_xlpm.party,ledger!E:E,"&lt;&gt;*RD*",ledger!D:D,"Silky")))/1.0936)+_xlfn.IFNA(F96,0)</f>
        <v>0</v>
      </c>
      <c r="V17" s="23" cm="1">
        <f t="array" ref="V17">(_xlfn.BYROW(B61,_xlfn.LAMBDA(_xlpm.party,
(SUMIFS(ledger!J:J,ledger!B:B,_xlpm.party,ledger!E:E,"&lt;&gt;*RD*",ledger!D:D,"Chamki",ledger!C:C,"&lt;&gt;September Closing CF")+
SUMIFS(ledger!J:J,ledger!B:B,_xlpm.party,ledger!E:E,"&lt;&gt;*RD*",ledger!D:D,"Crinkle",ledger!C:C,"&lt;&gt;September Closing CF")
)+_xlfn.IFNA(G96,0))))</f>
        <v>0</v>
      </c>
      <c r="W17" s="23" cm="1">
        <f t="array" ref="W17">_xlfn.BYROW(B61, _xlfn.LAMBDA(_xlpm.party,
   SUMIFS(ledger!J:J, ledger!B:B, _xlpm.party, ledger!E:E, "&lt;&gt;*RD*", ledger!D:D, "Silky", ledger!C:C, "&lt;&gt;September Closing CF")
)) + _xlfn.IFNA(H96, 0)</f>
        <v>0</v>
      </c>
      <c r="X17" s="75" cm="1">
        <f t="array" ref="X17">_xlfn.BYROW(B61, _xlfn.LAMBDA(_xlpm.party,
   SUMIFS(ledger!J:J, ledger!B:B, _xlpm.party, ledger!E:E, "&lt;&gt;*RD*", ledger!D:D, "Slub", ledger!C:C, "&lt;&gt;September Closing CF")
))</f>
        <v>0</v>
      </c>
      <c r="Y17" s="23"/>
      <c r="Z17" s="44">
        <f t="shared" si="3"/>
        <v>0</v>
      </c>
      <c r="AA17" s="23">
        <f>(SUMIF(Table14[Party],Q17,Table14[Credit]))+_xlfn.IFNA(L96,0)</f>
        <v>0</v>
      </c>
      <c r="AB17" s="38">
        <f t="shared" si="2"/>
        <v>0</v>
      </c>
      <c r="AC17" s="22">
        <v>10</v>
      </c>
      <c r="AD17" s="22">
        <v>12</v>
      </c>
    </row>
    <row r="18" spans="2:30" x14ac:dyDescent="0.3">
      <c r="B18" t="str">
        <f t="shared" si="0"/>
        <v>Faizan</v>
      </c>
      <c r="C18" s="18">
        <f>SUMIFS(ledger!G:G, ledger!B:B, B18, ledger!E:E, "&lt;&gt;*RD*") / 1.0936</f>
        <v>34937.820043891734</v>
      </c>
      <c r="E18" s="14">
        <f>(SUMIFS(ledger!G:G, ledger!B:B, B18, ledger!E:E, "&lt;&gt;*RD*",ledger!D:D, "Silky") / 1.0936)*12 + (SUMIFS(ledger!G:G, ledger!B:B, B18, ledger!E:E, "&lt;&gt;*RD*",ledger!D:D, "Chamki") / 1.0936)*10</f>
        <v>383613.75274323334</v>
      </c>
      <c r="Q18" s="123" t="str">
        <v>Amjad 7up</v>
      </c>
      <c r="R18" s="23" cm="1">
        <f t="array" ref="R18">_xlfn.BYROW(B62,_xlfn.LAMBDA(_xlpm.party,SUMIFS(ledger!G:G,ledger!B:B,_xlpm.party,ledger!E:E,"&lt;&gt;*RD*")))+_xlfn.IFNA(C97,0)</f>
        <v>52914</v>
      </c>
      <c r="S18" s="23" cm="1">
        <f t="array" ref="S18">_xlfn.BYROW(B62, _xlfn.LAMBDA(_xlpm.party, SUMIFS(ledger!G:G, ledger!B:B, _xlpm.party, ledger!E:E, "&lt;&gt;*RD*") / 1.0936 ))+_xlfn.IFNA(D97,0)</f>
        <v>48385.149963423559</v>
      </c>
      <c r="T18" s="23" cm="1">
        <f t="array" ref="T18">(_xlfn.BYROW(B62,_xlfn.LAMBDA(_xlpm.party,SUMIFS(ledger!G:G,ledger!B:B,_xlpm.party,ledger!E:E,"&lt;&gt;*RD*",ledger!D:D,"Chamki")+SUMIFS(ledger!G:G, ledger!B:B, _xlpm.party, ledger!E:E, "&lt;&gt;*RD*", ledger!D:D, "Crinkle")))/1.0936)+_xlfn.IFNA(E97,0)</f>
        <v>48385.149963423559</v>
      </c>
      <c r="U18" s="75" cm="1">
        <f t="array" ref="U18">(_xlfn.BYROW(B62,_xlfn.LAMBDA(_xlpm.party,SUMIFS(ledger!G:G,ledger!B:B,_xlpm.party,ledger!E:E,"&lt;&gt;*RD*",ledger!D:D,"Silky")))/1.0936)+_xlfn.IFNA(F97,0)</f>
        <v>0</v>
      </c>
      <c r="V18" s="23" cm="1">
        <f t="array" ref="V18">(_xlfn.BYROW(B62,_xlfn.LAMBDA(_xlpm.party,
(SUMIFS(ledger!J:J,ledger!B:B,_xlpm.party,ledger!E:E,"&lt;&gt;*RD*",ledger!D:D,"Chamki",ledger!C:C,"&lt;&gt;September Closing CF")+
SUMIFS(ledger!J:J,ledger!B:B,_xlpm.party,ledger!E:E,"&lt;&gt;*RD*",ledger!D:D,"Crinkle",ledger!C:C,"&lt;&gt;September Closing CF")
)+_xlfn.IFNA(G97,0))))</f>
        <v>483851.49963423557</v>
      </c>
      <c r="W18" s="23" cm="1">
        <f t="array" ref="W18">_xlfn.BYROW(B62, _xlfn.LAMBDA(_xlpm.party,
   SUMIFS(ledger!J:J, ledger!B:B, _xlpm.party, ledger!E:E, "&lt;&gt;*RD*", ledger!D:D, "Silky", ledger!C:C, "&lt;&gt;September Closing CF")
)) + _xlfn.IFNA(H97, 0)</f>
        <v>0</v>
      </c>
      <c r="X18" s="75" cm="1">
        <f t="array" ref="X18">_xlfn.BYROW(B62, _xlfn.LAMBDA(_xlpm.party,
   SUMIFS(ledger!J:J, ledger!B:B, _xlpm.party, ledger!E:E, "&lt;&gt;*RD*", ledger!D:D, "Slub", ledger!C:C, "&lt;&gt;September Closing CF")
))</f>
        <v>0</v>
      </c>
      <c r="Y18" s="23"/>
      <c r="Z18" s="44">
        <f t="shared" ref="Z18" si="4">V18+W18</f>
        <v>483851.49963423557</v>
      </c>
      <c r="AA18" s="23">
        <f>(SUMIF(Table14[Party],Q18,Table14[Credit]))+_xlfn.IFNA(L97,0)</f>
        <v>400000</v>
      </c>
      <c r="AB18" s="38">
        <f t="shared" ref="AB18:AB20" si="5">Z18-AA18</f>
        <v>83851.499634235573</v>
      </c>
      <c r="AC18" s="22">
        <v>10</v>
      </c>
      <c r="AD18" s="22">
        <v>12</v>
      </c>
    </row>
    <row r="19" spans="2:30" x14ac:dyDescent="0.3">
      <c r="Q19" s="123" t="str">
        <v>Hazrat Khan</v>
      </c>
      <c r="R19" s="23" cm="1">
        <f t="array" ref="R19">_xlfn.BYROW(B63,_xlfn.LAMBDA(_xlpm.party,SUMIFS(ledger!G:G,ledger!B:B,_xlpm.party,ledger!E:E,"&lt;&gt;*RD*")))+_xlfn.IFNA(C98,0)</f>
        <v>9750</v>
      </c>
      <c r="S19" s="23" cm="1">
        <f t="array" ref="S19">_xlfn.BYROW(B63, _xlfn.LAMBDA(_xlpm.party, SUMIFS(ledger!G:G, ledger!B:B, _xlpm.party, ledger!E:E, "&lt;&gt;*RD*") / 1.0936 ))+_xlfn.IFNA(D98,0)</f>
        <v>8915.5084125822978</v>
      </c>
      <c r="T19" s="23" cm="1">
        <f t="array" ref="T19">(_xlfn.BYROW(B63,_xlfn.LAMBDA(_xlpm.party,SUMIFS(ledger!G:G,ledger!B:B,_xlpm.party,ledger!E:E,"&lt;&gt;*RD*",ledger!D:D,"Chamki")+SUMIFS(ledger!G:G, ledger!B:B, _xlpm.party, ledger!E:E, "&lt;&gt;*RD*", ledger!D:D, "Crinkle")))/1.0936)+_xlfn.IFNA(E98,0)</f>
        <v>8915.5084125822978</v>
      </c>
      <c r="U19" s="75" cm="1">
        <f t="array" ref="U19">(_xlfn.BYROW(B63,_xlfn.LAMBDA(_xlpm.party,SUMIFS(ledger!G:G,ledger!B:B,_xlpm.party,ledger!E:E,"&lt;&gt;*RD*",ledger!D:D,"Silky")))/1.0936)+_xlfn.IFNA(F98,0)</f>
        <v>0</v>
      </c>
      <c r="V19" s="23" cm="1">
        <f t="array" ref="V19">(_xlfn.BYROW(B63,_xlfn.LAMBDA(_xlpm.party,
(SUMIFS(ledger!J:J,ledger!B:B,_xlpm.party,ledger!E:E,"&lt;&gt;*RD*",ledger!D:D,"Chamki",ledger!C:C,"&lt;&gt;September Closing CF")+
SUMIFS(ledger!J:J,ledger!B:B,_xlpm.party,ledger!E:E,"&lt;&gt;*RD*",ledger!D:D,"Crinkle",ledger!C:C,"&lt;&gt;September Closing CF")
)+_xlfn.IFNA(G98,0))))</f>
        <v>89155.084125822978</v>
      </c>
      <c r="W19" s="23" cm="1">
        <f t="array" ref="W19">_xlfn.BYROW(B63, _xlfn.LAMBDA(_xlpm.party,
   SUMIFS(ledger!J:J, ledger!B:B, _xlpm.party, ledger!E:E, "&lt;&gt;*RD*", ledger!D:D, "Silky", ledger!C:C, "&lt;&gt;September Closing CF")
)) + _xlfn.IFNA(H98, 0)</f>
        <v>0</v>
      </c>
      <c r="X19" s="75" cm="1">
        <f t="array" ref="X19">_xlfn.BYROW(B63, _xlfn.LAMBDA(_xlpm.party,
   SUMIFS(ledger!J:J, ledger!B:B, _xlpm.party, ledger!E:E, "&lt;&gt;*RD*", ledger!D:D, "Slub", ledger!C:C, "&lt;&gt;September Closing CF")
))</f>
        <v>0</v>
      </c>
      <c r="Y19" s="23"/>
      <c r="Z19" s="44">
        <f t="shared" ref="Z19:Z20" si="6">V19+W19</f>
        <v>89155.084125822978</v>
      </c>
      <c r="AA19" s="23">
        <f>(SUMIF(Table14[Party],Q19,Table14[Credit]))+_xlfn.IFNA(L98,0)</f>
        <v>95000</v>
      </c>
      <c r="AB19" s="38">
        <f t="shared" si="5"/>
        <v>-5844.9158741770225</v>
      </c>
      <c r="AC19" s="22">
        <v>10</v>
      </c>
      <c r="AD19" s="22">
        <v>12</v>
      </c>
    </row>
    <row r="20" spans="2:30" x14ac:dyDescent="0.3">
      <c r="Q20" s="123" t="str">
        <v>Haseeb Shamsi</v>
      </c>
      <c r="R20" s="23" cm="1">
        <f t="array" ref="R20">_xlfn.BYROW(B64,_xlfn.LAMBDA(_xlpm.party,SUMIFS(ledger!G:G,ledger!B:B,_xlpm.party,ledger!E:E,"&lt;&gt;*RD*")))+_xlfn.IFNA(C99,0)</f>
        <v>28026</v>
      </c>
      <c r="S20" s="23" cm="1">
        <f t="array" ref="S20">_xlfn.BYROW(B64, _xlfn.LAMBDA(_xlpm.party, SUMIFS(ledger!G:G, ledger!B:B, _xlpm.party, ledger!E:E, "&lt;&gt;*RD*") / 1.0936 ))+_xlfn.IFNA(D99,0)</f>
        <v>25627.286027798102</v>
      </c>
      <c r="T20" s="23" cm="1">
        <f t="array" ref="T20">(_xlfn.BYROW(B64,_xlfn.LAMBDA(_xlpm.party,SUMIFS(ledger!G:G,ledger!B:B,_xlpm.party,ledger!E:E,"&lt;&gt;*RD*",ledger!D:D,"Chamki")+SUMIFS(ledger!G:G, ledger!B:B, _xlpm.party, ledger!E:E, "&lt;&gt;*RD*", ledger!D:D, "Crinkle")))/1.0936)+_xlfn.IFNA(E99,0)</f>
        <v>25627.286027798102</v>
      </c>
      <c r="U20" s="75" cm="1">
        <f t="array" ref="U20">(_xlfn.BYROW(B64,_xlfn.LAMBDA(_xlpm.party,SUMIFS(ledger!G:G,ledger!B:B,_xlpm.party,ledger!E:E,"&lt;&gt;*RD*",ledger!D:D,"Silky")))/1.0936)+_xlfn.IFNA(F99,0)</f>
        <v>0</v>
      </c>
      <c r="V20" s="23" cm="1">
        <f t="array" ref="V20">(_xlfn.BYROW(B64,_xlfn.LAMBDA(_xlpm.party,
(SUMIFS(ledger!J:J,ledger!B:B,_xlpm.party,ledger!E:E,"&lt;&gt;*RD*",ledger!D:D,"Chamki",ledger!C:C,"&lt;&gt;September Closing CF")+
SUMIFS(ledger!J:J,ledger!B:B,_xlpm.party,ledger!E:E,"&lt;&gt;*RD*",ledger!D:D,"Crinkle",ledger!C:C,"&lt;&gt;September Closing CF")
)+_xlfn.IFNA(G99,0))))</f>
        <v>256272.86027798103</v>
      </c>
      <c r="W20" s="23" cm="1">
        <f t="array" ref="W20">_xlfn.BYROW(B64, _xlfn.LAMBDA(_xlpm.party,
   SUMIFS(ledger!J:J, ledger!B:B, _xlpm.party, ledger!E:E, "&lt;&gt;*RD*", ledger!D:D, "Silky", ledger!C:C, "&lt;&gt;September Closing CF")
)) + _xlfn.IFNA(H99, 0)</f>
        <v>0</v>
      </c>
      <c r="X20" s="75" cm="1">
        <f t="array" ref="X20">_xlfn.BYROW(B64, _xlfn.LAMBDA(_xlpm.party,
   SUMIFS(ledger!J:J, ledger!B:B, _xlpm.party, ledger!E:E, "&lt;&gt;*RD*", ledger!D:D, "Slub", ledger!C:C, "&lt;&gt;September Closing CF")
))</f>
        <v>0</v>
      </c>
      <c r="Y20" s="23"/>
      <c r="Z20" s="44">
        <f t="shared" si="6"/>
        <v>256272.86027798103</v>
      </c>
      <c r="AA20" s="23">
        <f>(SUMIF(Table14[Party],Q20,Table14[Credit]))+_xlfn.IFNA(L99,0)</f>
        <v>256200</v>
      </c>
      <c r="AB20" s="38">
        <f t="shared" si="5"/>
        <v>72.860277981031686</v>
      </c>
      <c r="AC20" s="22">
        <v>10</v>
      </c>
      <c r="AD20" s="22">
        <v>12</v>
      </c>
    </row>
    <row r="21" spans="2:30" x14ac:dyDescent="0.3">
      <c r="B21" s="45" t="s">
        <v>29</v>
      </c>
      <c r="C21" s="46">
        <f>SUM(G49:G69)+SUM(H49:H69)</f>
        <v>6228875.2743233368</v>
      </c>
      <c r="D21" t="s">
        <v>30</v>
      </c>
      <c r="Q21" s="124" t="str">
        <v>Faizan</v>
      </c>
      <c r="R21" s="23" cm="1">
        <f t="array" ref="R21">_xlfn.BYROW(B65,_xlfn.LAMBDA(_xlpm.party,SUMIFS(ledger!G:G,ledger!B:B,_xlpm.party,ledger!E:E,"&lt;&gt;*RD*")))+_xlfn.IFNA(C100,0)</f>
        <v>38208</v>
      </c>
      <c r="S21" s="23" cm="1">
        <f t="array" ref="S21">_xlfn.BYROW(B65, _xlfn.LAMBDA(_xlpm.party, SUMIFS(ledger!G:G, ledger!B:B, _xlpm.party, ledger!E:E, "&lt;&gt;*RD*") / 1.0936 ))+_xlfn.IFNA(D100,0)</f>
        <v>34937.820043891734</v>
      </c>
      <c r="T21" s="23" cm="1">
        <f t="array" ref="T21">(_xlfn.BYROW(B65,_xlfn.LAMBDA(_xlpm.party,SUMIFS(ledger!G:G,ledger!B:B,_xlpm.party,ledger!E:E,"&lt;&gt;*RD*",ledger!D:D,"Chamki")+SUMIFS(ledger!G:G, ledger!B:B, _xlpm.party, ledger!E:E, "&lt;&gt;*RD*", ledger!D:D, "Crinkle")))/1.0936)+_xlfn.IFNA(E100,0)</f>
        <v>0</v>
      </c>
      <c r="U21" s="75" cm="1">
        <f t="array" ref="U21">(_xlfn.BYROW(B65,_xlfn.LAMBDA(_xlpm.party,SUMIFS(ledger!G:G,ledger!B:B,_xlpm.party,ledger!E:E,"&lt;&gt;*RD*",ledger!D:D,"Silky")))/1.0936)+_xlfn.IFNA(F100,0)</f>
        <v>31967.812728602781</v>
      </c>
      <c r="V21" s="23" cm="1">
        <f t="array" ref="V21">(_xlfn.BYROW(B65,_xlfn.LAMBDA(_xlpm.party,
(SUMIFS(ledger!J:J,ledger!B:B,_xlpm.party,ledger!E:E,"&lt;&gt;*RD*",ledger!D:D,"Chamki",ledger!C:C,"&lt;&gt;September Closing CF")+
SUMIFS(ledger!J:J,ledger!B:B,_xlpm.party,ledger!E:E,"&lt;&gt;*RD*",ledger!D:D,"Crinkle",ledger!C:C,"&lt;&gt;September Closing CF")
)+_xlfn.IFNA(G100,0))))</f>
        <v>0</v>
      </c>
      <c r="W21" s="23" cm="1">
        <f t="array" ref="W21">_xlfn.BYROW(B65, _xlfn.LAMBDA(_xlpm.party,
   SUMIFS(ledger!J:J, ledger!B:B, _xlpm.party, ledger!E:E, "&lt;&gt;*RD*", ledger!D:D, "Silky", ledger!C:C, "&lt;&gt;September Closing CF")
)) + _xlfn.IFNA(H100, 0)</f>
        <v>415581.56547183613</v>
      </c>
      <c r="X21" s="75" cm="1">
        <f t="array" ref="X21">_xlfn.BYROW(B65, _xlfn.LAMBDA(_xlpm.party,
   SUMIFS(ledger!J:J, ledger!B:B, _xlpm.party, ledger!E:E, "&lt;&gt;*RD*", ledger!D:D, "Slub", ledger!C:C, "&lt;&gt;September Closing CF")
))</f>
        <v>44550.109729334312</v>
      </c>
      <c r="Y21" s="23"/>
      <c r="Z21" s="44">
        <f t="shared" ref="Z21:Z35" si="7">V21+W21</f>
        <v>415581.56547183613</v>
      </c>
      <c r="AA21" s="23">
        <f>(SUMIF(Table14[Party],Q21,Table14[Credit]))+_xlfn.IFNA(L100,0)</f>
        <v>415571</v>
      </c>
      <c r="AB21" s="38">
        <f t="shared" ref="AB21:AB35" si="8">Z21-AA21</f>
        <v>10.565471836132929</v>
      </c>
      <c r="AC21" s="22">
        <v>10</v>
      </c>
      <c r="AD21" s="22">
        <v>13</v>
      </c>
    </row>
    <row r="22" spans="2:30" x14ac:dyDescent="0.3">
      <c r="C22" s="18"/>
      <c r="Q22" s="22" t="str">
        <v>Shafique Ansari</v>
      </c>
      <c r="R22" s="23" cm="1">
        <f t="array" ref="R22">_xlfn.BYROW(B66,_xlfn.LAMBDA(_xlpm.party,SUMIFS(ledger!G:G,ledger!B:B,_xlpm.party,ledger!E:E,"&lt;&gt;*RD*")))+_xlfn.IFNA(C101,0)</f>
        <v>82290</v>
      </c>
      <c r="S22" s="23" cm="1">
        <f t="array" ref="S22">_xlfn.BYROW(B66, _xlfn.LAMBDA(_xlpm.party, SUMIFS(ledger!G:G, ledger!B:B, _xlpm.party, ledger!E:E, "&lt;&gt;*RD*") / 1.0936 ))+_xlfn.IFNA(D101,0)</f>
        <v>75246.891002194592</v>
      </c>
      <c r="T22" s="23" cm="1">
        <f t="array" ref="T22">(_xlfn.BYROW(B66,_xlfn.LAMBDA(_xlpm.party,SUMIFS(ledger!G:G,ledger!B:B,_xlpm.party,ledger!E:E,"&lt;&gt;*RD*",ledger!D:D,"Chamki")+SUMIFS(ledger!G:G, ledger!B:B, _xlpm.party, ledger!E:E, "&lt;&gt;*RD*", ledger!D:D, "Crinkle")))/1.0936)+_xlfn.IFNA(E101,0)</f>
        <v>64300.475493782011</v>
      </c>
      <c r="U22" s="75" cm="1">
        <f t="array" ref="U22">(_xlfn.BYROW(B66,_xlfn.LAMBDA(_xlpm.party,SUMIFS(ledger!G:G,ledger!B:B,_xlpm.party,ledger!E:E,"&lt;&gt;*RD*",ledger!D:D,"Silky")))/1.0936)+_xlfn.IFNA(F101,0)</f>
        <v>7565.8376005852242</v>
      </c>
      <c r="V22" s="23" cm="1">
        <f t="array" ref="V22">(_xlfn.BYROW(B66,_xlfn.LAMBDA(_xlpm.party,
(SUMIFS(ledger!J:J,ledger!B:B,_xlpm.party,ledger!E:E,"&lt;&gt;*RD*",ledger!D:D,"Chamki",ledger!C:C,"&lt;&gt;September Closing CF")+
SUMIFS(ledger!J:J,ledger!B:B,_xlpm.party,ledger!E:E,"&lt;&gt;*RD*",ledger!D:D,"Crinkle",ledger!C:C,"&lt;&gt;September Closing CF")
)+_xlfn.IFNA(G101,0))))</f>
        <v>643004.75493782014</v>
      </c>
      <c r="W22" s="23" cm="1">
        <f t="array" ref="W22">_xlfn.BYROW(B66, _xlfn.LAMBDA(_xlpm.party,
   SUMIFS(ledger!J:J, ledger!B:B, _xlpm.party, ledger!E:E, "&lt;&gt;*RD*", ledger!D:D, "Silky", ledger!C:C, "&lt;&gt;September Closing CF")
)) + _xlfn.IFNA(H101, 0)</f>
        <v>98355.888807607917</v>
      </c>
      <c r="X22" s="75" cm="1">
        <f t="array" ref="X22">_xlfn.BYROW(B66, _xlfn.LAMBDA(_xlpm.party,
   SUMIFS(ledger!J:J, ledger!B:B, _xlpm.party, ledger!E:E, "&lt;&gt;*RD*", ledger!D:D, "Slub", ledger!C:C, "&lt;&gt;September Closing CF")
))</f>
        <v>0</v>
      </c>
      <c r="Y22" s="23"/>
      <c r="Z22" s="44">
        <f t="shared" si="7"/>
        <v>741360.64374542807</v>
      </c>
      <c r="AA22" s="23">
        <f>(SUMIF(Table14[Party],Q22,Table14[Credit]))+_xlfn.IFNA(L101,0)</f>
        <v>98000</v>
      </c>
      <c r="AB22" s="38">
        <f t="shared" si="8"/>
        <v>643360.64374542807</v>
      </c>
      <c r="AC22" s="22">
        <v>10</v>
      </c>
      <c r="AD22" s="22">
        <v>13</v>
      </c>
    </row>
    <row r="23" spans="2:30" x14ac:dyDescent="0.3">
      <c r="B23" s="25" t="s">
        <v>31</v>
      </c>
      <c r="C23" s="42">
        <f ca="1">SUM(OFFSET(K49,0,0,COUNTA(K:K)-ROW(K49)+1))</f>
        <v>2074765.910753475</v>
      </c>
      <c r="D23" t="s">
        <v>32</v>
      </c>
      <c r="Q23" s="22" t="str">
        <v>Amjad sohail</v>
      </c>
      <c r="R23" s="23" cm="1">
        <f t="array" ref="R23">_xlfn.BYROW(B67,_xlfn.LAMBDA(_xlpm.party,SUMIFS(ledger!G:G,ledger!B:B,_xlpm.party,ledger!E:E,"&lt;&gt;*RD*")))+_xlfn.IFNA(C102,0)</f>
        <v>1662</v>
      </c>
      <c r="S23" s="23" cm="1">
        <f t="array" ref="S23">_xlfn.BYROW(B67, _xlfn.LAMBDA(_xlpm.party, SUMIFS(ledger!G:G, ledger!B:B, _xlpm.party, ledger!E:E, "&lt;&gt;*RD*") / 1.0936 ))+_xlfn.IFNA(D102,0)</f>
        <v>1519.751280175567</v>
      </c>
      <c r="T23" s="23" cm="1">
        <f t="array" ref="T23">(_xlfn.BYROW(B67,_xlfn.LAMBDA(_xlpm.party,SUMIFS(ledger!G:G,ledger!B:B,_xlpm.party,ledger!E:E,"&lt;&gt;*RD*",ledger!D:D,"Chamki")+SUMIFS(ledger!G:G, ledger!B:B, _xlpm.party, ledger!E:E, "&lt;&gt;*RD*", ledger!D:D, "Crinkle")))/1.0936)+_xlfn.IFNA(E102,0)</f>
        <v>0</v>
      </c>
      <c r="U23" s="75" cm="1">
        <f t="array" ref="U23">(_xlfn.BYROW(B67,_xlfn.LAMBDA(_xlpm.party,SUMIFS(ledger!G:G,ledger!B:B,_xlpm.party,ledger!E:E,"&lt;&gt;*RD*",ledger!D:D,"Silky")))/1.0936)+_xlfn.IFNA(F102,0)</f>
        <v>1519.751280175567</v>
      </c>
      <c r="V23" s="23" cm="1">
        <f t="array" ref="V23">(_xlfn.BYROW(B67,_xlfn.LAMBDA(_xlpm.party,
(SUMIFS(ledger!J:J,ledger!B:B,_xlpm.party,ledger!E:E,"&lt;&gt;*RD*",ledger!D:D,"Chamki",ledger!C:C,"&lt;&gt;September Closing CF")+
SUMIFS(ledger!J:J,ledger!B:B,_xlpm.party,ledger!E:E,"&lt;&gt;*RD*",ledger!D:D,"Crinkle",ledger!C:C,"&lt;&gt;September Closing CF")
)+_xlfn.IFNA(G102,0))))</f>
        <v>0</v>
      </c>
      <c r="W23" s="23" cm="1">
        <f t="array" ref="W23">_xlfn.BYROW(B67, _xlfn.LAMBDA(_xlpm.party,
   SUMIFS(ledger!J:J, ledger!B:B, _xlpm.party, ledger!E:E, "&lt;&gt;*RD*", ledger!D:D, "Silky", ledger!C:C, "&lt;&gt;September Closing CF")
)) + _xlfn.IFNA(H102, 0)</f>
        <v>19756.766642282371</v>
      </c>
      <c r="X23" s="75" cm="1">
        <f t="array" ref="X23">_xlfn.BYROW(B67, _xlfn.LAMBDA(_xlpm.party,
   SUMIFS(ledger!J:J, ledger!B:B, _xlpm.party, ledger!E:E, "&lt;&gt;*RD*", ledger!D:D, "Slub", ledger!C:C, "&lt;&gt;September Closing CF")
))</f>
        <v>0</v>
      </c>
      <c r="Y23" s="23"/>
      <c r="Z23" s="44">
        <f t="shared" si="7"/>
        <v>19756.766642282371</v>
      </c>
      <c r="AA23" s="23">
        <f>(SUMIF(Table14[Party],Q23,Table14[Credit]))+_xlfn.IFNA(L102,0)</f>
        <v>300000</v>
      </c>
      <c r="AB23" s="38">
        <f t="shared" si="8"/>
        <v>-280243.23335771763</v>
      </c>
      <c r="AC23" s="22">
        <v>10</v>
      </c>
      <c r="AD23" s="22">
        <v>13</v>
      </c>
    </row>
    <row r="24" spans="2:30" x14ac:dyDescent="0.3">
      <c r="R24" s="23" cm="1">
        <f t="array" ref="R24">_xlfn.BYROW(B68,_xlfn.LAMBDA(_xlpm.party,SUMIFS(ledger!G:G,ledger!B:B,_xlpm.party,ledger!E:E,"&lt;&gt;*RD*")))+_xlfn.IFNA(C103,0)</f>
        <v>0</v>
      </c>
      <c r="S24" s="23" cm="1">
        <f t="array" ref="S24">_xlfn.BYROW(B68, _xlfn.LAMBDA(_xlpm.party, SUMIFS(ledger!G:G, ledger!B:B, _xlpm.party, ledger!E:E, "&lt;&gt;*RD*") / 1.0936 ))+_xlfn.IFNA(D103,0)</f>
        <v>0</v>
      </c>
      <c r="T24" s="23" cm="1">
        <f t="array" ref="T24">(_xlfn.BYROW(B68,_xlfn.LAMBDA(_xlpm.party,SUMIFS(ledger!G:G,ledger!B:B,_xlpm.party,ledger!E:E,"&lt;&gt;*RD*",ledger!D:D,"Chamki")+SUMIFS(ledger!G:G, ledger!B:B, _xlpm.party, ledger!E:E, "&lt;&gt;*RD*", ledger!D:D, "Crinkle")))/1.0936)+_xlfn.IFNA(E103,0)</f>
        <v>0</v>
      </c>
      <c r="U24" s="75" cm="1">
        <f t="array" ref="U24">(_xlfn.BYROW(B68,_xlfn.LAMBDA(_xlpm.party,SUMIFS(ledger!G:G,ledger!B:B,_xlpm.party,ledger!E:E,"&lt;&gt;*RD*",ledger!D:D,"Silky")))/1.0936)+_xlfn.IFNA(F103,0)</f>
        <v>0</v>
      </c>
      <c r="V24" s="23" cm="1">
        <f t="array" ref="V24">(_xlfn.BYROW(B68,_xlfn.LAMBDA(_xlpm.party,(SUMIFS(ledger!G:G,ledger!B:B,_xlpm.party,ledger!E:E,"&lt;&gt;*RD*",ledger!D:D, "Chamki")+SUMIFS(ledger!G:G, ledger!B:B, _xlpm.party, ledger!E:E, "&lt;&gt;*RD*", ledger!D:D, "Crinkle"))/1.0936))*N68)+_xlfn.IFNA(G103,0)</f>
        <v>0</v>
      </c>
      <c r="W24" s="23" cm="1">
        <f t="array" ref="W24">(_xlfn.BYROW(B68,_xlfn.LAMBDA(_xlpm.party,SUMIFS(ledger!G:G,ledger!B:B,_xlpm.party,ledger!E:E,"&lt;&gt;*RD*",ledger!D:D, "Silky")/1.0936))* AD24)+_xlfn.IFNA(H103,0)</f>
        <v>0</v>
      </c>
      <c r="X24" s="75" cm="1">
        <f t="array" ref="X24">_xlfn.BYROW(B68, _xlfn.LAMBDA(_xlpm.party,
   SUMIFS(ledger!J:J, ledger!B:B, _xlpm.party, ledger!E:E, "&lt;&gt;*RD*", ledger!D:D, "Slub", ledger!C:C, "&lt;&gt;September Closing CF")
))</f>
        <v>0</v>
      </c>
      <c r="Y24" s="23"/>
      <c r="Z24" s="44">
        <f t="shared" si="7"/>
        <v>0</v>
      </c>
      <c r="AA24" s="23">
        <f>(SUMIF(Table14[Party],Q24,Table14[Credit]))+_xlfn.IFNA(L103,0)</f>
        <v>0</v>
      </c>
      <c r="AB24" s="38">
        <f t="shared" si="8"/>
        <v>0</v>
      </c>
      <c r="AC24" s="22">
        <v>10</v>
      </c>
      <c r="AD24" s="22">
        <v>12</v>
      </c>
    </row>
    <row r="25" spans="2:30" x14ac:dyDescent="0.3">
      <c r="R25" s="23" cm="1">
        <f t="array" ref="R25">_xlfn.BYROW(B69,_xlfn.LAMBDA(_xlpm.party,SUMIFS(ledger!G:G,ledger!B:B,_xlpm.party,ledger!E:E,"&lt;&gt;*RD*")))+_xlfn.IFNA(C104,0)</f>
        <v>0</v>
      </c>
      <c r="S25" s="23" cm="1">
        <f t="array" ref="S25">_xlfn.BYROW(B69, _xlfn.LAMBDA(_xlpm.party, SUMIFS(ledger!G:G, ledger!B:B, _xlpm.party, ledger!E:E, "&lt;&gt;*RD*") / 1.0936 ))+_xlfn.IFNA(D104,0)</f>
        <v>0</v>
      </c>
      <c r="T25" s="23" cm="1">
        <f t="array" ref="T25">(_xlfn.BYROW(B69,_xlfn.LAMBDA(_xlpm.party,SUMIFS(ledger!G:G,ledger!B:B,_xlpm.party,ledger!E:E,"&lt;&gt;*RD*",ledger!D:D,"Chamki")+SUMIFS(ledger!G:G, ledger!B:B, _xlpm.party, ledger!E:E, "&lt;&gt;*RD*", ledger!D:D, "Crinkle")))/1.0936)+_xlfn.IFNA(E104,0)</f>
        <v>0</v>
      </c>
      <c r="U25" s="75" cm="1">
        <f t="array" ref="U25">(_xlfn.BYROW(B69,_xlfn.LAMBDA(_xlpm.party,SUMIFS(ledger!G:G,ledger!B:B,_xlpm.party,ledger!E:E,"&lt;&gt;*RD*",ledger!D:D,"Silky")))/1.0936)+_xlfn.IFNA(F104,0)</f>
        <v>0</v>
      </c>
      <c r="V25" s="23" cm="1">
        <f t="array" ref="V25">(_xlfn.BYROW(B69,_xlfn.LAMBDA(_xlpm.party,(SUMIFS(ledger!G:G,ledger!B:B,_xlpm.party,ledger!E:E,"&lt;&gt;*RD*",ledger!D:D, "Chamki")+SUMIFS(ledger!G:G, ledger!B:B, _xlpm.party, ledger!E:E, "&lt;&gt;*RD*", ledger!D:D, "Crinkle"))/1.0936))*N69)+_xlfn.IFNA(G104,0)</f>
        <v>0</v>
      </c>
      <c r="W25" s="23" cm="1">
        <f t="array" ref="W25">(_xlfn.BYROW(B69,_xlfn.LAMBDA(_xlpm.party,SUMIFS(ledger!G:G,ledger!B:B,_xlpm.party,ledger!E:E,"&lt;&gt;*RD*",ledger!D:D, "Silky")/1.0936))* AD25)+_xlfn.IFNA(H104,0)</f>
        <v>0</v>
      </c>
      <c r="X25" s="75" cm="1">
        <f t="array" ref="X25">_xlfn.BYROW(B69, _xlfn.LAMBDA(_xlpm.party,
   SUMIFS(ledger!J:J, ledger!B:B, _xlpm.party, ledger!E:E, "&lt;&gt;*RD*", ledger!D:D, "Slub", ledger!C:C, "&lt;&gt;September Closing CF")
))</f>
        <v>0</v>
      </c>
      <c r="Y25" s="23"/>
      <c r="Z25" s="44">
        <f t="shared" si="7"/>
        <v>0</v>
      </c>
      <c r="AA25" s="23">
        <f>(SUMIF(Table14[Party],Q25,Table14[Credit]))+_xlfn.IFNA(L104,0)</f>
        <v>0</v>
      </c>
      <c r="AB25" s="38">
        <f t="shared" si="8"/>
        <v>0</v>
      </c>
      <c r="AC25" s="22">
        <v>10</v>
      </c>
      <c r="AD25" s="22">
        <v>12</v>
      </c>
    </row>
    <row r="26" spans="2:30" x14ac:dyDescent="0.3">
      <c r="R26" s="23" cm="1">
        <f t="array" ref="R26">_xlfn.BYROW(B70,_xlfn.LAMBDA(_xlpm.party,SUMIFS(ledger!G:G,ledger!B:B,_xlpm.party,ledger!E:E,"&lt;&gt;*RD*")))+_xlfn.IFNA(C105,0)</f>
        <v>0</v>
      </c>
      <c r="S26" s="23" cm="1">
        <f t="array" ref="S26">_xlfn.BYROW(B70, _xlfn.LAMBDA(_xlpm.party, SUMIFS(ledger!G:G, ledger!B:B, _xlpm.party, ledger!E:E, "&lt;&gt;*RD*") / 1.0936 ))+_xlfn.IFNA(D105,0)</f>
        <v>0</v>
      </c>
      <c r="T26" s="23" cm="1">
        <f t="array" ref="T26">(_xlfn.BYROW(B70,_xlfn.LAMBDA(_xlpm.party,SUMIFS(ledger!G:G,ledger!B:B,_xlpm.party,ledger!E:E,"&lt;&gt;*RD*",ledger!D:D,"Chamki")+SUMIFS(ledger!G:G, ledger!B:B, _xlpm.party, ledger!E:E, "&lt;&gt;*RD*", ledger!D:D, "Crinkle")))/1.0936)+_xlfn.IFNA(E105,0)</f>
        <v>0</v>
      </c>
      <c r="U26" s="75" cm="1">
        <f t="array" ref="U26">(_xlfn.BYROW(B70,_xlfn.LAMBDA(_xlpm.party,SUMIFS(ledger!G:G,ledger!B:B,_xlpm.party,ledger!E:E,"&lt;&gt;*RD*",ledger!D:D,"Silky")))/1.0936)+_xlfn.IFNA(F105,0)</f>
        <v>0</v>
      </c>
      <c r="V26" s="23" cm="1">
        <f t="array" ref="V26">(_xlfn.BYROW(B70,_xlfn.LAMBDA(_xlpm.party,(SUMIFS(ledger!G:G,ledger!B:B,_xlpm.party,ledger!E:E,"&lt;&gt;*RD*",ledger!D:D, "Chamki")+SUMIFS(ledger!G:G, ledger!B:B, _xlpm.party, ledger!E:E, "&lt;&gt;*RD*", ledger!D:D, "Crinkle"))/1.0936))*N70)+_xlfn.IFNA(G105,0)</f>
        <v>0</v>
      </c>
      <c r="W26" s="23" cm="1">
        <f t="array" ref="W26">(_xlfn.BYROW(B70,_xlfn.LAMBDA(_xlpm.party,SUMIFS(ledger!G:G,ledger!B:B,_xlpm.party,ledger!E:E,"&lt;&gt;*RD*",ledger!D:D, "Silky")/1.0936))* AD26)+_xlfn.IFNA(H105,0)</f>
        <v>0</v>
      </c>
      <c r="X26" s="75" cm="1">
        <f t="array" ref="X26">_xlfn.BYROW(B70, _xlfn.LAMBDA(_xlpm.party,
   SUMIFS(ledger!J:J, ledger!B:B, _xlpm.party, ledger!E:E, "&lt;&gt;*RD*", ledger!D:D, "Slub", ledger!C:C, "&lt;&gt;September Closing CF")
))</f>
        <v>0</v>
      </c>
      <c r="Y26" s="23"/>
      <c r="Z26" s="44">
        <f t="shared" si="7"/>
        <v>0</v>
      </c>
      <c r="AA26" s="23">
        <f>(SUMIF(Table14[Party],Q26,Table14[Credit]))+_xlfn.IFNA(L105,0)</f>
        <v>0</v>
      </c>
      <c r="AB26" s="38">
        <f t="shared" si="8"/>
        <v>0</v>
      </c>
      <c r="AC26" s="22">
        <v>10</v>
      </c>
      <c r="AD26" s="22">
        <v>12</v>
      </c>
    </row>
    <row r="27" spans="2:30" x14ac:dyDescent="0.3">
      <c r="R27" s="23" cm="1">
        <f t="array" ref="R27">_xlfn.BYROW(B71,_xlfn.LAMBDA(_xlpm.party,SUMIFS(ledger!G:G,ledger!B:B,_xlpm.party,ledger!E:E,"&lt;&gt;*RD*")))+_xlfn.IFNA(C106,0)</f>
        <v>0</v>
      </c>
      <c r="S27" s="23" cm="1">
        <f t="array" ref="S27">_xlfn.BYROW(B71, _xlfn.LAMBDA(_xlpm.party, SUMIFS(ledger!G:G, ledger!B:B, _xlpm.party, ledger!E:E, "&lt;&gt;*RD*") / 1.0936 ))+_xlfn.IFNA(D106,0)</f>
        <v>0</v>
      </c>
      <c r="T27" s="23" cm="1">
        <f t="array" ref="T27">(_xlfn.BYROW(B71,_xlfn.LAMBDA(_xlpm.party,SUMIFS(ledger!G:G,ledger!B:B,_xlpm.party,ledger!E:E,"&lt;&gt;*RD*",ledger!D:D,"Chamki")+SUMIFS(ledger!G:G, ledger!B:B, _xlpm.party, ledger!E:E, "&lt;&gt;*RD*", ledger!D:D, "Crinkle")))/1.0936)+_xlfn.IFNA(E106,0)</f>
        <v>0</v>
      </c>
      <c r="U27" s="75" cm="1">
        <f t="array" ref="U27">(_xlfn.BYROW(B71,_xlfn.LAMBDA(_xlpm.party,SUMIFS(ledger!G:G,ledger!B:B,_xlpm.party,ledger!E:E,"&lt;&gt;*RD*",ledger!D:D,"Silky")))/1.0936)+_xlfn.IFNA(F106,0)</f>
        <v>0</v>
      </c>
      <c r="V27" s="23" cm="1">
        <f t="array" ref="V27">(_xlfn.BYROW(B71,_xlfn.LAMBDA(_xlpm.party,(SUMIFS(ledger!G:G,ledger!B:B,_xlpm.party,ledger!E:E,"&lt;&gt;*RD*",ledger!D:D, "Chamki")+SUMIFS(ledger!G:G, ledger!B:B, _xlpm.party, ledger!E:E, "&lt;&gt;*RD*", ledger!D:D, "Crinkle"))/1.0936))*N71)+_xlfn.IFNA(G106,0)</f>
        <v>0</v>
      </c>
      <c r="W27" s="23" cm="1">
        <f t="array" ref="W27">(_xlfn.BYROW(B71,_xlfn.LAMBDA(_xlpm.party,SUMIFS(ledger!G:G,ledger!B:B,_xlpm.party,ledger!E:E,"&lt;&gt;*RD*",ledger!D:D, "Silky")/1.0936))* AD27)+_xlfn.IFNA(H106,0)</f>
        <v>0</v>
      </c>
      <c r="X27" s="75" cm="1">
        <f t="array" ref="X27">_xlfn.BYROW(B71, _xlfn.LAMBDA(_xlpm.party,
   SUMIFS(ledger!J:J, ledger!B:B, _xlpm.party, ledger!E:E, "&lt;&gt;*RD*", ledger!D:D, "Slub", ledger!C:C, "&lt;&gt;September Closing CF")
))</f>
        <v>0</v>
      </c>
      <c r="Y27" s="23"/>
      <c r="Z27" s="44">
        <f t="shared" si="7"/>
        <v>0</v>
      </c>
      <c r="AA27" s="23">
        <f>(SUMIF(Table14[Party],Q27,Table14[Credit]))+_xlfn.IFNA(L106,0)</f>
        <v>0</v>
      </c>
      <c r="AB27" s="38">
        <f t="shared" si="8"/>
        <v>0</v>
      </c>
      <c r="AC27" s="22">
        <v>10</v>
      </c>
      <c r="AD27" s="22">
        <v>12</v>
      </c>
    </row>
    <row r="28" spans="2:30" x14ac:dyDescent="0.3">
      <c r="R28" s="23" cm="1">
        <f t="array" ref="R28">_xlfn.BYROW(B72,_xlfn.LAMBDA(_xlpm.party,SUMIFS(ledger!G:G,ledger!B:B,_xlpm.party,ledger!E:E,"&lt;&gt;*RD*")))+_xlfn.IFNA(C107,0)</f>
        <v>0</v>
      </c>
      <c r="S28" s="23" cm="1">
        <f t="array" ref="S28">_xlfn.BYROW(B72, _xlfn.LAMBDA(_xlpm.party, SUMIFS(ledger!G:G, ledger!B:B, _xlpm.party, ledger!E:E, "&lt;&gt;*RD*") / 1.0936 ))+_xlfn.IFNA(D107,0)</f>
        <v>0</v>
      </c>
      <c r="T28" s="23" cm="1">
        <f t="array" ref="T28">(_xlfn.BYROW(B72,_xlfn.LAMBDA(_xlpm.party,SUMIFS(ledger!G:G,ledger!B:B,_xlpm.party,ledger!E:E,"&lt;&gt;*RD*",ledger!D:D,"Chamki")+SUMIFS(ledger!G:G, ledger!B:B, _xlpm.party, ledger!E:E, "&lt;&gt;*RD*", ledger!D:D, "Crinkle")))/1.0936)+_xlfn.IFNA(E107,0)</f>
        <v>0</v>
      </c>
      <c r="U28" s="75" cm="1">
        <f t="array" ref="U28">(_xlfn.BYROW(B72,_xlfn.LAMBDA(_xlpm.party,SUMIFS(ledger!G:G,ledger!B:B,_xlpm.party,ledger!E:E,"&lt;&gt;*RD*",ledger!D:D,"Silky")))/1.0936)+_xlfn.IFNA(F107,0)</f>
        <v>0</v>
      </c>
      <c r="V28" s="23" cm="1">
        <f t="array" ref="V28">(_xlfn.BYROW(B72,_xlfn.LAMBDA(_xlpm.party,(SUMIFS(ledger!G:G,ledger!B:B,_xlpm.party,ledger!E:E,"&lt;&gt;*RD*",ledger!D:D, "Chamki")+SUMIFS(ledger!G:G, ledger!B:B, _xlpm.party, ledger!E:E, "&lt;&gt;*RD*", ledger!D:D, "Crinkle"))/1.0936))*N72)+_xlfn.IFNA(G107,0)</f>
        <v>0</v>
      </c>
      <c r="W28" s="23" cm="1">
        <f t="array" ref="W28">(_xlfn.BYROW(B72,_xlfn.LAMBDA(_xlpm.party,SUMIFS(ledger!G:G,ledger!B:B,_xlpm.party,ledger!E:E,"&lt;&gt;*RD*",ledger!D:D, "Silky")/1.0936))* AD28)+_xlfn.IFNA(H107,0)</f>
        <v>0</v>
      </c>
      <c r="X28" s="75" cm="1">
        <f t="array" ref="X28">_xlfn.BYROW(B72, _xlfn.LAMBDA(_xlpm.party,
   SUMIFS(ledger!J:J, ledger!B:B, _xlpm.party, ledger!E:E, "&lt;&gt;*RD*", ledger!D:D, "Slub", ledger!C:C, "&lt;&gt;September Closing CF")
))</f>
        <v>0</v>
      </c>
      <c r="Y28" s="23"/>
      <c r="Z28" s="44">
        <f t="shared" si="7"/>
        <v>0</v>
      </c>
      <c r="AA28" s="23">
        <f>(SUMIF(Table14[Party],Q28,Table14[Credit]))+_xlfn.IFNA(L107,0)</f>
        <v>0</v>
      </c>
      <c r="AB28" s="38">
        <f t="shared" si="8"/>
        <v>0</v>
      </c>
      <c r="AC28" s="22">
        <v>10</v>
      </c>
      <c r="AD28" s="22">
        <v>12</v>
      </c>
    </row>
    <row r="29" spans="2:30" x14ac:dyDescent="0.3">
      <c r="R29" s="23" cm="1">
        <f t="array" ref="R29">_xlfn.BYROW(B73,_xlfn.LAMBDA(_xlpm.party,SUMIFS(ledger!G:G,ledger!B:B,_xlpm.party,ledger!E:E,"&lt;&gt;*RD*")))+_xlfn.IFNA(C108,0)</f>
        <v>0</v>
      </c>
      <c r="S29" s="23" cm="1">
        <f t="array" ref="S29">_xlfn.BYROW(B73, _xlfn.LAMBDA(_xlpm.party, SUMIFS(ledger!G:G, ledger!B:B, _xlpm.party, ledger!E:E, "&lt;&gt;*RD*") / 1.0936 ))+_xlfn.IFNA(D108,0)</f>
        <v>0</v>
      </c>
      <c r="T29" s="23" cm="1">
        <f t="array" ref="T29">(_xlfn.BYROW(B73,_xlfn.LAMBDA(_xlpm.party,SUMIFS(ledger!G:G,ledger!B:B,_xlpm.party,ledger!E:E,"&lt;&gt;*RD*",ledger!D:D,"Chamki")+SUMIFS(ledger!G:G, ledger!B:B, _xlpm.party, ledger!E:E, "&lt;&gt;*RD*", ledger!D:D, "Crinkle")))/1.0936)+_xlfn.IFNA(E108,0)</f>
        <v>0</v>
      </c>
      <c r="U29" s="75" cm="1">
        <f t="array" ref="U29">(_xlfn.BYROW(B73,_xlfn.LAMBDA(_xlpm.party,SUMIFS(ledger!G:G,ledger!B:B,_xlpm.party,ledger!E:E,"&lt;&gt;*RD*",ledger!D:D,"Silky")))/1.0936)+_xlfn.IFNA(F108,0)</f>
        <v>0</v>
      </c>
      <c r="V29" s="23" cm="1">
        <f t="array" ref="V29">(_xlfn.BYROW(B73,_xlfn.LAMBDA(_xlpm.party,(SUMIFS(ledger!G:G,ledger!B:B,_xlpm.party,ledger!E:E,"&lt;&gt;*RD*",ledger!D:D, "Chamki")+SUMIFS(ledger!G:G, ledger!B:B, _xlpm.party, ledger!E:E, "&lt;&gt;*RD*", ledger!D:D, "Crinkle"))/1.0936))*N73)+_xlfn.IFNA(G108,0)</f>
        <v>0</v>
      </c>
      <c r="W29" s="23" cm="1">
        <f t="array" ref="W29">(_xlfn.BYROW(B73,_xlfn.LAMBDA(_xlpm.party,SUMIFS(ledger!G:G,ledger!B:B,_xlpm.party,ledger!E:E,"&lt;&gt;*RD*",ledger!D:D, "Silky")/1.0936))* AD29)+_xlfn.IFNA(H108,0)</f>
        <v>0</v>
      </c>
      <c r="X29" s="23"/>
      <c r="Y29" s="23"/>
      <c r="Z29" s="44">
        <f t="shared" si="7"/>
        <v>0</v>
      </c>
      <c r="AA29" s="23">
        <f>(SUMIF(Table14[Party],Q29,Table14[Credit]))+_xlfn.IFNA(L108,0)</f>
        <v>0</v>
      </c>
      <c r="AB29" s="38">
        <f t="shared" si="8"/>
        <v>0</v>
      </c>
      <c r="AC29" s="22">
        <v>10</v>
      </c>
      <c r="AD29" s="22">
        <v>12</v>
      </c>
    </row>
    <row r="30" spans="2:30" x14ac:dyDescent="0.3">
      <c r="R30" s="23" cm="1">
        <f t="array" ref="R30">_xlfn.BYROW(B74,_xlfn.LAMBDA(_xlpm.party,SUMIFS(ledger!G:G,ledger!B:B,_xlpm.party,ledger!E:E,"&lt;&gt;*RD*")))+_xlfn.IFNA(C109,0)</f>
        <v>0</v>
      </c>
      <c r="S30" s="23" cm="1">
        <f t="array" ref="S30">_xlfn.BYROW(B74, _xlfn.LAMBDA(_xlpm.party, SUMIFS(ledger!G:G, ledger!B:B, _xlpm.party, ledger!E:E, "&lt;&gt;*RD*") / 1.0936 ))+_xlfn.IFNA(D109,0)</f>
        <v>0</v>
      </c>
      <c r="T30" s="23" cm="1">
        <f t="array" ref="T30">(_xlfn.BYROW(B74,_xlfn.LAMBDA(_xlpm.party,SUMIFS(ledger!G:G,ledger!B:B,_xlpm.party,ledger!E:E,"&lt;&gt;*RD*",ledger!D:D,"Chamki")+SUMIFS(ledger!G:G, ledger!B:B, _xlpm.party, ledger!E:E, "&lt;&gt;*RD*", ledger!D:D, "Crinkle")))/1.0936)+_xlfn.IFNA(E109,0)</f>
        <v>0</v>
      </c>
      <c r="U30" s="75" cm="1">
        <f t="array" ref="U30">(_xlfn.BYROW(B74,_xlfn.LAMBDA(_xlpm.party,SUMIFS(ledger!G:G,ledger!B:B,_xlpm.party,ledger!E:E,"&lt;&gt;*RD*",ledger!D:D,"Silky")))/1.0936)+_xlfn.IFNA(F109,0)</f>
        <v>0</v>
      </c>
      <c r="V30" s="23" cm="1">
        <f t="array" ref="V30">(_xlfn.BYROW(B74,_xlfn.LAMBDA(_xlpm.party,(SUMIFS(ledger!G:G,ledger!B:B,_xlpm.party,ledger!E:E,"&lt;&gt;*RD*",ledger!D:D, "Chamki")+SUMIFS(ledger!G:G, ledger!B:B, _xlpm.party, ledger!E:E, "&lt;&gt;*RD*", ledger!D:D, "Crinkle"))/1.0936))*N74)+_xlfn.IFNA(G109,0)</f>
        <v>0</v>
      </c>
      <c r="W30" s="23" cm="1">
        <f t="array" ref="W30">(_xlfn.BYROW(B74,_xlfn.LAMBDA(_xlpm.party,SUMIFS(ledger!G:G,ledger!B:B,_xlpm.party,ledger!E:E,"&lt;&gt;*RD*",ledger!D:D, "Silky")/1.0936))* AD30)+_xlfn.IFNA(H109,0)</f>
        <v>0</v>
      </c>
      <c r="X30" s="23"/>
      <c r="Y30" s="23"/>
      <c r="Z30" s="44">
        <f t="shared" si="7"/>
        <v>0</v>
      </c>
      <c r="AA30" s="23">
        <f>(SUMIF(Table14[Party],Q30,Table14[Credit]))+_xlfn.IFNA(L109,0)</f>
        <v>0</v>
      </c>
      <c r="AB30" s="38">
        <f t="shared" si="8"/>
        <v>0</v>
      </c>
      <c r="AC30" s="22">
        <v>10</v>
      </c>
      <c r="AD30" s="22">
        <v>12</v>
      </c>
    </row>
    <row r="31" spans="2:30" x14ac:dyDescent="0.3">
      <c r="R31" s="23" cm="1">
        <f t="array" ref="R31">_xlfn.BYROW(B75,_xlfn.LAMBDA(_xlpm.party,SUMIFS(ledger!G:G,ledger!B:B,_xlpm.party,ledger!E:E,"&lt;&gt;*RD*")))+_xlfn.IFNA(C110,0)</f>
        <v>0</v>
      </c>
      <c r="S31" s="23" cm="1">
        <f t="array" ref="S31">_xlfn.BYROW(B75, _xlfn.LAMBDA(_xlpm.party, SUMIFS(ledger!G:G, ledger!B:B, _xlpm.party, ledger!E:E, "&lt;&gt;*RD*") / 1.0936 ))+_xlfn.IFNA(D110,0)</f>
        <v>0</v>
      </c>
      <c r="T31" s="23" cm="1">
        <f t="array" ref="T31">(_xlfn.BYROW(B75,_xlfn.LAMBDA(_xlpm.party,SUMIFS(ledger!G:G,ledger!B:B,_xlpm.party,ledger!E:E,"&lt;&gt;*RD*",ledger!D:D,"Chamki")+SUMIFS(ledger!G:G, ledger!B:B, _xlpm.party, ledger!E:E, "&lt;&gt;*RD*", ledger!D:D, "Crinkle")))/1.0936)+_xlfn.IFNA(E110,0)</f>
        <v>0</v>
      </c>
      <c r="U31" s="75" cm="1">
        <f t="array" ref="U31">(_xlfn.BYROW(B75,_xlfn.LAMBDA(_xlpm.party,SUMIFS(ledger!G:G,ledger!B:B,_xlpm.party,ledger!E:E,"&lt;&gt;*RD*",ledger!D:D,"Silky")))/1.0936)+_xlfn.IFNA(F110,0)</f>
        <v>0</v>
      </c>
      <c r="V31" s="23" cm="1">
        <f t="array" ref="V31">(_xlfn.BYROW(B75,_xlfn.LAMBDA(_xlpm.party,(SUMIFS(ledger!G:G,ledger!B:B,_xlpm.party,ledger!E:E,"&lt;&gt;*RD*",ledger!D:D, "Chamki")+SUMIFS(ledger!G:G, ledger!B:B, _xlpm.party, ledger!E:E, "&lt;&gt;*RD*", ledger!D:D, "Crinkle"))/1.0936))*N75)+_xlfn.IFNA(G110,0)</f>
        <v>0</v>
      </c>
      <c r="W31" s="23" cm="1">
        <f t="array" ref="W31">(_xlfn.BYROW(B75,_xlfn.LAMBDA(_xlpm.party,SUMIFS(ledger!G:G,ledger!B:B,_xlpm.party,ledger!E:E,"&lt;&gt;*RD*",ledger!D:D, "Silky")/1.0936))* AD31)+_xlfn.IFNA(H110,0)</f>
        <v>0</v>
      </c>
      <c r="X31" s="23"/>
      <c r="Y31" s="23"/>
      <c r="Z31" s="44">
        <f t="shared" si="7"/>
        <v>0</v>
      </c>
      <c r="AA31" s="23">
        <f>(SUMIF(Table14[Party],Q31,Table14[Credit]))+_xlfn.IFNA(L110,0)</f>
        <v>0</v>
      </c>
      <c r="AB31" s="38">
        <f t="shared" si="8"/>
        <v>0</v>
      </c>
      <c r="AC31" s="22">
        <v>10</v>
      </c>
      <c r="AD31" s="22">
        <v>12</v>
      </c>
    </row>
    <row r="32" spans="2:30" x14ac:dyDescent="0.3">
      <c r="R32" s="23" cm="1">
        <f t="array" ref="R32">_xlfn.BYROW(B76,_xlfn.LAMBDA(_xlpm.party,SUMIFS(ledger!G:G,ledger!B:B,_xlpm.party,ledger!E:E,"&lt;&gt;*RD*")))+_xlfn.IFNA(C111,0)</f>
        <v>0</v>
      </c>
      <c r="S32" s="23" cm="1">
        <f t="array" ref="S32">_xlfn.BYROW(B76, _xlfn.LAMBDA(_xlpm.party, SUMIFS(ledger!G:G, ledger!B:B, _xlpm.party, ledger!E:E, "&lt;&gt;*RD*") / 1.0936 ))+_xlfn.IFNA(D111,0)</f>
        <v>0</v>
      </c>
      <c r="T32" s="23" cm="1">
        <f t="array" ref="T32">(_xlfn.BYROW(B76,_xlfn.LAMBDA(_xlpm.party,SUMIFS(ledger!G:G,ledger!B:B,_xlpm.party,ledger!E:E,"&lt;&gt;*RD*",ledger!D:D,"Chamki")+SUMIFS(ledger!G:G, ledger!B:B, _xlpm.party, ledger!E:E, "&lt;&gt;*RD*", ledger!D:D, "Crinkle")))/1.0936)+_xlfn.IFNA(E111,0)</f>
        <v>0</v>
      </c>
      <c r="U32" s="75" cm="1">
        <f t="array" ref="U32">(_xlfn.BYROW(B76,_xlfn.LAMBDA(_xlpm.party,SUMIFS(ledger!G:G,ledger!B:B,_xlpm.party,ledger!E:E,"&lt;&gt;*RD*",ledger!D:D,"Silky")))/1.0936)+_xlfn.IFNA(F111,0)</f>
        <v>0</v>
      </c>
      <c r="V32" s="23" cm="1">
        <f t="array" ref="V32">(_xlfn.BYROW(B76,_xlfn.LAMBDA(_xlpm.party,(SUMIFS(ledger!G:G,ledger!B:B,_xlpm.party,ledger!E:E,"&lt;&gt;*RD*",ledger!D:D, "Chamki")+SUMIFS(ledger!G:G, ledger!B:B, _xlpm.party, ledger!E:E, "&lt;&gt;*RD*", ledger!D:D, "Crinkle"))/1.0936))*N76)+_xlfn.IFNA(G111,0)</f>
        <v>0</v>
      </c>
      <c r="W32" s="23" cm="1">
        <f t="array" ref="W32">(_xlfn.BYROW(B76,_xlfn.LAMBDA(_xlpm.party,SUMIFS(ledger!G:G,ledger!B:B,_xlpm.party,ledger!E:E,"&lt;&gt;*RD*",ledger!D:D, "Silky")/1.0936))* AD32)+_xlfn.IFNA(H111,0)</f>
        <v>0</v>
      </c>
      <c r="X32" s="23"/>
      <c r="Y32" s="23"/>
      <c r="Z32" s="44">
        <f t="shared" si="7"/>
        <v>0</v>
      </c>
      <c r="AA32" s="23">
        <f>(SUMIF(Table14[Party],Q32,Table14[Credit]))+_xlfn.IFNA(L111,0)</f>
        <v>0</v>
      </c>
      <c r="AB32" s="38">
        <f t="shared" si="8"/>
        <v>0</v>
      </c>
      <c r="AC32" s="22">
        <v>10</v>
      </c>
      <c r="AD32" s="22">
        <v>12</v>
      </c>
    </row>
    <row r="33" spans="2:30" x14ac:dyDescent="0.3">
      <c r="R33" s="23" cm="1">
        <f t="array" ref="R33">_xlfn.BYROW(B77,_xlfn.LAMBDA(_xlpm.party,SUMIFS(ledger!G:G,ledger!B:B,_xlpm.party,ledger!E:E,"&lt;&gt;*RD*")))+_xlfn.IFNA(C112,0)</f>
        <v>0</v>
      </c>
      <c r="S33" s="23" cm="1">
        <f t="array" ref="S33">_xlfn.BYROW(B77, _xlfn.LAMBDA(_xlpm.party, SUMIFS(ledger!G:G, ledger!B:B, _xlpm.party, ledger!E:E, "&lt;&gt;*RD*") / 1.0936 ))+_xlfn.IFNA(D112,0)</f>
        <v>0</v>
      </c>
      <c r="T33" s="23" cm="1">
        <f t="array" ref="T33">(_xlfn.BYROW(B77,_xlfn.LAMBDA(_xlpm.party,SUMIFS(ledger!G:G,ledger!B:B,_xlpm.party,ledger!E:E,"&lt;&gt;*RD*",ledger!D:D,"Chamki")+SUMIFS(ledger!G:G, ledger!B:B, _xlpm.party, ledger!E:E, "&lt;&gt;*RD*", ledger!D:D, "Crinkle")))/1.0936)+_xlfn.IFNA(E112,0)</f>
        <v>0</v>
      </c>
      <c r="U33" s="75" cm="1">
        <f t="array" ref="U33">(_xlfn.BYROW(B77,_xlfn.LAMBDA(_xlpm.party,SUMIFS(ledger!G:G,ledger!B:B,_xlpm.party,ledger!E:E,"&lt;&gt;*RD*",ledger!D:D,"Silky")))/1.0936)+_xlfn.IFNA(F112,0)</f>
        <v>0</v>
      </c>
      <c r="V33" s="23" cm="1">
        <f t="array" ref="V33">(_xlfn.BYROW(B77,_xlfn.LAMBDA(_xlpm.party,(SUMIFS(ledger!G:G,ledger!B:B,_xlpm.party,ledger!E:E,"&lt;&gt;*RD*",ledger!D:D, "Chamki")+SUMIFS(ledger!G:G, ledger!B:B, _xlpm.party, ledger!E:E, "&lt;&gt;*RD*", ledger!D:D, "Crinkle"))/1.0936))*N77)+_xlfn.IFNA(G112,0)</f>
        <v>0</v>
      </c>
      <c r="W33" s="23" cm="1">
        <f t="array" ref="W33">(_xlfn.BYROW(B77,_xlfn.LAMBDA(_xlpm.party,SUMIFS(ledger!G:G,ledger!B:B,_xlpm.party,ledger!E:E,"&lt;&gt;*RD*",ledger!D:D, "Silky")/1.0936))* AD33)+_xlfn.IFNA(H112,0)</f>
        <v>0</v>
      </c>
      <c r="X33" s="23"/>
      <c r="Y33" s="23"/>
      <c r="Z33" s="44">
        <f t="shared" si="7"/>
        <v>0</v>
      </c>
      <c r="AA33" s="23">
        <f>(SUMIF(Table14[Party],Q33,Table14[Credit]))+_xlfn.IFNA(L112,0)</f>
        <v>0</v>
      </c>
      <c r="AB33" s="38">
        <f t="shared" si="8"/>
        <v>0</v>
      </c>
      <c r="AC33" s="22">
        <v>10</v>
      </c>
      <c r="AD33" s="22">
        <v>12</v>
      </c>
    </row>
    <row r="34" spans="2:30" x14ac:dyDescent="0.3">
      <c r="R34" s="23" cm="1">
        <f t="array" ref="R34">_xlfn.BYROW(B78,_xlfn.LAMBDA(_xlpm.party,SUMIFS(ledger!G:G,ledger!B:B,_xlpm.party,ledger!E:E,"&lt;&gt;*RD*")))+_xlfn.IFNA(C113,0)</f>
        <v>0</v>
      </c>
      <c r="S34" s="23" cm="1">
        <f t="array" ref="S34">_xlfn.BYROW(B78, _xlfn.LAMBDA(_xlpm.party, SUMIFS(ledger!G:G, ledger!B:B, _xlpm.party, ledger!E:E, "&lt;&gt;*RD*") / 1.0936 ))+_xlfn.IFNA(D113,0)</f>
        <v>0</v>
      </c>
      <c r="T34" s="23" cm="1">
        <f t="array" ref="T34">(_xlfn.BYROW(B78,_xlfn.LAMBDA(_xlpm.party,SUMIFS(ledger!G:G,ledger!B:B,_xlpm.party,ledger!E:E,"&lt;&gt;*RD*",ledger!D:D,"Chamki")+SUMIFS(ledger!G:G, ledger!B:B, _xlpm.party, ledger!E:E, "&lt;&gt;*RD*", ledger!D:D, "Crinkle")))/1.0936)+_xlfn.IFNA(E113,0)</f>
        <v>0</v>
      </c>
      <c r="U34" s="75" cm="1">
        <f t="array" ref="U34">(_xlfn.BYROW(B78,_xlfn.LAMBDA(_xlpm.party,SUMIFS(ledger!G:G,ledger!B:B,_xlpm.party,ledger!E:E,"&lt;&gt;*RD*",ledger!D:D,"Silky")))/1.0936)+_xlfn.IFNA(F113,0)</f>
        <v>0</v>
      </c>
      <c r="V34" s="23" cm="1">
        <f t="array" ref="V34">(_xlfn.BYROW(B78,_xlfn.LAMBDA(_xlpm.party,(SUMIFS(ledger!G:G,ledger!B:B,_xlpm.party,ledger!E:E,"&lt;&gt;*RD*",ledger!D:D, "Chamki")+SUMIFS(ledger!G:G, ledger!B:B, _xlpm.party, ledger!E:E, "&lt;&gt;*RD*", ledger!D:D, "Crinkle"))/1.0936))*N78)+_xlfn.IFNA(G113,0)</f>
        <v>0</v>
      </c>
      <c r="W34" s="23" cm="1">
        <f t="array" ref="W34">(_xlfn.BYROW(B78,_xlfn.LAMBDA(_xlpm.party,SUMIFS(ledger!G:G,ledger!B:B,_xlpm.party,ledger!E:E,"&lt;&gt;*RD*",ledger!D:D, "Silky")/1.0936))* AD34)+_xlfn.IFNA(H113,0)</f>
        <v>0</v>
      </c>
      <c r="X34" s="23"/>
      <c r="Y34" s="23"/>
      <c r="Z34" s="44">
        <f t="shared" si="7"/>
        <v>0</v>
      </c>
      <c r="AA34" s="23">
        <f>(SUMIF(Table14[Party],Q34,Table14[Credit]))+_xlfn.IFNA(L113,0)</f>
        <v>0</v>
      </c>
      <c r="AB34" s="38">
        <f t="shared" si="8"/>
        <v>0</v>
      </c>
      <c r="AC34" s="22">
        <v>10</v>
      </c>
      <c r="AD34" s="22">
        <v>12</v>
      </c>
    </row>
    <row r="35" spans="2:30" x14ac:dyDescent="0.3">
      <c r="R35" s="23" cm="1">
        <f t="array" ref="R35">_xlfn.BYROW(B79,_xlfn.LAMBDA(_xlpm.party,SUMIFS(ledger!G:G,ledger!B:B,_xlpm.party,ledger!E:E,"&lt;&gt;*RD*")))+_xlfn.IFNA(C114,0)</f>
        <v>0</v>
      </c>
      <c r="S35" s="23" cm="1">
        <f t="array" ref="S35">_xlfn.BYROW(B79, _xlfn.LAMBDA(_xlpm.party, SUMIFS(ledger!G:G, ledger!B:B, _xlpm.party, ledger!E:E, "&lt;&gt;*RD*") / 1.0936 ))+_xlfn.IFNA(D114,0)</f>
        <v>0</v>
      </c>
      <c r="T35" s="23" cm="1">
        <f t="array" ref="T35">(_xlfn.BYROW(B79,_xlfn.LAMBDA(_xlpm.party,SUMIFS(ledger!G:G,ledger!B:B,_xlpm.party,ledger!E:E,"&lt;&gt;*RD*",ledger!D:D,"Chamki")+SUMIFS(ledger!G:G, ledger!B:B, _xlpm.party, ledger!E:E, "&lt;&gt;*RD*", ledger!D:D, "Crinkle")))/1.0936)+_xlfn.IFNA(E114,0)</f>
        <v>0</v>
      </c>
      <c r="U35" s="75" cm="1">
        <f t="array" ref="U35">(_xlfn.BYROW(B79,_xlfn.LAMBDA(_xlpm.party,SUMIFS(ledger!G:G,ledger!B:B,_xlpm.party,ledger!E:E,"&lt;&gt;*RD*",ledger!D:D,"Silky")))/1.0936)+_xlfn.IFNA(F114,0)</f>
        <v>0</v>
      </c>
      <c r="V35" s="23" cm="1">
        <f t="array" ref="V35">(_xlfn.BYROW(B79,_xlfn.LAMBDA(_xlpm.party,(SUMIFS(ledger!G:G,ledger!B:B,_xlpm.party,ledger!E:E,"&lt;&gt;*RD*",ledger!D:D, "Chamki")+SUMIFS(ledger!G:G, ledger!B:B, _xlpm.party, ledger!E:E, "&lt;&gt;*RD*", ledger!D:D, "Crinkle"))/1.0936))*N79)+_xlfn.IFNA(G114,0)</f>
        <v>0</v>
      </c>
      <c r="W35" s="23" cm="1">
        <f t="array" ref="W35">(_xlfn.BYROW(B79,_xlfn.LAMBDA(_xlpm.party,SUMIFS(ledger!G:G,ledger!B:B,_xlpm.party,ledger!E:E,"&lt;&gt;*RD*",ledger!D:D, "Silky")/1.0936))* AD35)+_xlfn.IFNA(H114,0)</f>
        <v>0</v>
      </c>
      <c r="X35" s="23"/>
      <c r="Y35" s="23"/>
      <c r="Z35" s="44">
        <f t="shared" si="7"/>
        <v>0</v>
      </c>
      <c r="AA35" s="23">
        <f>(SUMIF(Table14[Party],Q35,Table14[Credit]))+_xlfn.IFNA(L114,0)</f>
        <v>0</v>
      </c>
      <c r="AB35" s="38">
        <f t="shared" si="8"/>
        <v>0</v>
      </c>
      <c r="AC35" s="22">
        <v>10</v>
      </c>
      <c r="AD35" s="22">
        <v>12</v>
      </c>
    </row>
    <row r="47" spans="2:30" x14ac:dyDescent="0.3">
      <c r="B47" t="s">
        <v>158</v>
      </c>
    </row>
    <row r="48" spans="2:30" x14ac:dyDescent="0.3">
      <c r="B48" s="22"/>
      <c r="C48" s="24" t="s">
        <v>10</v>
      </c>
      <c r="D48" s="24" t="s">
        <v>11</v>
      </c>
      <c r="E48" s="24" t="s">
        <v>12</v>
      </c>
      <c r="F48" s="24" t="s">
        <v>13</v>
      </c>
      <c r="G48" s="24" t="s">
        <v>14</v>
      </c>
      <c r="H48" s="24" t="s">
        <v>15</v>
      </c>
      <c r="I48" s="24" t="s">
        <v>315</v>
      </c>
      <c r="J48" s="24" t="s">
        <v>316</v>
      </c>
      <c r="K48" s="24" t="s">
        <v>16</v>
      </c>
      <c r="L48" s="24" t="s">
        <v>17</v>
      </c>
      <c r="M48" s="24" t="s">
        <v>18</v>
      </c>
      <c r="N48" s="24" t="s">
        <v>19</v>
      </c>
      <c r="O48" s="24" t="s">
        <v>20</v>
      </c>
    </row>
    <row r="49" spans="1:26" x14ac:dyDescent="0.3">
      <c r="A49" t="s">
        <v>33</v>
      </c>
      <c r="B49" s="25" t="str" cm="1">
        <f t="array" ref="B49:B67">_xlfn.UNIQUE(Table1[Party Name])</f>
        <v>BSC</v>
      </c>
      <c r="C49" s="23" cm="1">
        <f t="array" ref="C49:C67">_xlfn.BYROW(_xlfn.ANCHORARRAY(B49),_xlfn.LAMBDA(_xlpm.party,SUMIFS(ledger!G:G,ledger!B:B,_xlpm.party,ledger!E:E,"&lt;&gt;*RD*")))</f>
        <v>214174</v>
      </c>
      <c r="D49" s="23" cm="1">
        <f t="array" ref="D49:D67">_xlfn.BYROW(_xlfn.ANCHORARRAY(B49), _xlfn.LAMBDA(_xlpm.party, SUMIFS(ledger!G:G, ledger!B:B, _xlpm.party, ledger!E:E, "&lt;&gt;*RD*") / 1.0936 ))</f>
        <v>195843.08705193858</v>
      </c>
      <c r="E49" s="68" cm="1">
        <f t="array" ref="E49:E67">(_xlfn.BYROW(_xlfn.ANCHORARRAY(B49),_xlfn.LAMBDA(_xlpm.party,SUMIFS(ledger!G:G,ledger!B:B,_xlpm.party,ledger!E:E,"&lt;&gt;*RD*",ledger!D:D,"Chamki")+SUMIFS(ledger!G:G, ledger!B:B, _xlpm.party, ledger!E:E, "&lt;&gt;*RD*", ledger!D:D, "Crinkle")))/1.0936)</f>
        <v>137675.56693489393</v>
      </c>
      <c r="F49" s="68" cm="1">
        <f t="array" ref="F49:F67">(_xlfn.BYROW(_xlfn.ANCHORARRAY(B49),_xlfn.LAMBDA(_xlpm.party,SUMIFS(ledger!G:G,ledger!B:B,_xlpm.party,ledger!E:E,"&lt;&gt;*RD*",ledger!D:D,"Silky")))/1.0936)</f>
        <v>58167.520117044631</v>
      </c>
      <c r="G49" s="23" cm="1">
        <f t="array" ref="G49">(_xlfn.BYROW(B49,_xlfn.LAMBDA(_xlpm.party,
(SUMIFS(ledger!J:J,ledger!B:B,_xlpm.party,ledger!E:E,"&lt;&gt;*RD*",ledger!D:D,"Chamki",ledger!C:C,"&lt;&gt;September Closing CF")+
SUMIFS(ledger!J:J,ledger!B:B,_xlpm.party,ledger!E:E,"&lt;&gt;*RD*",ledger!D:D,"Crinkle",ledger!C:C,"&lt;&gt;September Closing CF")
))))</f>
        <v>1376755.6693489396</v>
      </c>
      <c r="H49" s="23" cm="1">
        <f t="array" ref="H49">_xlfn.BYROW(B49, _xlfn.LAMBDA(_xlpm.party,
   SUMIFS(ledger!J:J, ledger!B:B, _xlpm.party, ledger!E:E, "&lt;&gt;*RD*", ledger!D:D, "Silky", ledger!C:C, "&lt;&gt;September Closing CF")
))</f>
        <v>698010.24140453548</v>
      </c>
      <c r="I49" s="23" cm="1">
        <f t="array" ref="I49">_xlfn.BYROW(B49, _xlfn.LAMBDA(_xlpm.party,
   SUMIFS(ledger!J:J, ledger!B:B, _xlpm.party, ledger!E:E, "&lt;&gt;*RD*", ledger!D:D, "Slub", ledger!C:C, "&lt;&gt;September Closing CF")
))</f>
        <v>0</v>
      </c>
      <c r="J49" s="23" cm="1">
        <f t="array" ref="J49">_xlfn.BYROW(B49, _xlfn.LAMBDA(_xlpm.party,
   SUMIFS(ledger!J:J, ledger!B:B, _xlpm.party, ledger!E:E, "&lt;&gt;*RD*", ledger!D:D, "Satin", ledger!C:C, "&lt;&gt;September Closing CF")
))</f>
        <v>0</v>
      </c>
      <c r="K49" s="44">
        <f>G49+H49+I49+J49</f>
        <v>2074765.910753475</v>
      </c>
      <c r="L49" s="23">
        <f>(SUMIF(Table14[Party],B49,Table14[Credit]))</f>
        <v>3960588</v>
      </c>
      <c r="M49" s="42">
        <f>K49-L49</f>
        <v>-1885822.089246525</v>
      </c>
      <c r="N49" s="22">
        <v>10</v>
      </c>
      <c r="O49" s="22">
        <v>12</v>
      </c>
    </row>
    <row r="50" spans="1:26" x14ac:dyDescent="0.3">
      <c r="B50" s="25" t="str">
        <v>Ejaz Sahab</v>
      </c>
      <c r="C50" s="23">
        <v>48388</v>
      </c>
      <c r="D50" s="23">
        <v>44246.525237746893</v>
      </c>
      <c r="E50" s="68">
        <v>0</v>
      </c>
      <c r="F50" s="68">
        <v>44246.525237746893</v>
      </c>
      <c r="G50" s="23" cm="1">
        <f t="array" ref="G50">(_xlfn.BYROW(B50,_xlfn.LAMBDA(_xlpm.party,
(SUMIFS(ledger!J:J,ledger!B:B,_xlpm.party,ledger!E:E,"&lt;&gt;*RD*",ledger!D:D,"Chamki",ledger!C:C,"&lt;&gt;September Closing CF")+
SUMIFS(ledger!J:J,ledger!B:B,_xlpm.party,ledger!E:E,"&lt;&gt;*RD*",ledger!D:D,"Crinkle",ledger!C:C,"&lt;&gt;September Closing CF")
))))</f>
        <v>0</v>
      </c>
      <c r="H50" s="23" cm="1">
        <f t="array" ref="H50">_xlfn.BYROW(B50, _xlfn.LAMBDA(_xlpm.party,
   SUMIFS(ledger!J:J, ledger!B:B, _xlpm.party, ledger!E:E, "&lt;&gt;*RD*", ledger!D:D, "Silky", ledger!C:C, "&lt;&gt;September Closing CF")
))</f>
        <v>530958.30285296275</v>
      </c>
      <c r="I50" s="23" cm="1">
        <f t="array" ref="I50">_xlfn.BYROW(B50, _xlfn.LAMBDA(_xlpm.party,
   SUMIFS(ledger!J:J, ledger!B:B, _xlpm.party, ledger!E:E, "&lt;&gt;*RD*", ledger!D:D, "Slub", ledger!C:C, "&lt;&gt;September Closing CF")
))</f>
        <v>0</v>
      </c>
      <c r="J50" s="23" cm="1">
        <f t="array" ref="J50">_xlfn.BYROW(B50, _xlfn.LAMBDA(_xlpm.party,
   SUMIFS(ledger!J:J, ledger!B:B, _xlpm.party, ledger!E:E, "&lt;&gt;*RD*", ledger!D:D, "Satin", ledger!C:C, "&lt;&gt;September Closing CF")
))</f>
        <v>0</v>
      </c>
      <c r="K50" s="44">
        <f t="shared" ref="K50:K69" si="9">G50+H50+I50+J50</f>
        <v>530958.30285296275</v>
      </c>
      <c r="L50" s="23">
        <f>(SUMIF(Table14[Party],B50,Table14[Credit]))</f>
        <v>0</v>
      </c>
      <c r="M50" s="42">
        <f>K50-L50</f>
        <v>530958.30285296275</v>
      </c>
      <c r="N50" s="22">
        <v>10</v>
      </c>
      <c r="O50" s="22">
        <v>12</v>
      </c>
    </row>
    <row r="51" spans="1:26" x14ac:dyDescent="0.3">
      <c r="B51" s="25" t="str">
        <v>Arshad</v>
      </c>
      <c r="C51" s="23">
        <v>92560</v>
      </c>
      <c r="D51" s="23">
        <v>84637.893196781282</v>
      </c>
      <c r="E51" s="68">
        <v>84637.893196781282</v>
      </c>
      <c r="F51" s="68">
        <v>0</v>
      </c>
      <c r="G51" s="23" cm="1">
        <f t="array" ref="G51">(_xlfn.BYROW(B51,_xlfn.LAMBDA(_xlpm.party,
(SUMIFS(ledger!J:J,ledger!B:B,_xlpm.party,ledger!E:E,"&lt;&gt;*RD*",ledger!D:D,"Chamki",ledger!C:C,"&lt;&gt;September Closing CF")+
SUMIFS(ledger!J:J,ledger!B:B,_xlpm.party,ledger!E:E,"&lt;&gt;*RD*",ledger!D:D,"Crinkle",ledger!C:C,"&lt;&gt;September Closing CF")
))))</f>
        <v>846378.93196781282</v>
      </c>
      <c r="H51" s="23" cm="1">
        <f t="array" ref="H51">_xlfn.BYROW(B51, _xlfn.LAMBDA(_xlpm.party,
   SUMIFS(ledger!J:J, ledger!B:B, _xlpm.party, ledger!E:E, "&lt;&gt;*RD*", ledger!D:D, "Silky", ledger!C:C, "&lt;&gt;September Closing CF")
))</f>
        <v>0</v>
      </c>
      <c r="I51" s="23" cm="1">
        <f t="array" ref="I51">_xlfn.BYROW(B51, _xlfn.LAMBDA(_xlpm.party,
   SUMIFS(ledger!J:J, ledger!B:B, _xlpm.party, ledger!E:E, "&lt;&gt;*RD*", ledger!D:D, "Slub", ledger!C:C, "&lt;&gt;September Closing CF")
))</f>
        <v>0</v>
      </c>
      <c r="J51" s="23" cm="1">
        <f t="array" ref="J51">_xlfn.BYROW(B51, _xlfn.LAMBDA(_xlpm.party,
   SUMIFS(ledger!J:J, ledger!B:B, _xlpm.party, ledger!E:E, "&lt;&gt;*RD*", ledger!D:D, "Satin", ledger!C:C, "&lt;&gt;September Closing CF")
))</f>
        <v>0</v>
      </c>
      <c r="K51" s="44">
        <f t="shared" si="9"/>
        <v>846378.93196781282</v>
      </c>
      <c r="L51" s="23">
        <f>(SUMIF(Table14[Party],B51,Table14[Credit]))</f>
        <v>787234</v>
      </c>
      <c r="M51" s="42">
        <f>K51-L51</f>
        <v>59144.931967812823</v>
      </c>
      <c r="N51" s="22">
        <v>10</v>
      </c>
      <c r="O51" s="22">
        <v>12</v>
      </c>
    </row>
    <row r="52" spans="1:26" x14ac:dyDescent="0.3">
      <c r="B52" s="25" t="str">
        <v>Shehzad Kamoki</v>
      </c>
      <c r="C52" s="23">
        <v>0</v>
      </c>
      <c r="D52" s="23">
        <v>0</v>
      </c>
      <c r="E52" s="68">
        <v>0</v>
      </c>
      <c r="F52" s="68">
        <v>0</v>
      </c>
      <c r="G52" s="23" cm="1">
        <f t="array" ref="G52">(_xlfn.BYROW(B52,_xlfn.LAMBDA(_xlpm.party,
(SUMIFS(ledger!J:J,ledger!B:B,_xlpm.party,ledger!E:E,"&lt;&gt;*RD*",ledger!D:D,"Chamki",ledger!C:C,"&lt;&gt;September Closing CF")+
SUMIFS(ledger!J:J,ledger!B:B,_xlpm.party,ledger!E:E,"&lt;&gt;*RD*",ledger!D:D,"Crinkle",ledger!C:C,"&lt;&gt;September Closing CF")
))))</f>
        <v>0</v>
      </c>
      <c r="H52" s="23" cm="1">
        <f t="array" ref="H52">_xlfn.BYROW(B52, _xlfn.LAMBDA(_xlpm.party,
   SUMIFS(ledger!J:J, ledger!B:B, _xlpm.party, ledger!E:E, "&lt;&gt;*RD*", ledger!D:D, "Silky", ledger!C:C, "&lt;&gt;September Closing CF")
))</f>
        <v>0</v>
      </c>
      <c r="I52" s="23" cm="1">
        <f t="array" ref="I52">_xlfn.BYROW(B52, _xlfn.LAMBDA(_xlpm.party,
   SUMIFS(ledger!J:J, ledger!B:B, _xlpm.party, ledger!E:E, "&lt;&gt;*RD*", ledger!D:D, "Slub", ledger!C:C, "&lt;&gt;September Closing CF")
))</f>
        <v>0</v>
      </c>
      <c r="J52" s="23" cm="1">
        <f t="array" ref="J52">_xlfn.BYROW(B52, _xlfn.LAMBDA(_xlpm.party,
   SUMIFS(ledger!J:J, ledger!B:B, _xlpm.party, ledger!E:E, "&lt;&gt;*RD*", ledger!D:D, "Satin", ledger!C:C, "&lt;&gt;September Closing CF")
))</f>
        <v>0</v>
      </c>
      <c r="K52" s="44">
        <f t="shared" si="9"/>
        <v>0</v>
      </c>
      <c r="L52" s="23">
        <f>(SUMIF(Table14[Party],B52,Table14[Credit]))</f>
        <v>0</v>
      </c>
      <c r="M52" s="42">
        <f t="shared" ref="M52:M55" si="10">K52-L52</f>
        <v>0</v>
      </c>
      <c r="N52" s="22">
        <v>10.5</v>
      </c>
      <c r="O52" s="22">
        <v>13</v>
      </c>
    </row>
    <row r="53" spans="1:26" x14ac:dyDescent="0.3">
      <c r="B53" s="25" t="str">
        <v>Sufi Nawaz Sahab</v>
      </c>
      <c r="C53" s="23">
        <v>0</v>
      </c>
      <c r="D53" s="23">
        <v>0</v>
      </c>
      <c r="E53" s="68">
        <v>0</v>
      </c>
      <c r="F53" s="68">
        <v>0</v>
      </c>
      <c r="G53" s="23" cm="1">
        <f t="array" ref="G53">(_xlfn.BYROW(B53,_xlfn.LAMBDA(_xlpm.party,
(SUMIFS(ledger!J:J,ledger!B:B,_xlpm.party,ledger!E:E,"&lt;&gt;*RD*",ledger!D:D,"Chamki",ledger!C:C,"&lt;&gt;September Closing CF")+
SUMIFS(ledger!J:J,ledger!B:B,_xlpm.party,ledger!E:E,"&lt;&gt;*RD*",ledger!D:D,"Crinkle",ledger!C:C,"&lt;&gt;September Closing CF")
))))</f>
        <v>0</v>
      </c>
      <c r="H53" s="23" cm="1">
        <f t="array" ref="H53">_xlfn.BYROW(B53, _xlfn.LAMBDA(_xlpm.party,
   SUMIFS(ledger!J:J, ledger!B:B, _xlpm.party, ledger!E:E, "&lt;&gt;*RD*", ledger!D:D, "Silky", ledger!C:C, "&lt;&gt;September Closing CF")
))</f>
        <v>0</v>
      </c>
      <c r="I53" s="23" cm="1">
        <f t="array" ref="I53">_xlfn.BYROW(B53, _xlfn.LAMBDA(_xlpm.party,
   SUMIFS(ledger!J:J, ledger!B:B, _xlpm.party, ledger!E:E, "&lt;&gt;*RD*", ledger!D:D, "Slub", ledger!C:C, "&lt;&gt;September Closing CF")
))</f>
        <v>0</v>
      </c>
      <c r="J53" s="23" cm="1">
        <f t="array" ref="J53">_xlfn.BYROW(B53, _xlfn.LAMBDA(_xlpm.party,
   SUMIFS(ledger!J:J, ledger!B:B, _xlpm.party, ledger!E:E, "&lt;&gt;*RD*", ledger!D:D, "Satin", ledger!C:C, "&lt;&gt;September Closing CF")
))</f>
        <v>0</v>
      </c>
      <c r="K53" s="44">
        <f t="shared" si="9"/>
        <v>0</v>
      </c>
      <c r="L53" s="23">
        <f>(SUMIF(Table14[Party],B53,Table14[Credit]))</f>
        <v>1500000</v>
      </c>
      <c r="M53" s="42">
        <f t="shared" si="10"/>
        <v>-1500000</v>
      </c>
      <c r="N53" s="22">
        <v>10</v>
      </c>
      <c r="O53" s="22">
        <v>12</v>
      </c>
    </row>
    <row r="54" spans="1:26" x14ac:dyDescent="0.3">
      <c r="B54" s="25" t="str">
        <v>Sajad Khan</v>
      </c>
      <c r="C54" s="23">
        <v>51334</v>
      </c>
      <c r="D54" s="23">
        <v>46940.380395025604</v>
      </c>
      <c r="E54" s="68">
        <v>41451.170446232631</v>
      </c>
      <c r="F54" s="68">
        <v>0</v>
      </c>
      <c r="G54" s="23" cm="1">
        <f t="array" ref="G54">(_xlfn.BYROW(B54,_xlfn.LAMBDA(_xlpm.party,
(SUMIFS(ledger!J:J,ledger!B:B,_xlpm.party,ledger!E:E,"&lt;&gt;*RD*",ledger!D:D,"Chamki",ledger!C:C,"&lt;&gt;September Closing CF")+
SUMIFS(ledger!J:J,ledger!B:B,_xlpm.party,ledger!E:E,"&lt;&gt;*RD*",ledger!D:D,"Crinkle",ledger!C:C,"&lt;&gt;September Closing CF")
))))</f>
        <v>414511.70446232631</v>
      </c>
      <c r="H54" s="23" cm="1">
        <f t="array" ref="H54">_xlfn.BYROW(B54, _xlfn.LAMBDA(_xlpm.party,
   SUMIFS(ledger!J:J, ledger!B:B, _xlpm.party, ledger!E:E, "&lt;&gt;*RD*", ledger!D:D, "Silky", ledger!C:C, "&lt;&gt;September Closing CF")
))</f>
        <v>0</v>
      </c>
      <c r="I54" s="23" cm="1">
        <f t="array" ref="I54">_xlfn.BYROW(B54, _xlfn.LAMBDA(_xlpm.party,
   SUMIFS(ledger!J:J, ledger!B:B, _xlpm.party, ledger!E:E, "&lt;&gt;*RD*", ledger!D:D, "Slub", ledger!C:C, "&lt;&gt;September Closing CF")
))</f>
        <v>71359.729334308722</v>
      </c>
      <c r="J54" s="23" cm="1">
        <f t="array" ref="J54">_xlfn.BYROW(B54, _xlfn.LAMBDA(_xlpm.party,
   SUMIFS(ledger!J:J, ledger!B:B, _xlpm.party, ledger!E:E, "&lt;&gt;*RD*", ledger!D:D, "Satin", ledger!C:C, "&lt;&gt;September Closing CF")
))</f>
        <v>0</v>
      </c>
      <c r="K54" s="44">
        <f t="shared" si="9"/>
        <v>485871.43379663501</v>
      </c>
      <c r="L54" s="23">
        <f>(SUMIF(Table14[Party],B54,Table14[Credit]))</f>
        <v>1066681</v>
      </c>
      <c r="M54" s="42">
        <f t="shared" si="10"/>
        <v>-580809.56620336499</v>
      </c>
      <c r="N54" s="22">
        <v>10</v>
      </c>
      <c r="O54" s="22">
        <v>12</v>
      </c>
    </row>
    <row r="55" spans="1:26" x14ac:dyDescent="0.3">
      <c r="B55" s="25" t="str">
        <v>Raaz Fabrics</v>
      </c>
      <c r="C55" s="23">
        <v>0</v>
      </c>
      <c r="D55" s="23">
        <v>0</v>
      </c>
      <c r="E55" s="68">
        <v>0</v>
      </c>
      <c r="F55" s="68">
        <v>0</v>
      </c>
      <c r="G55" s="23" cm="1">
        <f t="array" ref="G55">(_xlfn.BYROW(B55,_xlfn.LAMBDA(_xlpm.party,
(SUMIFS(ledger!J:J,ledger!B:B,_xlpm.party,ledger!E:E,"&lt;&gt;*RD*",ledger!D:D,"Chamki",ledger!C:C,"&lt;&gt;September Closing CF")+
SUMIFS(ledger!J:J,ledger!B:B,_xlpm.party,ledger!E:E,"&lt;&gt;*RD*",ledger!D:D,"Crinkle",ledger!C:C,"&lt;&gt;September Closing CF")
))))</f>
        <v>0</v>
      </c>
      <c r="H55" s="23" cm="1">
        <f t="array" ref="H55">_xlfn.BYROW(B55, _xlfn.LAMBDA(_xlpm.party,
   SUMIFS(ledger!J:J, ledger!B:B, _xlpm.party, ledger!E:E, "&lt;&gt;*RD*", ledger!D:D, "Silky", ledger!C:C, "&lt;&gt;September Closing CF")
))</f>
        <v>0</v>
      </c>
      <c r="I55" s="23" cm="1">
        <f t="array" ref="I55">_xlfn.BYROW(B55, _xlfn.LAMBDA(_xlpm.party,
   SUMIFS(ledger!J:J, ledger!B:B, _xlpm.party, ledger!E:E, "&lt;&gt;*RD*", ledger!D:D, "Slub", ledger!C:C, "&lt;&gt;September Closing CF")
))</f>
        <v>0</v>
      </c>
      <c r="J55" s="23" cm="1">
        <f t="array" ref="J55">_xlfn.BYROW(B55, _xlfn.LAMBDA(_xlpm.party,
   SUMIFS(ledger!J:J, ledger!B:B, _xlpm.party, ledger!E:E, "&lt;&gt;*RD*", ledger!D:D, "Satin", ledger!C:C, "&lt;&gt;September Closing CF")
))</f>
        <v>0</v>
      </c>
      <c r="K55" s="44">
        <f t="shared" si="9"/>
        <v>0</v>
      </c>
      <c r="L55" s="23">
        <f>(SUMIF(Table14[Party],B55,Table14[Credit]))</f>
        <v>0</v>
      </c>
      <c r="M55" s="42">
        <f t="shared" si="10"/>
        <v>0</v>
      </c>
      <c r="N55" s="22">
        <v>10</v>
      </c>
      <c r="O55" s="22">
        <v>12</v>
      </c>
    </row>
    <row r="56" spans="1:26" x14ac:dyDescent="0.3">
      <c r="B56" s="25" t="str">
        <v>Azam</v>
      </c>
      <c r="C56" s="23">
        <v>0</v>
      </c>
      <c r="D56" s="23">
        <v>0</v>
      </c>
      <c r="E56" s="68">
        <v>0</v>
      </c>
      <c r="F56" s="68">
        <v>0</v>
      </c>
      <c r="G56" s="23" cm="1">
        <f t="array" ref="G56">(_xlfn.BYROW(B56,_xlfn.LAMBDA(_xlpm.party,
(SUMIFS(ledger!J:J,ledger!B:B,_xlpm.party,ledger!E:E,"&lt;&gt;*RD*",ledger!D:D,"Chamki",ledger!C:C,"&lt;&gt;September Closing CF")+
SUMIFS(ledger!J:J,ledger!B:B,_xlpm.party,ledger!E:E,"&lt;&gt;*RD*",ledger!D:D,"Crinkle",ledger!C:C,"&lt;&gt;September Closing CF")
))))</f>
        <v>0</v>
      </c>
      <c r="H56" s="23" cm="1">
        <f t="array" ref="H56">_xlfn.BYROW(B56, _xlfn.LAMBDA(_xlpm.party,
   SUMIFS(ledger!J:J, ledger!B:B, _xlpm.party, ledger!E:E, "&lt;&gt;*RD*", ledger!D:D, "Silky", ledger!C:C, "&lt;&gt;September Closing CF")
))</f>
        <v>0</v>
      </c>
      <c r="I56" s="23" cm="1">
        <f t="array" ref="I56">_xlfn.BYROW(B56, _xlfn.LAMBDA(_xlpm.party,
   SUMIFS(ledger!J:J, ledger!B:B, _xlpm.party, ledger!E:E, "&lt;&gt;*RD*", ledger!D:D, "Slub", ledger!C:C, "&lt;&gt;September Closing CF")
))</f>
        <v>0</v>
      </c>
      <c r="J56" s="23" cm="1">
        <f t="array" ref="J56">_xlfn.BYROW(B56, _xlfn.LAMBDA(_xlpm.party,
   SUMIFS(ledger!J:J, ledger!B:B, _xlpm.party, ledger!E:E, "&lt;&gt;*RD*", ledger!D:D, "Satin", ledger!C:C, "&lt;&gt;September Closing CF")
))</f>
        <v>0</v>
      </c>
      <c r="K56" s="44">
        <f t="shared" si="9"/>
        <v>0</v>
      </c>
      <c r="L56" s="23">
        <f>(SUMIF(Table14[Party],B56,Table14[Credit]))</f>
        <v>0</v>
      </c>
      <c r="M56" s="42">
        <f t="shared" ref="M56:M69" si="11">K56-L56</f>
        <v>0</v>
      </c>
      <c r="N56" s="22">
        <v>10</v>
      </c>
      <c r="O56" s="22">
        <v>12</v>
      </c>
      <c r="X56" s="3" t="s">
        <v>6</v>
      </c>
      <c r="Y56" t="s">
        <v>7</v>
      </c>
      <c r="Z56" t="s">
        <v>8</v>
      </c>
    </row>
    <row r="57" spans="1:26" x14ac:dyDescent="0.3">
      <c r="B57" s="25" t="str">
        <v>Ubaidullah</v>
      </c>
      <c r="C57" s="23">
        <v>0</v>
      </c>
      <c r="D57" s="23">
        <v>0</v>
      </c>
      <c r="E57" s="68">
        <v>0</v>
      </c>
      <c r="F57" s="68">
        <v>0</v>
      </c>
      <c r="G57" s="23" cm="1">
        <f t="array" ref="G57">(_xlfn.BYROW(B57,_xlfn.LAMBDA(_xlpm.party,
(SUMIFS(ledger!J:J,ledger!B:B,_xlpm.party,ledger!E:E,"&lt;&gt;*RD*",ledger!D:D,"Chamki",ledger!C:C,"&lt;&gt;September Closing CF")+
SUMIFS(ledger!J:J,ledger!B:B,_xlpm.party,ledger!E:E,"&lt;&gt;*RD*",ledger!D:D,"Crinkle",ledger!C:C,"&lt;&gt;September Closing CF")
))))</f>
        <v>0</v>
      </c>
      <c r="H57" s="23" cm="1">
        <f t="array" ref="H57">_xlfn.BYROW(B57, _xlfn.LAMBDA(_xlpm.party,
   SUMIFS(ledger!J:J, ledger!B:B, _xlpm.party, ledger!E:E, "&lt;&gt;*RD*", ledger!D:D, "Silky", ledger!C:C, "&lt;&gt;September Closing CF")
))</f>
        <v>0</v>
      </c>
      <c r="I57" s="23" cm="1">
        <f t="array" ref="I57">_xlfn.BYROW(B57, _xlfn.LAMBDA(_xlpm.party,
   SUMIFS(ledger!J:J, ledger!B:B, _xlpm.party, ledger!E:E, "&lt;&gt;*RD*", ledger!D:D, "Slub", ledger!C:C, "&lt;&gt;September Closing CF")
))</f>
        <v>0</v>
      </c>
      <c r="J57" s="23" cm="1">
        <f t="array" ref="J57">_xlfn.BYROW(B57, _xlfn.LAMBDA(_xlpm.party,
   SUMIFS(ledger!J:J, ledger!B:B, _xlpm.party, ledger!E:E, "&lt;&gt;*RD*", ledger!D:D, "Satin", ledger!C:C, "&lt;&gt;September Closing CF")
))</f>
        <v>0</v>
      </c>
      <c r="K57" s="44">
        <f t="shared" si="9"/>
        <v>0</v>
      </c>
      <c r="L57" s="23">
        <f>SUMIF(Table14[Party], B57, Table14[Credit])</f>
        <v>179000</v>
      </c>
      <c r="M57" s="42">
        <f t="shared" si="11"/>
        <v>-179000</v>
      </c>
      <c r="N57" s="22">
        <v>10</v>
      </c>
      <c r="O57" s="22">
        <v>12</v>
      </c>
      <c r="X57" s="4" t="s">
        <v>21</v>
      </c>
      <c r="Y57" s="5">
        <v>195843.08705193858</v>
      </c>
      <c r="Z57" s="18">
        <v>2074765.910753475</v>
      </c>
    </row>
    <row r="58" spans="1:26" x14ac:dyDescent="0.3">
      <c r="B58" s="25" t="str">
        <v>Ashraf Zia</v>
      </c>
      <c r="C58" s="23">
        <v>0</v>
      </c>
      <c r="D58" s="23">
        <v>0</v>
      </c>
      <c r="E58" s="68">
        <v>0</v>
      </c>
      <c r="F58" s="68">
        <v>0</v>
      </c>
      <c r="G58" s="23" cm="1">
        <f t="array" ref="G58">(_xlfn.BYROW(B58,_xlfn.LAMBDA(_xlpm.party,
(SUMIFS(ledger!J:J,ledger!B:B,_xlpm.party,ledger!E:E,"&lt;&gt;*RD*",ledger!D:D,"Chamki",ledger!C:C,"&lt;&gt;September Closing CF")+
SUMIFS(ledger!J:J,ledger!B:B,_xlpm.party,ledger!E:E,"&lt;&gt;*RD*",ledger!D:D,"Crinkle",ledger!C:C,"&lt;&gt;September Closing CF")
))))</f>
        <v>0</v>
      </c>
      <c r="H58" s="23" cm="1">
        <f t="array" ref="H58">_xlfn.BYROW(B58, _xlfn.LAMBDA(_xlpm.party,
   SUMIFS(ledger!J:J, ledger!B:B, _xlpm.party, ledger!E:E, "&lt;&gt;*RD*", ledger!D:D, "Silky", ledger!C:C, "&lt;&gt;September Closing CF")
))</f>
        <v>0</v>
      </c>
      <c r="I58" s="23" cm="1">
        <f t="array" ref="I58">_xlfn.BYROW(B58, _xlfn.LAMBDA(_xlpm.party,
   SUMIFS(ledger!J:J, ledger!B:B, _xlpm.party, ledger!E:E, "&lt;&gt;*RD*", ledger!D:D, "Slub", ledger!C:C, "&lt;&gt;September Closing CF")
))</f>
        <v>0</v>
      </c>
      <c r="J58" s="23" cm="1">
        <f t="array" ref="J58">_xlfn.BYROW(B58, _xlfn.LAMBDA(_xlpm.party,
   SUMIFS(ledger!J:J, ledger!B:B, _xlpm.party, ledger!E:E, "&lt;&gt;*RD*", ledger!D:D, "Satin", ledger!C:C, "&lt;&gt;September Closing CF")
))</f>
        <v>0</v>
      </c>
      <c r="K58" s="44">
        <f t="shared" si="9"/>
        <v>0</v>
      </c>
      <c r="L58" s="23">
        <f>SUMIF(Table14[Party], B58, Table14[Credit])</f>
        <v>0</v>
      </c>
      <c r="M58" s="42">
        <f t="shared" si="11"/>
        <v>0</v>
      </c>
      <c r="N58" s="22">
        <v>12</v>
      </c>
      <c r="O58" s="22">
        <v>12</v>
      </c>
      <c r="X58" s="4" t="s">
        <v>22</v>
      </c>
      <c r="Y58" s="5">
        <v>44246.525237746893</v>
      </c>
      <c r="Z58" s="18">
        <v>530958.30285296275</v>
      </c>
    </row>
    <row r="59" spans="1:26" x14ac:dyDescent="0.3">
      <c r="B59" s="25" t="str">
        <v>Hafiz Qureshi</v>
      </c>
      <c r="C59" s="23">
        <v>54152</v>
      </c>
      <c r="D59" s="23">
        <v>49517.190929041702</v>
      </c>
      <c r="E59" s="68">
        <v>49517.190929041702</v>
      </c>
      <c r="F59" s="68">
        <v>0</v>
      </c>
      <c r="G59" s="23" cm="1">
        <f t="array" ref="G59">(_xlfn.BYROW(B59,_xlfn.LAMBDA(_xlpm.party,
(SUMIFS(ledger!J:J,ledger!B:B,_xlpm.party,ledger!E:E,"&lt;&gt;*RD*",ledger!D:D,"Chamki",ledger!C:C,"&lt;&gt;September Closing CF")+
SUMIFS(ledger!J:J,ledger!B:B,_xlpm.party,ledger!E:E,"&lt;&gt;*RD*",ledger!D:D,"Crinkle",ledger!C:C,"&lt;&gt;September Closing CF")
))))</f>
        <v>495171.90929041698</v>
      </c>
      <c r="H59" s="23" cm="1">
        <f t="array" ref="H59">_xlfn.BYROW(B59, _xlfn.LAMBDA(_xlpm.party,
   SUMIFS(ledger!J:J, ledger!B:B, _xlpm.party, ledger!E:E, "&lt;&gt;*RD*", ledger!D:D, "Silky", ledger!C:C, "&lt;&gt;September Closing CF")
))</f>
        <v>0</v>
      </c>
      <c r="I59" s="23" cm="1">
        <f t="array" ref="I59">_xlfn.BYROW(B59, _xlfn.LAMBDA(_xlpm.party,
   SUMIFS(ledger!J:J, ledger!B:B, _xlpm.party, ledger!E:E, "&lt;&gt;*RD*", ledger!D:D, "Slub", ledger!C:C, "&lt;&gt;September Closing CF")
))</f>
        <v>0</v>
      </c>
      <c r="J59" s="23" cm="1">
        <f t="array" ref="J59">_xlfn.BYROW(B59, _xlfn.LAMBDA(_xlpm.party,
   SUMIFS(ledger!J:J, ledger!B:B, _xlpm.party, ledger!E:E, "&lt;&gt;*RD*", ledger!D:D, "Satin", ledger!C:C, "&lt;&gt;September Closing CF")
))</f>
        <v>0</v>
      </c>
      <c r="K59" s="44">
        <f t="shared" si="9"/>
        <v>495171.90929041698</v>
      </c>
      <c r="L59" s="23">
        <f>SUMIF(Table14[Party], B59, Table14[Credit])</f>
        <v>0</v>
      </c>
      <c r="M59" s="42">
        <f t="shared" si="11"/>
        <v>495171.90929041698</v>
      </c>
      <c r="N59" s="22">
        <v>10</v>
      </c>
      <c r="O59" s="22">
        <v>12</v>
      </c>
      <c r="X59" s="4" t="s">
        <v>9</v>
      </c>
      <c r="Y59" s="5">
        <v>84637.893196781282</v>
      </c>
      <c r="Z59" s="18">
        <v>846378.93196781282</v>
      </c>
    </row>
    <row r="60" spans="1:26" x14ac:dyDescent="0.3">
      <c r="B60" s="25" t="str">
        <v>Badshah Fabrics</v>
      </c>
      <c r="C60" s="23">
        <v>75501</v>
      </c>
      <c r="D60" s="23">
        <v>69038.953913679594</v>
      </c>
      <c r="E60" s="68">
        <v>69038.953913679594</v>
      </c>
      <c r="F60" s="68">
        <v>0</v>
      </c>
      <c r="G60" s="23" cm="1">
        <f t="array" ref="G60">(_xlfn.BYROW(B60,_xlfn.LAMBDA(_xlpm.party,
(SUMIFS(ledger!J:J,ledger!B:B,_xlpm.party,ledger!E:E,"&lt;&gt;*RD*",ledger!D:D,"Chamki",ledger!C:C,"&lt;&gt;September Closing CF")+
SUMIFS(ledger!J:J,ledger!B:B,_xlpm.party,ledger!E:E,"&lt;&gt;*RD*",ledger!D:D,"Crinkle",ledger!C:C,"&lt;&gt;September Closing CF")
))))</f>
        <v>690389.53913679603</v>
      </c>
      <c r="H60" s="23" cm="1">
        <f t="array" ref="H60">_xlfn.BYROW(B60, _xlfn.LAMBDA(_xlpm.party,
   SUMIFS(ledger!J:J, ledger!B:B, _xlpm.party, ledger!E:E, "&lt;&gt;*RD*", ledger!D:D, "Silky", ledger!C:C, "&lt;&gt;September Closing CF")
))</f>
        <v>0</v>
      </c>
      <c r="I60" s="23" cm="1">
        <f t="array" ref="I60">_xlfn.BYROW(B60, _xlfn.LAMBDA(_xlpm.party,
   SUMIFS(ledger!J:J, ledger!B:B, _xlpm.party, ledger!E:E, "&lt;&gt;*RD*", ledger!D:D, "Slub", ledger!C:C, "&lt;&gt;September Closing CF")
))</f>
        <v>0</v>
      </c>
      <c r="J60" s="23" cm="1">
        <f t="array" ref="J60">_xlfn.BYROW(B60, _xlfn.LAMBDA(_xlpm.party,
   SUMIFS(ledger!J:J, ledger!B:B, _xlpm.party, ledger!E:E, "&lt;&gt;*RD*", ledger!D:D, "Satin", ledger!C:C, "&lt;&gt;September Closing CF")
))</f>
        <v>0</v>
      </c>
      <c r="K60" s="44">
        <f t="shared" si="9"/>
        <v>690389.53913679603</v>
      </c>
      <c r="L60" s="23">
        <f>SUMIF(Table14[Party], B60, Table14[Credit])</f>
        <v>500000</v>
      </c>
      <c r="M60" s="42">
        <f t="shared" si="11"/>
        <v>190389.53913679603</v>
      </c>
      <c r="N60" s="22">
        <v>10</v>
      </c>
      <c r="O60" s="22">
        <v>12</v>
      </c>
      <c r="X60" s="4" t="s">
        <v>23</v>
      </c>
      <c r="Y60" s="5">
        <v>0</v>
      </c>
      <c r="Z60" s="18">
        <v>0</v>
      </c>
    </row>
    <row r="61" spans="1:26" x14ac:dyDescent="0.3">
      <c r="B61" s="25" t="str">
        <v>Reject</v>
      </c>
      <c r="C61" s="23">
        <v>0</v>
      </c>
      <c r="D61" s="23">
        <v>0</v>
      </c>
      <c r="E61" s="68">
        <v>0</v>
      </c>
      <c r="F61" s="68">
        <v>0</v>
      </c>
      <c r="G61" s="23" cm="1">
        <f t="array" ref="G61">(_xlfn.BYROW(B61,_xlfn.LAMBDA(_xlpm.party,
(SUMIFS(ledger!J:J,ledger!B:B,_xlpm.party,ledger!E:E,"&lt;&gt;*RD*",ledger!D:D,"Chamki",ledger!C:C,"&lt;&gt;September Closing CF")+
SUMIFS(ledger!J:J,ledger!B:B,_xlpm.party,ledger!E:E,"&lt;&gt;*RD*",ledger!D:D,"Crinkle",ledger!C:C,"&lt;&gt;September Closing CF")
))))</f>
        <v>0</v>
      </c>
      <c r="H61" s="23" cm="1">
        <f t="array" ref="H61">_xlfn.BYROW(B61, _xlfn.LAMBDA(_xlpm.party,
   SUMIFS(ledger!J:J, ledger!B:B, _xlpm.party, ledger!E:E, "&lt;&gt;*RD*", ledger!D:D, "Silky", ledger!C:C, "&lt;&gt;September Closing CF")
))</f>
        <v>0</v>
      </c>
      <c r="I61" s="23" cm="1">
        <f t="array" ref="I61">_xlfn.BYROW(B61, _xlfn.LAMBDA(_xlpm.party,
   SUMIFS(ledger!J:J, ledger!B:B, _xlpm.party, ledger!E:E, "&lt;&gt;*RD*", ledger!D:D, "Slub", ledger!C:C, "&lt;&gt;September Closing CF")
))</f>
        <v>0</v>
      </c>
      <c r="J61" s="23" cm="1">
        <f t="array" ref="J61">_xlfn.BYROW(B61, _xlfn.LAMBDA(_xlpm.party,
   SUMIFS(ledger!J:J, ledger!B:B, _xlpm.party, ledger!E:E, "&lt;&gt;*RD*", ledger!D:D, "Satin", ledger!C:C, "&lt;&gt;September Closing CF")
))</f>
        <v>0</v>
      </c>
      <c r="K61" s="44">
        <f t="shared" si="9"/>
        <v>0</v>
      </c>
      <c r="L61" s="23">
        <f>SUMIF(Table14[Party], B61, Table14[Credit])</f>
        <v>0</v>
      </c>
      <c r="M61" s="42">
        <f t="shared" si="11"/>
        <v>0</v>
      </c>
      <c r="N61" s="22">
        <v>10</v>
      </c>
      <c r="O61" s="22">
        <v>12</v>
      </c>
      <c r="X61" s="4" t="s">
        <v>24</v>
      </c>
      <c r="Y61" s="5">
        <v>0</v>
      </c>
      <c r="Z61" s="18">
        <v>0</v>
      </c>
    </row>
    <row r="62" spans="1:26" x14ac:dyDescent="0.3">
      <c r="B62" t="str">
        <v>Amjad 7up</v>
      </c>
      <c r="C62" s="23">
        <v>0</v>
      </c>
      <c r="D62" s="23">
        <v>0</v>
      </c>
      <c r="E62" s="68">
        <v>0</v>
      </c>
      <c r="F62" s="68">
        <v>0</v>
      </c>
      <c r="G62" s="23" cm="1">
        <f t="array" ref="G62">(_xlfn.BYROW(B62,_xlfn.LAMBDA(_xlpm.party,
(SUMIFS(ledger!J:J,ledger!B:B,_xlpm.party,ledger!E:E,"&lt;&gt;*RD*",ledger!D:D,"Chamki",ledger!C:C,"&lt;&gt;September Closing CF")+
SUMIFS(ledger!J:J,ledger!B:B,_xlpm.party,ledger!E:E,"&lt;&gt;*RD*",ledger!D:D,"Crinkle",ledger!C:C,"&lt;&gt;September Closing CF")
))))</f>
        <v>0</v>
      </c>
      <c r="H62" s="23" cm="1">
        <f t="array" ref="H62">_xlfn.BYROW(B62, _xlfn.LAMBDA(_xlpm.party,
   SUMIFS(ledger!J:J, ledger!B:B, _xlpm.party, ledger!E:E, "&lt;&gt;*RD*", ledger!D:D, "Silky", ledger!C:C, "&lt;&gt;September Closing CF")
))</f>
        <v>0</v>
      </c>
      <c r="I62" s="23" cm="1">
        <f t="array" ref="I62">_xlfn.BYROW(B62, _xlfn.LAMBDA(_xlpm.party,
   SUMIFS(ledger!J:J, ledger!B:B, _xlpm.party, ledger!E:E, "&lt;&gt;*RD*", ledger!D:D, "Slub", ledger!C:C, "&lt;&gt;September Closing CF")
))</f>
        <v>0</v>
      </c>
      <c r="J62" s="23" cm="1">
        <f t="array" ref="J62">_xlfn.BYROW(B62, _xlfn.LAMBDA(_xlpm.party,
   SUMIFS(ledger!J:J, ledger!B:B, _xlpm.party, ledger!E:E, "&lt;&gt;*RD*", ledger!D:D, "Satin", ledger!C:C, "&lt;&gt;September Closing CF")
))</f>
        <v>0</v>
      </c>
      <c r="K62" s="44">
        <f t="shared" si="9"/>
        <v>0</v>
      </c>
      <c r="L62" s="23">
        <f>SUMIF(Table14[Party], B62, Table14[Credit])</f>
        <v>400000</v>
      </c>
      <c r="M62" s="42">
        <f t="shared" si="11"/>
        <v>-400000</v>
      </c>
      <c r="N62" s="22">
        <v>10</v>
      </c>
      <c r="O62" s="22">
        <v>12</v>
      </c>
      <c r="X62" s="4" t="s">
        <v>25</v>
      </c>
      <c r="Y62" s="5">
        <v>46940.380395025604</v>
      </c>
      <c r="Z62" s="18">
        <v>414511.70446232631</v>
      </c>
    </row>
    <row r="63" spans="1:26" x14ac:dyDescent="0.3">
      <c r="B63" t="str">
        <v>Hazrat Khan</v>
      </c>
      <c r="C63" s="23">
        <v>0</v>
      </c>
      <c r="D63" s="23">
        <v>0</v>
      </c>
      <c r="E63" s="68">
        <v>0</v>
      </c>
      <c r="F63" s="68">
        <v>0</v>
      </c>
      <c r="G63" s="23" cm="1">
        <f t="array" ref="G63">(_xlfn.BYROW(B63,_xlfn.LAMBDA(_xlpm.party,
(SUMIFS(ledger!J:J,ledger!B:B,_xlpm.party,ledger!E:E,"&lt;&gt;*RD*",ledger!D:D,"Chamki",ledger!C:C,"&lt;&gt;September Closing CF")+
SUMIFS(ledger!J:J,ledger!B:B,_xlpm.party,ledger!E:E,"&lt;&gt;*RD*",ledger!D:D,"Crinkle",ledger!C:C,"&lt;&gt;September Closing CF")
))))</f>
        <v>0</v>
      </c>
      <c r="H63" s="23" cm="1">
        <f t="array" ref="H63">_xlfn.BYROW(B63, _xlfn.LAMBDA(_xlpm.party,
   SUMIFS(ledger!J:J, ledger!B:B, _xlpm.party, ledger!E:E, "&lt;&gt;*RD*", ledger!D:D, "Silky", ledger!C:C, "&lt;&gt;September Closing CF")
))</f>
        <v>0</v>
      </c>
      <c r="I63" s="23" cm="1">
        <f t="array" ref="I63">_xlfn.BYROW(B63, _xlfn.LAMBDA(_xlpm.party,
   SUMIFS(ledger!J:J, ledger!B:B, _xlpm.party, ledger!E:E, "&lt;&gt;*RD*", ledger!D:D, "Slub", ledger!C:C, "&lt;&gt;September Closing CF")
))</f>
        <v>0</v>
      </c>
      <c r="J63" s="23" cm="1">
        <f t="array" ref="J63">_xlfn.BYROW(B63, _xlfn.LAMBDA(_xlpm.party,
   SUMIFS(ledger!J:J, ledger!B:B, _xlpm.party, ledger!E:E, "&lt;&gt;*RD*", ledger!D:D, "Satin", ledger!C:C, "&lt;&gt;September Closing CF")
))</f>
        <v>0</v>
      </c>
      <c r="K63" s="44">
        <f t="shared" si="9"/>
        <v>0</v>
      </c>
      <c r="L63" s="23">
        <f>SUMIF(Table14[Party], B63, Table14[Credit])</f>
        <v>95000</v>
      </c>
      <c r="M63" s="42">
        <f t="shared" si="11"/>
        <v>-95000</v>
      </c>
      <c r="N63" s="22">
        <v>10</v>
      </c>
      <c r="O63" s="22">
        <v>12</v>
      </c>
      <c r="X63" s="4" t="s">
        <v>26</v>
      </c>
      <c r="Y63" s="5">
        <v>0</v>
      </c>
      <c r="Z63" s="18">
        <v>0</v>
      </c>
    </row>
    <row r="64" spans="1:26" x14ac:dyDescent="0.3">
      <c r="B64" t="str">
        <v>Haseeb Shamsi</v>
      </c>
      <c r="C64" s="23">
        <v>0</v>
      </c>
      <c r="D64" s="23">
        <v>0</v>
      </c>
      <c r="E64" s="68">
        <v>0</v>
      </c>
      <c r="F64" s="68">
        <v>0</v>
      </c>
      <c r="G64" s="23" cm="1">
        <f t="array" ref="G64">(_xlfn.BYROW(B64,_xlfn.LAMBDA(_xlpm.party,
(SUMIFS(ledger!J:J,ledger!B:B,_xlpm.party,ledger!E:E,"&lt;&gt;*RD*",ledger!D:D,"Chamki",ledger!C:C,"&lt;&gt;September Closing CF")+
SUMIFS(ledger!J:J,ledger!B:B,_xlpm.party,ledger!E:E,"&lt;&gt;*RD*",ledger!D:D,"Crinkle",ledger!C:C,"&lt;&gt;September Closing CF")
))))</f>
        <v>0</v>
      </c>
      <c r="H64" s="23" cm="1">
        <f t="array" ref="H64">_xlfn.BYROW(B64, _xlfn.LAMBDA(_xlpm.party,
   SUMIFS(ledger!J:J, ledger!B:B, _xlpm.party, ledger!E:E, "&lt;&gt;*RD*", ledger!D:D, "Silky", ledger!C:C, "&lt;&gt;September Closing CF")
))</f>
        <v>0</v>
      </c>
      <c r="I64" s="23" cm="1">
        <f t="array" ref="I64">_xlfn.BYROW(B64, _xlfn.LAMBDA(_xlpm.party,
   SUMIFS(ledger!J:J, ledger!B:B, _xlpm.party, ledger!E:E, "&lt;&gt;*RD*", ledger!D:D, "Slub", ledger!C:C, "&lt;&gt;September Closing CF")
))</f>
        <v>0</v>
      </c>
      <c r="J64" s="23" cm="1">
        <f t="array" ref="J64">_xlfn.BYROW(B64, _xlfn.LAMBDA(_xlpm.party,
   SUMIFS(ledger!J:J, ledger!B:B, _xlpm.party, ledger!E:E, "&lt;&gt;*RD*", ledger!D:D, "Satin", ledger!C:C, "&lt;&gt;September Closing CF")
))</f>
        <v>0</v>
      </c>
      <c r="K64" s="44">
        <f t="shared" si="9"/>
        <v>0</v>
      </c>
      <c r="L64" s="23">
        <f>SUMIF(Table14[Party], B81, Table14[Credit])</f>
        <v>0</v>
      </c>
      <c r="M64" s="42">
        <f t="shared" si="11"/>
        <v>0</v>
      </c>
      <c r="N64" s="22">
        <v>10</v>
      </c>
      <c r="O64" s="22">
        <v>12</v>
      </c>
      <c r="X64" s="4" t="s">
        <v>155</v>
      </c>
      <c r="Y64" s="5">
        <v>0</v>
      </c>
      <c r="Z64" s="18">
        <v>0</v>
      </c>
    </row>
    <row r="65" spans="2:26" x14ac:dyDescent="0.3">
      <c r="B65" t="str">
        <v>Faizan</v>
      </c>
      <c r="C65" s="23">
        <v>38208</v>
      </c>
      <c r="D65" s="23">
        <v>34937.820043891734</v>
      </c>
      <c r="E65" s="68">
        <v>0</v>
      </c>
      <c r="F65" s="68">
        <v>31967.812728602781</v>
      </c>
      <c r="G65" s="23" cm="1">
        <f t="array" ref="G65">(_xlfn.BYROW(B65,_xlfn.LAMBDA(_xlpm.party,
(SUMIFS(ledger!J:J,ledger!B:B,_xlpm.party,ledger!E:E,"&lt;&gt;*RD*",ledger!D:D,"Chamki",ledger!C:C,"&lt;&gt;September Closing CF")+
SUMIFS(ledger!J:J,ledger!B:B,_xlpm.party,ledger!E:E,"&lt;&gt;*RD*",ledger!D:D,"Crinkle",ledger!C:C,"&lt;&gt;September Closing CF")
))))</f>
        <v>0</v>
      </c>
      <c r="H65" s="23" cm="1">
        <f t="array" ref="H65">_xlfn.BYROW(B65, _xlfn.LAMBDA(_xlpm.party,
   SUMIFS(ledger!J:J, ledger!B:B, _xlpm.party, ledger!E:E, "&lt;&gt;*RD*", ledger!D:D, "Silky", ledger!C:C, "&lt;&gt;September Closing CF")
))</f>
        <v>415581.56547183613</v>
      </c>
      <c r="I65" s="23" cm="1">
        <f t="array" ref="I65">_xlfn.BYROW(B65, _xlfn.LAMBDA(_xlpm.party,
   SUMIFS(ledger!J:J, ledger!B:B, _xlpm.party, ledger!E:E, "&lt;&gt;*RD*", ledger!D:D, "Slub", ledger!C:C, "&lt;&gt;September Closing CF")
))</f>
        <v>44550.109729334312</v>
      </c>
      <c r="J65" s="23" cm="1">
        <f t="array" ref="J65">_xlfn.BYROW(B65, _xlfn.LAMBDA(_xlpm.party,
   SUMIFS(ledger!J:J, ledger!B:B, _xlpm.party, ledger!E:E, "&lt;&gt;*RD*", ledger!D:D, "Satin", ledger!C:C, "&lt;&gt;September Closing CF")
))</f>
        <v>0</v>
      </c>
      <c r="K65" s="44">
        <f t="shared" si="9"/>
        <v>460131.67520117044</v>
      </c>
      <c r="L65" s="23">
        <f>SUMIF(Table14[Party], B65, Table14[Credit])</f>
        <v>415571</v>
      </c>
      <c r="M65" s="42">
        <f t="shared" si="11"/>
        <v>44560.675201170438</v>
      </c>
      <c r="N65" s="22">
        <v>10</v>
      </c>
      <c r="O65" s="22">
        <v>13</v>
      </c>
      <c r="X65" s="4" t="s">
        <v>35</v>
      </c>
      <c r="Y65" s="5">
        <v>0</v>
      </c>
      <c r="Z65" s="18">
        <v>0</v>
      </c>
    </row>
    <row r="66" spans="2:26" x14ac:dyDescent="0.3">
      <c r="B66" t="str">
        <v>Shafique Ansari</v>
      </c>
      <c r="C66" s="23">
        <v>82290</v>
      </c>
      <c r="D66" s="23">
        <v>75246.891002194592</v>
      </c>
      <c r="E66" s="68">
        <v>64300.475493782011</v>
      </c>
      <c r="F66" s="68">
        <v>7565.8376005852242</v>
      </c>
      <c r="G66" s="23" cm="1">
        <f t="array" ref="G66">(_xlfn.BYROW(B66,_xlfn.LAMBDA(_xlpm.party,
(SUMIFS(ledger!J:J,ledger!B:B,_xlpm.party,ledger!E:E,"&lt;&gt;*RD*",ledger!D:D,"Chamki",ledger!C:C,"&lt;&gt;September Closing CF")+
SUMIFS(ledger!J:J,ledger!B:B,_xlpm.party,ledger!E:E,"&lt;&gt;*RD*",ledger!D:D,"Crinkle",ledger!C:C,"&lt;&gt;September Closing CF")
))))</f>
        <v>643004.75493782014</v>
      </c>
      <c r="H66" s="23" cm="1">
        <f t="array" ref="H66">_xlfn.BYROW(B66, _xlfn.LAMBDA(_xlpm.party,
   SUMIFS(ledger!J:J, ledger!B:B, _xlpm.party, ledger!E:E, "&lt;&gt;*RD*", ledger!D:D, "Silky", ledger!C:C, "&lt;&gt;September Closing CF")
))</f>
        <v>98355.888807607917</v>
      </c>
      <c r="I66" s="23" cm="1">
        <f t="array" ref="I66">_xlfn.BYROW(B66, _xlfn.LAMBDA(_xlpm.party,
   SUMIFS(ledger!J:J, ledger!B:B, _xlpm.party, ledger!E:E, "&lt;&gt;*RD*", ledger!D:D, "Slub", ledger!C:C, "&lt;&gt;September Closing CF")
))</f>
        <v>0</v>
      </c>
      <c r="J66" s="23" cm="1">
        <f t="array" ref="J66">_xlfn.BYROW(B66, _xlfn.LAMBDA(_xlpm.party,
   SUMIFS(ledger!J:J, ledger!B:B, _xlpm.party, ledger!E:E, "&lt;&gt;*RD*", ledger!D:D, "Satin", ledger!C:C, "&lt;&gt;September Closing CF")
))</f>
        <v>94656.181419166067</v>
      </c>
      <c r="K66" s="44">
        <f t="shared" si="9"/>
        <v>836016.82516459411</v>
      </c>
      <c r="L66" s="23">
        <f>SUMIF(Table14[Party], B66, Table14[Credit])</f>
        <v>98000</v>
      </c>
      <c r="M66" s="42">
        <f t="shared" si="11"/>
        <v>738016.82516459411</v>
      </c>
      <c r="N66" s="22">
        <v>10</v>
      </c>
      <c r="O66" s="22">
        <v>12</v>
      </c>
      <c r="X66" s="4" t="s">
        <v>151</v>
      </c>
      <c r="Y66" s="5">
        <v>0</v>
      </c>
      <c r="Z66" s="18">
        <v>0</v>
      </c>
    </row>
    <row r="67" spans="2:26" x14ac:dyDescent="0.3">
      <c r="B67" t="str">
        <v>Amjad sohail</v>
      </c>
      <c r="C67" s="23">
        <v>1662</v>
      </c>
      <c r="D67" s="23">
        <v>1519.751280175567</v>
      </c>
      <c r="E67" s="68">
        <v>0</v>
      </c>
      <c r="F67" s="68">
        <v>1519.751280175567</v>
      </c>
      <c r="G67" s="23" cm="1">
        <f t="array" ref="G67">(_xlfn.BYROW(B67,_xlfn.LAMBDA(_xlpm.party,
(SUMIFS(ledger!J:J,ledger!B:B,_xlpm.party,ledger!E:E,"&lt;&gt;*RD*",ledger!D:D,"Chamki",ledger!C:C,"&lt;&gt;September Closing CF")+
SUMIFS(ledger!J:J,ledger!B:B,_xlpm.party,ledger!E:E,"&lt;&gt;*RD*",ledger!D:D,"Crinkle",ledger!C:C,"&lt;&gt;September Closing CF")
))))</f>
        <v>0</v>
      </c>
      <c r="H67" s="23" cm="1">
        <f t="array" ref="H67">_xlfn.BYROW(B67, _xlfn.LAMBDA(_xlpm.party,
   SUMIFS(ledger!J:J, ledger!B:B, _xlpm.party, ledger!E:E, "&lt;&gt;*RD*", ledger!D:D, "Silky", ledger!C:C, "&lt;&gt;September Closing CF")
))</f>
        <v>19756.766642282371</v>
      </c>
      <c r="I67" s="23" cm="1">
        <f t="array" ref="I67">_xlfn.BYROW(B67, _xlfn.LAMBDA(_xlpm.party,
   SUMIFS(ledger!J:J, ledger!B:B, _xlpm.party, ledger!E:E, "&lt;&gt;*RD*", ledger!D:D, "Slub", ledger!C:C, "&lt;&gt;September Closing CF")
))</f>
        <v>0</v>
      </c>
      <c r="J67" s="23" cm="1">
        <f t="array" ref="J67">_xlfn.BYROW(B67, _xlfn.LAMBDA(_xlpm.party,
   SUMIFS(ledger!J:J, ledger!B:B, _xlpm.party, ledger!E:E, "&lt;&gt;*RD*", ledger!D:D, "Satin", ledger!C:C, "&lt;&gt;September Closing CF")
))</f>
        <v>0</v>
      </c>
      <c r="K67" s="44">
        <f t="shared" si="9"/>
        <v>19756.766642282371</v>
      </c>
      <c r="L67" s="23">
        <f>SUMIF(Table14[Party], B67, Table14[Credit])</f>
        <v>300000</v>
      </c>
      <c r="M67" s="42">
        <f t="shared" si="11"/>
        <v>-280243.23335771763</v>
      </c>
      <c r="N67" s="22">
        <v>10</v>
      </c>
      <c r="O67" s="22">
        <v>12</v>
      </c>
      <c r="X67" s="4" t="s">
        <v>27</v>
      </c>
      <c r="Y67" s="5">
        <v>49517.190929041702</v>
      </c>
      <c r="Z67" s="18">
        <v>495171.90929041704</v>
      </c>
    </row>
    <row r="68" spans="2:26" x14ac:dyDescent="0.3">
      <c r="C68" s="23"/>
      <c r="D68" s="23"/>
      <c r="E68" s="68"/>
      <c r="F68" s="68"/>
      <c r="G68" s="23" cm="1">
        <f t="array" ref="G68">(_xlfn.BYROW(B68,_xlfn.LAMBDA(_xlpm.party,
(SUMIFS(ledger!J:J,ledger!B:B,_xlpm.party,ledger!E:E,"&lt;&gt;*RD*",ledger!D:D,"Chamki",ledger!C:C,"&lt;&gt;September Closing CF")+
SUMIFS(ledger!J:J,ledger!B:B,_xlpm.party,ledger!E:E,"&lt;&gt;*RD*",ledger!D:D,"Crinkle",ledger!C:C,"&lt;&gt;September Closing CF")
))))</f>
        <v>0</v>
      </c>
      <c r="H68" s="23" cm="1">
        <f t="array" ref="H68">_xlfn.BYROW(B68, _xlfn.LAMBDA(_xlpm.party,
   SUMIFS(ledger!J:J, ledger!B:B, _xlpm.party, ledger!E:E, "&lt;&gt;*RD*", ledger!D:D, "Silky", ledger!C:C, "&lt;&gt;September Closing CF")
))</f>
        <v>0</v>
      </c>
      <c r="I68" s="23" cm="1">
        <f t="array" ref="I68">_xlfn.BYROW(B68, _xlfn.LAMBDA(_xlpm.party,
   SUMIFS(ledger!J:J, ledger!B:B, _xlpm.party, ledger!E:E, "&lt;&gt;*RD*", ledger!D:D, "Slub", ledger!C:C, "&lt;&gt;September Closing CF")
))</f>
        <v>0</v>
      </c>
      <c r="J68" s="23" cm="1">
        <f t="array" ref="J68">_xlfn.BYROW(B68, _xlfn.LAMBDA(_xlpm.party,
   SUMIFS(ledger!J:J, ledger!B:B, _xlpm.party, ledger!E:E, "&lt;&gt;*RD*", ledger!D:D, "Satin", ledger!C:C, "&lt;&gt;September Closing CF")
))</f>
        <v>0</v>
      </c>
      <c r="K68" s="44">
        <f t="shared" si="9"/>
        <v>0</v>
      </c>
      <c r="L68" s="23">
        <f>SUMIF(Table14[Party], B68, Table14[Credit])</f>
        <v>0</v>
      </c>
      <c r="M68" s="42">
        <f t="shared" si="11"/>
        <v>0</v>
      </c>
      <c r="N68" s="22">
        <v>10</v>
      </c>
      <c r="O68" s="22">
        <v>12</v>
      </c>
      <c r="X68" s="4" t="s">
        <v>170</v>
      </c>
      <c r="Y68" s="5">
        <v>69038.953913679594</v>
      </c>
      <c r="Z68" s="18">
        <v>690389.53913679591</v>
      </c>
    </row>
    <row r="69" spans="2:26" x14ac:dyDescent="0.3">
      <c r="C69" s="23"/>
      <c r="D69" s="23"/>
      <c r="E69" s="68"/>
      <c r="F69" s="22"/>
      <c r="G69" s="23" cm="1">
        <f t="array" ref="G69">(_xlfn.BYROW(B69,_xlfn.LAMBDA(_xlpm.party,
(SUMIFS(ledger!J:J,ledger!B:B,_xlpm.party,ledger!E:E,"&lt;&gt;*RD*",ledger!D:D,"Chamki",ledger!C:C,"&lt;&gt;September Closing CF")+
SUMIFS(ledger!J:J,ledger!B:B,_xlpm.party,ledger!E:E,"&lt;&gt;*RD*",ledger!D:D,"Crinkle",ledger!C:C,"&lt;&gt;September Closing CF")
))))</f>
        <v>0</v>
      </c>
      <c r="H69" s="23" cm="1">
        <f t="array" ref="H69">_xlfn.BYROW(B69, _xlfn.LAMBDA(_xlpm.party,
   SUMIFS(ledger!J:J, ledger!B:B, _xlpm.party, ledger!E:E, "&lt;&gt;*RD*", ledger!D:D, "Silky", ledger!C:C, "&lt;&gt;September Closing CF")
))</f>
        <v>0</v>
      </c>
      <c r="I69" s="23" cm="1">
        <f t="array" ref="I69">_xlfn.BYROW(B69, _xlfn.LAMBDA(_xlpm.party,
   SUMIFS(ledger!J:J, ledger!B:B, _xlpm.party, ledger!E:E, "&lt;&gt;*RD*", ledger!D:D, "Slub", ledger!C:C, "&lt;&gt;September Closing CF")
))</f>
        <v>0</v>
      </c>
      <c r="J69" s="23" cm="1">
        <f t="array" ref="J69">_xlfn.BYROW(B69, _xlfn.LAMBDA(_xlpm.party,
   SUMIFS(ledger!J:J, ledger!B:B, _xlpm.party, ledger!E:E, "&lt;&gt;*RD*", ledger!D:D, "Satin", ledger!C:C, "&lt;&gt;September Closing CF")
))</f>
        <v>0</v>
      </c>
      <c r="K69" s="44">
        <f t="shared" si="9"/>
        <v>0</v>
      </c>
      <c r="L69" s="23">
        <f>SUMIF(Table14[Party], B69, Table14[Credit])</f>
        <v>0</v>
      </c>
      <c r="M69" s="42">
        <f t="shared" si="11"/>
        <v>0</v>
      </c>
      <c r="N69" s="22">
        <v>10</v>
      </c>
      <c r="O69" s="22">
        <v>12</v>
      </c>
      <c r="X69" s="4" t="s">
        <v>173</v>
      </c>
      <c r="Y69" s="5">
        <v>0</v>
      </c>
      <c r="Z69" s="18">
        <v>0</v>
      </c>
    </row>
    <row r="70" spans="2:26" x14ac:dyDescent="0.3">
      <c r="X70" s="4" t="s">
        <v>180</v>
      </c>
      <c r="Y70" s="5">
        <v>0</v>
      </c>
      <c r="Z70" s="18">
        <v>0</v>
      </c>
    </row>
    <row r="71" spans="2:26" x14ac:dyDescent="0.3">
      <c r="X71" s="4" t="s">
        <v>181</v>
      </c>
      <c r="Y71" s="5">
        <v>0</v>
      </c>
      <c r="Z71" s="18">
        <v>0</v>
      </c>
    </row>
    <row r="72" spans="2:26" x14ac:dyDescent="0.3">
      <c r="X72" s="4" t="s">
        <v>183</v>
      </c>
      <c r="Y72" s="5">
        <v>0</v>
      </c>
      <c r="Z72" s="18">
        <v>0</v>
      </c>
    </row>
    <row r="73" spans="2:26" x14ac:dyDescent="0.3">
      <c r="X73" s="4" t="s">
        <v>198</v>
      </c>
      <c r="Y73" s="5">
        <v>34937.820043891734</v>
      </c>
      <c r="Z73" s="18">
        <v>383613.75274323334</v>
      </c>
    </row>
    <row r="74" spans="2:26" x14ac:dyDescent="0.3">
      <c r="X74" s="4" t="s">
        <v>28</v>
      </c>
      <c r="Y74" s="14">
        <v>525161.85076810536</v>
      </c>
      <c r="Z74" s="14">
        <v>5435790.0512070227</v>
      </c>
    </row>
    <row r="81" spans="2:15" x14ac:dyDescent="0.3">
      <c r="B81" t="s">
        <v>157</v>
      </c>
    </row>
    <row r="83" spans="2:15" x14ac:dyDescent="0.3">
      <c r="B83" t="s">
        <v>33</v>
      </c>
      <c r="C83" s="24" t="s">
        <v>10</v>
      </c>
      <c r="D83" s="24" t="s">
        <v>11</v>
      </c>
      <c r="E83" s="24" t="s">
        <v>12</v>
      </c>
      <c r="F83" s="24" t="s">
        <v>13</v>
      </c>
      <c r="G83" s="24" t="s">
        <v>14</v>
      </c>
      <c r="H83" s="24" t="s">
        <v>15</v>
      </c>
      <c r="I83" s="24"/>
      <c r="J83" s="24"/>
      <c r="K83" s="24" t="s">
        <v>16</v>
      </c>
      <c r="L83" s="24" t="s">
        <v>17</v>
      </c>
      <c r="M83" s="24" t="s">
        <v>18</v>
      </c>
      <c r="N83" s="24" t="s">
        <v>19</v>
      </c>
      <c r="O83" s="24" t="s">
        <v>20</v>
      </c>
    </row>
    <row r="84" spans="2:15" x14ac:dyDescent="0.3">
      <c r="B84" s="25" t="str" cm="1">
        <f t="array" ref="B84:B102">_xlfn.UNIQUE(Table1[Party Name])</f>
        <v>BSC</v>
      </c>
      <c r="C84" s="23">
        <f>_xlfn.XLOOKUP($B49,[1]Billing!$O$5:$O$29,[1]Billing!$P$5:$P$29)</f>
        <v>1665929</v>
      </c>
      <c r="D84" s="23">
        <f>_xlfn.XLOOKUP($B49,[1]Billing!$O$5:$O$29,[1]Billing!$Q$5:$Q$29)</f>
        <v>1523344.0014630579</v>
      </c>
      <c r="E84" s="23">
        <f>_xlfn.XLOOKUP($B49,[1]Billing!$O$5:$O$29,[1]Billing!$R$5:$R$29)</f>
        <v>1493155.6327724946</v>
      </c>
      <c r="F84" s="23">
        <f>_xlfn.XLOOKUP($B49,[1]Billing!$O$5:$O$29,[1]Billing!$S$5:$S$29)</f>
        <v>30188.368690563279</v>
      </c>
      <c r="G84" s="23">
        <f>_xlfn.XLOOKUP($B49,[1]Billing!$O$5:$O$29,[1]Billing!$T$5:$T$29)</f>
        <v>14931556.327724949</v>
      </c>
      <c r="H84" s="23">
        <f>_xlfn.XLOOKUP($B49,[1]Billing!$O$5:$O$29,[1]Billing!$U$5:$U$29)</f>
        <v>362260.42428675934</v>
      </c>
      <c r="I84" s="23"/>
      <c r="J84" s="23"/>
      <c r="K84" s="44">
        <f t="shared" ref="K84:K99" si="12">G84+H84</f>
        <v>15293816.752011707</v>
      </c>
      <c r="L84" s="23">
        <f>_xlfn.XLOOKUP($B49,[1]Billing!$O$5:$O$29,[1]Billing!$W$5:$W$29)</f>
        <v>12854653</v>
      </c>
      <c r="M84" s="42">
        <f>K84-L84</f>
        <v>2439163.7520117071</v>
      </c>
      <c r="N84" s="22">
        <v>10</v>
      </c>
      <c r="O84" s="22">
        <v>12</v>
      </c>
    </row>
    <row r="85" spans="2:15" x14ac:dyDescent="0.3">
      <c r="B85" s="25" t="str">
        <v>Ejaz Sahab</v>
      </c>
      <c r="C85" s="23">
        <f>_xlfn.XLOOKUP($B50,[1]Billing!$O$5:$O$29,[1]Billing!$P$5:$P$29)</f>
        <v>159072</v>
      </c>
      <c r="D85" s="23">
        <f>_xlfn.XLOOKUP($B50,[1]Billing!$O$5:$O$29,[1]Billing!$Q$5:$Q$29)</f>
        <v>145457.20555961962</v>
      </c>
      <c r="E85" s="23">
        <f>_xlfn.XLOOKUP($B50,[1]Billing!$O$5:$O$29,[1]Billing!$R$5:$R$29)</f>
        <v>130559.6196049744</v>
      </c>
      <c r="F85" s="23">
        <f>_xlfn.XLOOKUP($B50,[1]Billing!$O$5:$O$29,[1]Billing!$S$5:$S$29)</f>
        <v>14897.58595464521</v>
      </c>
      <c r="G85" s="23">
        <f>_xlfn.XLOOKUP($B50,[1]Billing!$O$5:$O$29,[1]Billing!$T$5:$T$29)</f>
        <v>1305596.196049744</v>
      </c>
      <c r="H85" s="23">
        <f>_xlfn.XLOOKUP($B50,[1]Billing!$O$5:$O$29,[1]Billing!$U$5:$U$29)</f>
        <v>178771.03145574252</v>
      </c>
      <c r="I85" s="23"/>
      <c r="J85" s="23"/>
      <c r="K85" s="44">
        <f t="shared" si="12"/>
        <v>1484367.2275054865</v>
      </c>
      <c r="L85" s="23">
        <f>_xlfn.XLOOKUP($B50,[1]Billing!$O$5:$O$29,[1]Billing!$W$5:$W$29)</f>
        <v>859904</v>
      </c>
      <c r="M85" s="42">
        <f>K85-L85</f>
        <v>624463.22750548646</v>
      </c>
      <c r="N85" s="22">
        <v>10</v>
      </c>
      <c r="O85" s="22">
        <v>12</v>
      </c>
    </row>
    <row r="86" spans="2:15" x14ac:dyDescent="0.3">
      <c r="B86" s="25" t="str">
        <v>Arshad</v>
      </c>
      <c r="C86" s="23">
        <f>_xlfn.XLOOKUP($B51,[1]Billing!$O$5:$O$29,[1]Billing!$P$5:$P$29)</f>
        <v>259748</v>
      </c>
      <c r="D86" s="23">
        <f>_xlfn.XLOOKUP($B51,[1]Billing!$O$5:$O$29,[1]Billing!$Q$5:$Q$29)</f>
        <v>237516.45940014633</v>
      </c>
      <c r="E86" s="23">
        <f>_xlfn.XLOOKUP($B51,[1]Billing!$O$5:$O$29,[1]Billing!$R$5:$R$29)</f>
        <v>222722.20190197515</v>
      </c>
      <c r="F86" s="23">
        <f>_xlfn.XLOOKUP($B51,[1]Billing!$O$5:$O$29,[1]Billing!$S$5:$S$29)</f>
        <v>14794.257498171179</v>
      </c>
      <c r="G86" s="23">
        <f>_xlfn.XLOOKUP($B51,[1]Billing!$O$5:$O$29,[1]Billing!$T$5:$T$29)</f>
        <v>2227222.0190197513</v>
      </c>
      <c r="H86" s="23">
        <f>_xlfn.XLOOKUP($B51,[1]Billing!$O$5:$O$29,[1]Billing!$U$5:$U$29)</f>
        <v>177531.08997805414</v>
      </c>
      <c r="I86" s="23"/>
      <c r="J86" s="23"/>
      <c r="K86" s="44">
        <f t="shared" si="12"/>
        <v>2404753.1089978055</v>
      </c>
      <c r="L86" s="23">
        <f>_xlfn.XLOOKUP($B51,[1]Billing!$O$5:$O$29,[1]Billing!$W$5:$W$29)</f>
        <v>2306701</v>
      </c>
      <c r="M86" s="42">
        <f>K86-L86</f>
        <v>98052.10899780551</v>
      </c>
      <c r="N86" s="22">
        <v>10</v>
      </c>
      <c r="O86" s="22">
        <v>12</v>
      </c>
    </row>
    <row r="87" spans="2:15" x14ac:dyDescent="0.3">
      <c r="B87" s="25" t="str">
        <v>Shehzad Kamoki</v>
      </c>
      <c r="C87" s="23">
        <f>_xlfn.XLOOKUP($B52,[1]Billing!$O$5:$O$29,[1]Billing!$P$5:$P$29)</f>
        <v>134607</v>
      </c>
      <c r="D87" s="23">
        <f>_xlfn.XLOOKUP($B52,[1]Billing!$O$5:$O$29,[1]Billing!$Q$5:$Q$29)</f>
        <v>123086.13752743235</v>
      </c>
      <c r="E87" s="23">
        <f>_xlfn.XLOOKUP($B52,[1]Billing!$O$5:$O$29,[1]Billing!$R$5:$R$29)</f>
        <v>123086.13752743235</v>
      </c>
      <c r="F87" s="23">
        <f>_xlfn.XLOOKUP($B52,[1]Billing!$O$5:$O$29,[1]Billing!$S$5:$S$29)</f>
        <v>0</v>
      </c>
      <c r="G87" s="23">
        <f>_xlfn.XLOOKUP($B52,[1]Billing!$O$5:$O$29,[1]Billing!$T$5:$T$29)</f>
        <v>1269270.3440380397</v>
      </c>
      <c r="H87" s="23">
        <f>_xlfn.XLOOKUP($B52,[1]Billing!$O$5:$O$29,[1]Billing!$U$5:$U$29)</f>
        <v>0</v>
      </c>
      <c r="I87" s="23"/>
      <c r="J87" s="23"/>
      <c r="K87" s="44">
        <f t="shared" si="12"/>
        <v>1269270.3440380397</v>
      </c>
      <c r="L87" s="23">
        <f>_xlfn.XLOOKUP($B52,[1]Billing!$O$5:$O$29,[1]Billing!$W$5:$W$29)</f>
        <v>1268740</v>
      </c>
      <c r="M87" s="42">
        <f t="shared" ref="M87:M99" si="13">K87-L87</f>
        <v>530.34403803967871</v>
      </c>
      <c r="N87" s="22">
        <v>10.5</v>
      </c>
      <c r="O87" s="22">
        <v>13</v>
      </c>
    </row>
    <row r="88" spans="2:15" x14ac:dyDescent="0.3">
      <c r="B88" s="25" t="str">
        <v>Sufi Nawaz Sahab</v>
      </c>
      <c r="C88" s="23">
        <f>_xlfn.XLOOKUP($B53,[1]Billing!$O$5:$O$29,[1]Billing!$P$5:$P$29)</f>
        <v>1186725</v>
      </c>
      <c r="D88" s="23">
        <f>_xlfn.XLOOKUP($B53,[1]Billing!$O$5:$O$29,[1]Billing!$Q$5:$Q$29)</f>
        <v>1085154.5354791514</v>
      </c>
      <c r="E88" s="23">
        <f>_xlfn.XLOOKUP($B53,[1]Billing!$O$5:$O$29,[1]Billing!$R$5:$R$29)</f>
        <v>599330.65106071695</v>
      </c>
      <c r="F88" s="23">
        <f>_xlfn.XLOOKUP($B53,[1]Billing!$O$5:$O$29,[1]Billing!$S$5:$S$29)</f>
        <v>485823.88441843458</v>
      </c>
      <c r="G88" s="23">
        <f>_xlfn.XLOOKUP($B53,[1]Billing!$O$5:$O$29,[1]Billing!$T$5:$T$29)</f>
        <v>5408917.8595464528</v>
      </c>
      <c r="H88" s="23">
        <f>_xlfn.XLOOKUP($B53,[1]Billing!$O$5:$O$29,[1]Billing!$U$5:$U$29)</f>
        <v>5829886.6130212145</v>
      </c>
      <c r="I88" s="23"/>
      <c r="J88" s="23"/>
      <c r="K88" s="44">
        <f t="shared" si="12"/>
        <v>11238804.472567666</v>
      </c>
      <c r="L88" s="23">
        <f>_xlfn.XLOOKUP($B53,[1]Billing!$O$5:$O$29,[1]Billing!$W$5:$W$29)</f>
        <v>8629100</v>
      </c>
      <c r="M88" s="42">
        <f t="shared" si="13"/>
        <v>2609704.4725676663</v>
      </c>
      <c r="N88" s="22">
        <v>10</v>
      </c>
      <c r="O88" s="22">
        <v>12</v>
      </c>
    </row>
    <row r="89" spans="2:15" x14ac:dyDescent="0.3">
      <c r="B89" s="25" t="str">
        <v>Sajad Khan</v>
      </c>
      <c r="C89" s="23">
        <f>_xlfn.XLOOKUP($B54,[1]Billing!$O$5:$O$29,[1]Billing!$P$5:$P$29)</f>
        <v>481660</v>
      </c>
      <c r="D89" s="23">
        <f>_xlfn.XLOOKUP($B54,[1]Billing!$O$5:$O$29,[1]Billing!$Q$5:$Q$29)</f>
        <v>440435.25969275786</v>
      </c>
      <c r="E89" s="23">
        <f>_xlfn.XLOOKUP($B54,[1]Billing!$O$5:$O$29,[1]Billing!$R$5:$R$29)</f>
        <v>440435.25969275786</v>
      </c>
      <c r="F89" s="23">
        <f>_xlfn.XLOOKUP($B54,[1]Billing!$O$5:$O$29,[1]Billing!$S$5:$S$29)</f>
        <v>0</v>
      </c>
      <c r="G89" s="23">
        <f>_xlfn.XLOOKUP($B54,[1]Billing!$O$5:$O$29,[1]Billing!$T$5:$T$29)</f>
        <v>4404352.5969275786</v>
      </c>
      <c r="H89" s="23">
        <f>_xlfn.XLOOKUP($B54,[1]Billing!$O$5:$O$29,[1]Billing!$U$5:$U$29)</f>
        <v>0</v>
      </c>
      <c r="I89" s="23"/>
      <c r="J89" s="23"/>
      <c r="K89" s="44">
        <f t="shared" si="12"/>
        <v>4404352.5969275786</v>
      </c>
      <c r="L89" s="23">
        <f>_xlfn.XLOOKUP($B54,[1]Billing!$O$5:$O$29,[1]Billing!$W$5:$W$29)</f>
        <v>3751266</v>
      </c>
      <c r="M89" s="42">
        <f t="shared" si="13"/>
        <v>653086.59692757856</v>
      </c>
      <c r="N89" s="22">
        <v>10</v>
      </c>
      <c r="O89" s="22">
        <v>12</v>
      </c>
    </row>
    <row r="90" spans="2:15" x14ac:dyDescent="0.3">
      <c r="B90" s="25" t="str">
        <v>Raaz Fabrics</v>
      </c>
      <c r="C90" s="23">
        <f>_xlfn.XLOOKUP($B55,[1]Billing!$O$5:$O$29,[1]Billing!$P$5:$P$29)</f>
        <v>75559</v>
      </c>
      <c r="D90" s="23">
        <f>_xlfn.XLOOKUP($B55,[1]Billing!$O$5:$O$29,[1]Billing!$Q$5:$Q$29)</f>
        <v>69091.989758595475</v>
      </c>
      <c r="E90" s="23">
        <f>_xlfn.XLOOKUP($B55,[1]Billing!$O$5:$O$29,[1]Billing!$R$5:$R$29)</f>
        <v>69091.989758595475</v>
      </c>
      <c r="F90" s="23">
        <f>_xlfn.XLOOKUP($B55,[1]Billing!$O$5:$O$29,[1]Billing!$S$5:$S$29)</f>
        <v>0</v>
      </c>
      <c r="G90" s="23">
        <f>_xlfn.XLOOKUP($B55,[1]Billing!$O$5:$O$29,[1]Billing!$T$5:$T$29)</f>
        <v>690919.89758595475</v>
      </c>
      <c r="H90" s="23">
        <f>_xlfn.XLOOKUP($B55,[1]Billing!$O$5:$O$29,[1]Billing!$U$5:$U$29)</f>
        <v>0</v>
      </c>
      <c r="I90" s="23"/>
      <c r="J90" s="23"/>
      <c r="K90" s="44">
        <f t="shared" si="12"/>
        <v>690919.89758595475</v>
      </c>
      <c r="L90" s="23">
        <f>_xlfn.XLOOKUP($B55,[1]Billing!$O$5:$O$29,[1]Billing!$W$5:$W$29)</f>
        <v>600000</v>
      </c>
      <c r="M90" s="42">
        <f t="shared" si="13"/>
        <v>90919.89758595475</v>
      </c>
      <c r="N90" s="22">
        <v>10</v>
      </c>
      <c r="O90" s="22">
        <v>12</v>
      </c>
    </row>
    <row r="91" spans="2:15" x14ac:dyDescent="0.3">
      <c r="B91" s="25" t="str">
        <v>Azam</v>
      </c>
      <c r="C91" s="23">
        <f>_xlfn.XLOOKUP($B56,[1]Billing!$O$5:$O$29,[1]Billing!$P$5:$P$29)</f>
        <v>176954</v>
      </c>
      <c r="D91" s="23">
        <f>_xlfn.XLOOKUP($B56,[1]Billing!$O$5:$O$29,[1]Billing!$Q$5:$Q$29)</f>
        <v>161808.70519385519</v>
      </c>
      <c r="E91" s="23">
        <f>_xlfn.XLOOKUP($B56,[1]Billing!$O$5:$O$29,[1]Billing!$R$5:$R$29)</f>
        <v>161808.70519385519</v>
      </c>
      <c r="F91" s="23">
        <f>_xlfn.XLOOKUP($B56,[1]Billing!$O$5:$O$29,[1]Billing!$S$5:$S$29)</f>
        <v>0</v>
      </c>
      <c r="G91" s="23">
        <f>_xlfn.XLOOKUP($B56,[1]Billing!$O$5:$O$29,[1]Billing!$T$5:$T$29)</f>
        <v>1618087.0519385519</v>
      </c>
      <c r="H91" s="23">
        <f>_xlfn.XLOOKUP($B56,[1]Billing!$O$5:$O$29,[1]Billing!$U$5:$U$29)</f>
        <v>0</v>
      </c>
      <c r="I91" s="23"/>
      <c r="J91" s="23"/>
      <c r="K91" s="44">
        <f t="shared" si="12"/>
        <v>1618087.0519385519</v>
      </c>
      <c r="L91" s="23">
        <f>_xlfn.XLOOKUP($B56,[1]Billing!$O$5:$O$29,[1]Billing!$W$5:$W$29)</f>
        <v>1617620</v>
      </c>
      <c r="M91" s="42">
        <f t="shared" si="13"/>
        <v>467.05193855194375</v>
      </c>
      <c r="N91" s="22">
        <v>10</v>
      </c>
      <c r="O91" s="22">
        <v>12</v>
      </c>
    </row>
    <row r="92" spans="2:15" x14ac:dyDescent="0.3">
      <c r="B92" s="22" t="str">
        <v>Ubaidullah</v>
      </c>
      <c r="C92" s="23">
        <f>_xlfn.XLOOKUP($B57,[1]Billing!$O$5:$O$29,[1]Billing!$P$5:$P$29)</f>
        <v>65752</v>
      </c>
      <c r="D92" s="23">
        <f>_xlfn.XLOOKUP($B57,[1]Billing!$O$5:$O$29,[1]Billing!$Q$5:$Q$29)</f>
        <v>60124.35991221654</v>
      </c>
      <c r="E92" s="23">
        <f>_xlfn.XLOOKUP($B57,[1]Billing!$O$5:$O$29,[1]Billing!$R$5:$R$29)</f>
        <v>45128.931967812736</v>
      </c>
      <c r="F92" s="23">
        <f>_xlfn.XLOOKUP($B57,[1]Billing!$O$5:$O$29,[1]Billing!$S$5:$S$29)</f>
        <v>14995.427944403806</v>
      </c>
      <c r="G92" s="23">
        <f>_xlfn.XLOOKUP($B57,[1]Billing!$O$5:$O$29,[1]Billing!$T$5:$T$29)</f>
        <v>451289.31967812736</v>
      </c>
      <c r="H92" s="23">
        <f>_xlfn.XLOOKUP($B57,[1]Billing!$O$5:$O$29,[1]Billing!$U$5:$U$29)</f>
        <v>179945.13533284568</v>
      </c>
      <c r="I92" s="23"/>
      <c r="J92" s="23"/>
      <c r="K92" s="44">
        <f t="shared" si="12"/>
        <v>631234.45501097303</v>
      </c>
      <c r="L92" s="23">
        <f>_xlfn.XLOOKUP($B57,[1]Billing!$O$5:$O$29,[1]Billing!$W$5:$W$29)</f>
        <v>451150</v>
      </c>
      <c r="M92" s="42">
        <f t="shared" si="13"/>
        <v>180084.45501097303</v>
      </c>
      <c r="N92" s="22">
        <v>10</v>
      </c>
      <c r="O92" s="22">
        <v>12</v>
      </c>
    </row>
    <row r="93" spans="2:15" x14ac:dyDescent="0.3">
      <c r="B93" s="22" t="str">
        <v>Ashraf Zia</v>
      </c>
      <c r="C93" s="23">
        <f>_xlfn.XLOOKUP($B58,[1]Billing!$O$5:$O$29,[1]Billing!$P$5:$P$29)</f>
        <v>23305</v>
      </c>
      <c r="D93" s="23">
        <f>_xlfn.XLOOKUP($B58,[1]Billing!$O$5:$O$29,[1]Billing!$Q$5:$Q$29)</f>
        <v>21310.35113386979</v>
      </c>
      <c r="E93" s="23">
        <f>_xlfn.XLOOKUP($B58,[1]Billing!$O$5:$O$29,[1]Billing!$R$5:$R$29)</f>
        <v>21310.35113386979</v>
      </c>
      <c r="F93" s="23">
        <f>_xlfn.XLOOKUP($B58,[1]Billing!$O$5:$O$29,[1]Billing!$S$5:$S$29)</f>
        <v>0</v>
      </c>
      <c r="G93" s="23">
        <f>_xlfn.XLOOKUP($B58,[1]Billing!$O$5:$O$29,[1]Billing!$T$5:$T$29)</f>
        <v>255724.21360643749</v>
      </c>
      <c r="H93" s="23">
        <f>_xlfn.XLOOKUP($B58,[1]Billing!$O$5:$O$29,[1]Billing!$U$5:$U$29)</f>
        <v>0</v>
      </c>
      <c r="I93" s="23"/>
      <c r="J93" s="23"/>
      <c r="K93" s="44">
        <f t="shared" si="12"/>
        <v>255724.21360643749</v>
      </c>
      <c r="L93" s="23">
        <f>_xlfn.XLOOKUP($B58,[1]Billing!$O$5:$O$29,[1]Billing!$W$5:$W$29)</f>
        <v>0</v>
      </c>
      <c r="M93" s="42">
        <f t="shared" si="13"/>
        <v>255724.21360643749</v>
      </c>
      <c r="N93" s="22">
        <v>12</v>
      </c>
      <c r="O93" s="22">
        <v>12</v>
      </c>
    </row>
    <row r="94" spans="2:15" x14ac:dyDescent="0.3">
      <c r="B94" s="22" t="str">
        <v>Hafiz Qureshi</v>
      </c>
      <c r="C94" s="23">
        <f>_xlfn.XLOOKUP($B59,[1]Billing!$O$5:$O$29,[1]Billing!$P$5:$P$29)</f>
        <v>48871</v>
      </c>
      <c r="D94" s="23">
        <f>_xlfn.XLOOKUP($B59,[1]Billing!$O$5:$O$29,[1]Billing!$Q$5:$Q$29)</f>
        <v>44688.185808339433</v>
      </c>
      <c r="E94" s="23">
        <f>_xlfn.XLOOKUP($B59,[1]Billing!$O$5:$O$29,[1]Billing!$R$5:$R$29)</f>
        <v>44688.185808339433</v>
      </c>
      <c r="F94" s="23">
        <f>_xlfn.XLOOKUP($B59,[1]Billing!$O$5:$O$29,[1]Billing!$S$5:$S$29)</f>
        <v>0</v>
      </c>
      <c r="G94" s="23">
        <f>_xlfn.XLOOKUP($B59,[1]Billing!$O$5:$O$29,[1]Billing!$T$5:$T$29)</f>
        <v>446881.85808339436</v>
      </c>
      <c r="H94" s="23">
        <f>_xlfn.XLOOKUP($B59,[1]Billing!$O$5:$O$29,[1]Billing!$U$5:$U$29)</f>
        <v>0</v>
      </c>
      <c r="I94" s="23"/>
      <c r="J94" s="23"/>
      <c r="K94" s="44">
        <f t="shared" si="12"/>
        <v>446881.85808339436</v>
      </c>
      <c r="L94" s="23">
        <f>_xlfn.XLOOKUP($B59,[1]Billing!$O$5:$O$29,[1]Billing!$W$5:$W$29)</f>
        <v>400000</v>
      </c>
      <c r="M94" s="42">
        <f t="shared" si="13"/>
        <v>46881.858083394356</v>
      </c>
      <c r="N94" s="22">
        <v>10</v>
      </c>
      <c r="O94" s="22">
        <v>12</v>
      </c>
    </row>
    <row r="95" spans="2:15" x14ac:dyDescent="0.3">
      <c r="B95" s="22" t="str">
        <v>Badshah Fabrics</v>
      </c>
      <c r="C95" s="23">
        <f>_xlfn.XLOOKUP($B60,[1]Billing!$O$5:$O$29,[1]Billing!$P$5:$P$29)</f>
        <v>276597</v>
      </c>
      <c r="D95" s="23">
        <f>_xlfn.XLOOKUP($B60,[1]Billing!$O$5:$O$29,[1]Billing!$Q$5:$Q$29)</f>
        <v>252923.37234820778</v>
      </c>
      <c r="E95" s="23">
        <f>_xlfn.XLOOKUP($B60,[1]Billing!$O$5:$O$29,[1]Billing!$R$5:$R$29)</f>
        <v>189768.65398683251</v>
      </c>
      <c r="F95" s="23">
        <f>_xlfn.XLOOKUP($B60,[1]Billing!$O$5:$O$29,[1]Billing!$S$5:$S$29)</f>
        <v>63154.718361375279</v>
      </c>
      <c r="G95" s="23">
        <f>_xlfn.XLOOKUP($B60,[1]Billing!$O$5:$O$29,[1]Billing!$T$5:$T$29)</f>
        <v>1897686.539868325</v>
      </c>
      <c r="H95" s="23">
        <f>_xlfn.XLOOKUP($B60,[1]Billing!$O$5:$O$29,[1]Billing!$U$5:$U$29)</f>
        <v>757856.62033650337</v>
      </c>
      <c r="I95" s="23"/>
      <c r="J95" s="23"/>
      <c r="K95" s="44">
        <f t="shared" si="12"/>
        <v>2655543.1602048283</v>
      </c>
      <c r="L95" s="23">
        <f>_xlfn.XLOOKUP($B60,[1]Billing!$O$5:$O$29,[1]Billing!$W$5:$W$29)</f>
        <v>1370000</v>
      </c>
      <c r="M95" s="42">
        <f t="shared" si="13"/>
        <v>1285543.1602048283</v>
      </c>
      <c r="N95" s="22">
        <v>10</v>
      </c>
      <c r="O95" s="22">
        <v>12</v>
      </c>
    </row>
    <row r="96" spans="2:15" x14ac:dyDescent="0.3">
      <c r="B96" s="22" t="str">
        <v>Reject</v>
      </c>
      <c r="C96" s="23">
        <f>_xlfn.XLOOKUP($B61,[1]Billing!$O$5:$O$29,[1]Billing!$P$5:$P$29)</f>
        <v>0</v>
      </c>
      <c r="D96" s="23">
        <f>_xlfn.XLOOKUP($B61,[1]Billing!$O$5:$O$29,[1]Billing!$Q$5:$Q$29)</f>
        <v>0</v>
      </c>
      <c r="E96" s="23">
        <f>_xlfn.XLOOKUP($B61,[1]Billing!$O$5:$O$29,[1]Billing!$R$5:$R$29)</f>
        <v>0</v>
      </c>
      <c r="F96" s="23">
        <f>_xlfn.XLOOKUP($B61,[1]Billing!$O$5:$O$29,[1]Billing!$S$5:$S$29)</f>
        <v>0</v>
      </c>
      <c r="G96" s="23">
        <f>_xlfn.XLOOKUP($B61,[1]Billing!$O$5:$O$29,[1]Billing!$T$5:$T$29)</f>
        <v>0</v>
      </c>
      <c r="H96" s="23">
        <f>_xlfn.XLOOKUP($B61,[1]Billing!$O$5:$O$29,[1]Billing!$U$5:$U$29)</f>
        <v>0</v>
      </c>
      <c r="I96" s="23"/>
      <c r="J96" s="23"/>
      <c r="K96" s="44">
        <f t="shared" si="12"/>
        <v>0</v>
      </c>
      <c r="L96" s="23">
        <f>_xlfn.XLOOKUP($B61,[1]Billing!$O$5:$O$29,[1]Billing!$W$5:$W$29)</f>
        <v>0</v>
      </c>
      <c r="M96" s="42">
        <f t="shared" si="13"/>
        <v>0</v>
      </c>
      <c r="N96" s="22">
        <v>10</v>
      </c>
      <c r="O96" s="22">
        <v>12</v>
      </c>
    </row>
    <row r="97" spans="2:15" x14ac:dyDescent="0.3">
      <c r="B97" s="22" t="str">
        <v>Amjad 7up</v>
      </c>
      <c r="C97" s="23">
        <f>_xlfn.XLOOKUP($B62,[1]Billing!$O$5:$O$29,[1]Billing!$P$5:$P$29)</f>
        <v>52914</v>
      </c>
      <c r="D97" s="23">
        <f>_xlfn.XLOOKUP($B62,[1]Billing!$O$5:$O$29,[1]Billing!$Q$5:$Q$29)</f>
        <v>48385.149963423559</v>
      </c>
      <c r="E97" s="23">
        <f>_xlfn.XLOOKUP($B62,[1]Billing!$O$5:$O$29,[1]Billing!$R$5:$R$29)</f>
        <v>48385.149963423559</v>
      </c>
      <c r="F97" s="23">
        <f>_xlfn.XLOOKUP($B62,[1]Billing!$O$5:$O$29,[1]Billing!$S$5:$S$29)</f>
        <v>0</v>
      </c>
      <c r="G97" s="23">
        <f>_xlfn.XLOOKUP($B62,[1]Billing!$O$5:$O$29,[1]Billing!$T$5:$T$29)</f>
        <v>483851.49963423557</v>
      </c>
      <c r="H97" s="23">
        <f>_xlfn.XLOOKUP($B62,[1]Billing!$O$5:$O$29,[1]Billing!$U$5:$U$29)</f>
        <v>0</v>
      </c>
      <c r="I97" s="23"/>
      <c r="J97" s="23"/>
      <c r="K97" s="44">
        <f t="shared" si="12"/>
        <v>483851.49963423557</v>
      </c>
      <c r="L97" s="23">
        <f>_xlfn.XLOOKUP($B62,[1]Billing!$O$5:$O$29,[1]Billing!$W$5:$W$29)</f>
        <v>0</v>
      </c>
      <c r="M97" s="42">
        <f t="shared" si="13"/>
        <v>483851.49963423557</v>
      </c>
      <c r="N97" s="22">
        <v>10</v>
      </c>
      <c r="O97" s="22">
        <v>12</v>
      </c>
    </row>
    <row r="98" spans="2:15" x14ac:dyDescent="0.3">
      <c r="B98" s="22" t="str">
        <v>Hazrat Khan</v>
      </c>
      <c r="C98" s="23">
        <f>_xlfn.XLOOKUP($B63,[1]Billing!$O$5:$O$29,[1]Billing!$P$5:$P$29)</f>
        <v>9750</v>
      </c>
      <c r="D98" s="23">
        <f>_xlfn.XLOOKUP($B63,[1]Billing!$O$5:$O$29,[1]Billing!$Q$5:$Q$29)</f>
        <v>8915.5084125822978</v>
      </c>
      <c r="E98" s="23">
        <f>_xlfn.XLOOKUP($B63,[1]Billing!$O$5:$O$29,[1]Billing!$R$5:$R$29)</f>
        <v>8915.5084125822978</v>
      </c>
      <c r="F98" s="23">
        <f>_xlfn.XLOOKUP($B63,[1]Billing!$O$5:$O$29,[1]Billing!$S$5:$S$29)</f>
        <v>0</v>
      </c>
      <c r="G98" s="23">
        <f>_xlfn.XLOOKUP($B63,[1]Billing!$O$5:$O$29,[1]Billing!$T$5:$T$29)</f>
        <v>89155.084125822978</v>
      </c>
      <c r="H98" s="23">
        <f>_xlfn.XLOOKUP($B63,[1]Billing!$O$5:$O$29,[1]Billing!$U$5:$U$29)</f>
        <v>0</v>
      </c>
      <c r="I98" s="23"/>
      <c r="J98" s="23"/>
      <c r="K98" s="44">
        <f t="shared" si="12"/>
        <v>89155.084125822978</v>
      </c>
      <c r="L98" s="23">
        <f>_xlfn.XLOOKUP($B63,[1]Billing!$O$5:$O$29,[1]Billing!$W$5:$W$29)</f>
        <v>0</v>
      </c>
      <c r="M98" s="42">
        <f t="shared" si="13"/>
        <v>89155.084125822978</v>
      </c>
      <c r="N98" s="22">
        <v>10</v>
      </c>
      <c r="O98" s="22">
        <v>12</v>
      </c>
    </row>
    <row r="99" spans="2:15" x14ac:dyDescent="0.3">
      <c r="B99" s="22" t="str">
        <v>Haseeb Shamsi</v>
      </c>
      <c r="C99" s="23">
        <f>_xlfn.XLOOKUP($B64,[1]Billing!$O$5:$O$29,[1]Billing!$P$5:$P$29)</f>
        <v>28026</v>
      </c>
      <c r="D99" s="23">
        <f>_xlfn.XLOOKUP($B64,[1]Billing!$O$5:$O$29,[1]Billing!$Q$5:$Q$29)</f>
        <v>25627.286027798102</v>
      </c>
      <c r="E99" s="23">
        <f>_xlfn.XLOOKUP($B64,[1]Billing!$O$5:$O$29,[1]Billing!$R$5:$R$29)</f>
        <v>25627.286027798102</v>
      </c>
      <c r="F99" s="23">
        <f>_xlfn.XLOOKUP($B64,[1]Billing!$O$5:$O$29,[1]Billing!$S$5:$S$29)</f>
        <v>0</v>
      </c>
      <c r="G99" s="23">
        <f>_xlfn.XLOOKUP($B64,[1]Billing!$O$5:$O$29,[1]Billing!$T$5:$T$29)</f>
        <v>256272.86027798103</v>
      </c>
      <c r="H99" s="23">
        <f>_xlfn.XLOOKUP($B64,[1]Billing!$O$5:$O$29,[1]Billing!$U$5:$U$29)</f>
        <v>0</v>
      </c>
      <c r="I99" s="23"/>
      <c r="J99" s="23"/>
      <c r="K99" s="44">
        <f t="shared" si="12"/>
        <v>256272.86027798103</v>
      </c>
      <c r="L99" s="23">
        <f>_xlfn.XLOOKUP($B64,[1]Billing!$O$5:$O$29,[1]Billing!$W$5:$W$29)</f>
        <v>0</v>
      </c>
      <c r="M99" s="42">
        <f t="shared" si="13"/>
        <v>256272.86027798103</v>
      </c>
      <c r="N99" s="22">
        <v>10</v>
      </c>
      <c r="O99" s="22">
        <v>12</v>
      </c>
    </row>
    <row r="100" spans="2:15" x14ac:dyDescent="0.3">
      <c r="B100" t="str">
        <v>Faizan</v>
      </c>
    </row>
    <row r="101" spans="2:15" x14ac:dyDescent="0.3">
      <c r="B101" t="str">
        <v>Shafique Ansari</v>
      </c>
    </row>
    <row r="102" spans="2:15" x14ac:dyDescent="0.3">
      <c r="B102" t="str">
        <v>Amjad sohail</v>
      </c>
    </row>
  </sheetData>
  <phoneticPr fontId="4" type="noConversion"/>
  <pageMargins left="0.7" right="0.7" top="0.75" bottom="0.75" header="0.3" footer="0.3"/>
  <pageSetup paperSize="121" orientation="landscape"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7D53AD-D664-44CF-A1E1-2DB6CE627410}">
  <dimension ref="B4:J22"/>
  <sheetViews>
    <sheetView topLeftCell="A4" zoomScale="105" workbookViewId="0">
      <selection activeCell="D11" sqref="D11"/>
    </sheetView>
  </sheetViews>
  <sheetFormatPr defaultRowHeight="14.4" x14ac:dyDescent="0.3"/>
  <cols>
    <col min="2" max="2" width="23.109375" customWidth="1"/>
    <col min="3" max="3" width="14.6640625" customWidth="1"/>
    <col min="4" max="4" width="16.6640625" bestFit="1" customWidth="1"/>
    <col min="5" max="5" width="20.33203125" customWidth="1"/>
    <col min="9" max="9" width="11.6640625" customWidth="1"/>
    <col min="10" max="10" width="12.88671875" customWidth="1"/>
  </cols>
  <sheetData>
    <row r="4" spans="2:10" ht="15.6" x14ac:dyDescent="0.3">
      <c r="C4" s="67"/>
      <c r="D4" s="67"/>
      <c r="I4" t="s">
        <v>34</v>
      </c>
      <c r="J4" t="str" cm="1">
        <f t="array" ref="J4:J22">_xlfn.UNIQUE(Table1[Party Name])</f>
        <v>BSC</v>
      </c>
    </row>
    <row r="5" spans="2:10" x14ac:dyDescent="0.3">
      <c r="J5" t="str">
        <v>Ejaz Sahab</v>
      </c>
    </row>
    <row r="6" spans="2:10" ht="21" x14ac:dyDescent="0.4">
      <c r="B6" s="69" t="s">
        <v>227</v>
      </c>
      <c r="J6" t="str">
        <v>Arshad</v>
      </c>
    </row>
    <row r="7" spans="2:10" ht="15.6" x14ac:dyDescent="0.3">
      <c r="B7" s="67" t="s">
        <v>36</v>
      </c>
      <c r="C7" s="67" t="s">
        <v>4</v>
      </c>
      <c r="D7" s="67" t="s">
        <v>153</v>
      </c>
      <c r="E7" s="67" t="s">
        <v>154</v>
      </c>
      <c r="J7" t="str">
        <v>Shehzad Kamoki</v>
      </c>
    </row>
    <row r="8" spans="2:10" ht="18" x14ac:dyDescent="0.35">
      <c r="B8" s="60" t="s">
        <v>37</v>
      </c>
      <c r="C8" s="71"/>
      <c r="D8" s="73" cm="1">
        <f t="array" ref="D8">_xlfn.XLOOKUP($B$6,_xlfn.ANCHORARRAY( Billing!Q5), INDEX(Billing!R5:R25, _xlfn.SEQUENCE(ROWS(_xlfn.ANCHORARRAY(Billing!$Q$5)))), "Not Found")</f>
        <v>82290</v>
      </c>
      <c r="E8" s="71"/>
      <c r="J8" t="str">
        <v>Sufi Nawaz Sahab</v>
      </c>
    </row>
    <row r="9" spans="2:10" ht="18" x14ac:dyDescent="0.35">
      <c r="B9" s="60"/>
      <c r="C9" s="71"/>
      <c r="D9" s="71"/>
      <c r="E9" s="71"/>
      <c r="J9" t="str">
        <v>Sajad Khan</v>
      </c>
    </row>
    <row r="10" spans="2:10" ht="18" x14ac:dyDescent="0.35">
      <c r="B10" s="60" t="s">
        <v>38</v>
      </c>
      <c r="C10" s="71"/>
      <c r="D10" s="73" cm="1">
        <f t="array" ref="D10">_xlfn.XLOOKUP($B$6,_xlfn.ANCHORARRAY( Billing!$Q$5), INDEX(Billing!S5:S25, _xlfn.SEQUENCE(ROWS(_xlfn.ANCHORARRAY(Billing!$Q$5)))), "Not Found")</f>
        <v>75246.891002194592</v>
      </c>
      <c r="E10" s="71"/>
      <c r="J10" t="str">
        <v>Raaz Fabrics</v>
      </c>
    </row>
    <row r="11" spans="2:10" ht="18.600000000000001" thickBot="1" x14ac:dyDescent="0.4">
      <c r="B11" s="60"/>
      <c r="C11" s="71"/>
      <c r="D11" s="71"/>
      <c r="E11" s="71"/>
      <c r="J11" t="str">
        <v>Azam</v>
      </c>
    </row>
    <row r="12" spans="2:10" ht="18.600000000000001" thickBot="1" x14ac:dyDescent="0.4">
      <c r="B12" s="60" t="s">
        <v>39</v>
      </c>
      <c r="C12" s="71" cm="1">
        <f t="array" aca="1" ref="C12" ca="1">_xlfn.XLOOKUP($B$6,_xlfn.ANCHORARRAY( Billing!$B$49), OFFSET(Billing!N49, 0, 0, ROWS(_xlfn.ANCHORARRAY(Billing!$B$49))), "Not Found")</f>
        <v>10</v>
      </c>
      <c r="D12" s="71" cm="1">
        <f t="array" ref="D12">_xlfn.XLOOKUP($B$6,_xlfn.ANCHORARRAY( Billing!$Q$5), INDEX(Billing!T5:T25, _xlfn.SEQUENCE(ROWS(_xlfn.ANCHORARRAY(Billing!$Q$5)))), "Not Found")</f>
        <v>64300.475493782011</v>
      </c>
      <c r="E12" s="97">
        <f ca="1">Table21[[#This Row],[gazana]]*Table21[[#This Row],[Rate]]</f>
        <v>643004.75493782014</v>
      </c>
      <c r="J12" t="str">
        <v>Ubaidullah</v>
      </c>
    </row>
    <row r="13" spans="2:10" ht="18" x14ac:dyDescent="0.35">
      <c r="B13" s="70"/>
      <c r="C13" s="72"/>
      <c r="D13" s="72"/>
      <c r="E13" s="71"/>
      <c r="J13" t="str">
        <v>Ashraf Zia</v>
      </c>
    </row>
    <row r="14" spans="2:10" ht="18" x14ac:dyDescent="0.35">
      <c r="B14" s="60" t="s">
        <v>40</v>
      </c>
      <c r="C14" s="71" cm="1">
        <f t="array" aca="1" ref="C14" ca="1">_xlfn.XLOOKUP($B$6,_xlfn.ANCHORARRAY( Billing!$B$49), OFFSET(Billing!O49, 0, 0, ROWS(_xlfn.ANCHORARRAY(Billing!$B$49))), "Not Found")</f>
        <v>12</v>
      </c>
      <c r="D14" s="71" cm="1">
        <f t="array" ref="D14">_xlfn.XLOOKUP($B$6,_xlfn.ANCHORARRAY( Billing!$Q$5), INDEX(Billing!U5:U25, _xlfn.SEQUENCE(ROWS(_xlfn.ANCHORARRAY(Billing!$Q$5)))), "Not Found")</f>
        <v>7565.8376005852242</v>
      </c>
      <c r="E14" s="71">
        <f ca="1">Table21[[#This Row],[gazana]]*Table21[[#This Row],[Rate]]</f>
        <v>90790.051207022683</v>
      </c>
      <c r="J14" t="str">
        <v>Hafiz Qureshi</v>
      </c>
    </row>
    <row r="15" spans="2:10" ht="18.600000000000001" thickBot="1" x14ac:dyDescent="0.4">
      <c r="B15" s="70"/>
      <c r="C15" s="72"/>
      <c r="D15" s="72"/>
      <c r="E15" s="71"/>
      <c r="J15" t="str">
        <v>Badshah Fabrics</v>
      </c>
    </row>
    <row r="16" spans="2:10" ht="18.600000000000001" thickBot="1" x14ac:dyDescent="0.4">
      <c r="B16" s="60" t="s">
        <v>41</v>
      </c>
      <c r="C16" s="71"/>
      <c r="D16" s="96"/>
      <c r="E16" s="98">
        <f ca="1">E12+E14</f>
        <v>733794.80614484288</v>
      </c>
      <c r="J16" t="str">
        <v>Reject</v>
      </c>
    </row>
    <row r="17" spans="2:10" ht="18.600000000000001" thickBot="1" x14ac:dyDescent="0.4">
      <c r="B17" s="70"/>
      <c r="C17" s="72"/>
      <c r="D17" s="74"/>
      <c r="E17" s="71"/>
      <c r="J17" t="str">
        <v>Amjad 7up</v>
      </c>
    </row>
    <row r="18" spans="2:10" ht="18.600000000000001" thickBot="1" x14ac:dyDescent="0.4">
      <c r="B18" s="60" t="s">
        <v>42</v>
      </c>
      <c r="C18" s="71"/>
      <c r="D18" s="96"/>
      <c r="E18" s="98" cm="1">
        <f t="array" aca="1" ref="E18" ca="1">_xlfn.XLOOKUP($B$6,_xlfn.ANCHORARRAY( Billing!Q5), OFFSET(Billing!AA5, 0, 0, ROWS(_xlfn.ANCHORARRAY(Billing!Q5))), "Not Found")</f>
        <v>98000</v>
      </c>
      <c r="J18" t="str">
        <v>Hazrat Khan</v>
      </c>
    </row>
    <row r="19" spans="2:10" ht="18.600000000000001" thickBot="1" x14ac:dyDescent="0.4">
      <c r="B19" s="60"/>
      <c r="C19" s="71"/>
      <c r="D19" s="73"/>
      <c r="E19" s="71"/>
      <c r="J19" t="str">
        <v>Haseeb Shamsi</v>
      </c>
    </row>
    <row r="20" spans="2:10" ht="18.600000000000001" thickBot="1" x14ac:dyDescent="0.4">
      <c r="B20" s="60" t="s">
        <v>43</v>
      </c>
      <c r="C20" s="71"/>
      <c r="D20" s="96"/>
      <c r="E20" s="99" cm="1">
        <f t="array" aca="1" ref="E20" ca="1">_xlfn.XLOOKUP($B$6,_xlfn.ANCHORARRAY( Billing!Q5), OFFSET(Billing!AB5, 0, 0, ROWS(_xlfn.ANCHORARRAY(Billing!Q5))), "Not Found")</f>
        <v>643360.64374542807</v>
      </c>
      <c r="J20" t="str">
        <v>Faizan</v>
      </c>
    </row>
    <row r="21" spans="2:10" x14ac:dyDescent="0.3">
      <c r="J21" t="str">
        <v>Shafique Ansari</v>
      </c>
    </row>
    <row r="22" spans="2:10" x14ac:dyDescent="0.3">
      <c r="J22" t="str">
        <v>Amjad sohail</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267F4A-599E-4FA7-83B0-FA30D9237F09}">
  <dimension ref="A1:D22"/>
  <sheetViews>
    <sheetView topLeftCell="A4" zoomScale="150" workbookViewId="0">
      <selection activeCell="C14" sqref="C14"/>
    </sheetView>
  </sheetViews>
  <sheetFormatPr defaultRowHeight="14.4" x14ac:dyDescent="0.3"/>
  <cols>
    <col min="2" max="2" width="12.5546875" customWidth="1"/>
    <col min="3" max="3" width="14.5546875" customWidth="1"/>
    <col min="4" max="4" width="28.6640625" customWidth="1"/>
    <col min="5" max="5" width="23.21875" customWidth="1"/>
    <col min="7" max="7" width="14.6640625" bestFit="1" customWidth="1"/>
    <col min="8" max="8" width="12.33203125" bestFit="1" customWidth="1"/>
    <col min="9" max="9" width="13.5546875" bestFit="1" customWidth="1"/>
    <col min="10" max="11" width="7.88671875" bestFit="1" customWidth="1"/>
    <col min="12" max="12" width="1.6640625" bestFit="1" customWidth="1"/>
    <col min="13" max="13" width="10.44140625" bestFit="1" customWidth="1"/>
    <col min="14" max="14" width="5.6640625" bestFit="1" customWidth="1"/>
    <col min="15" max="15" width="10.44140625" bestFit="1" customWidth="1"/>
    <col min="16" max="16" width="5" bestFit="1" customWidth="1"/>
    <col min="17" max="19" width="6" bestFit="1" customWidth="1"/>
    <col min="20" max="21" width="7" bestFit="1" customWidth="1"/>
    <col min="22" max="22" width="1.6640625" bestFit="1" customWidth="1"/>
    <col min="23" max="23" width="10.44140625" bestFit="1" customWidth="1"/>
  </cols>
  <sheetData>
    <row r="1" spans="1:4" ht="25.8" x14ac:dyDescent="0.5">
      <c r="A1" s="6"/>
      <c r="B1" s="7" t="s">
        <v>44</v>
      </c>
    </row>
    <row r="3" spans="1:4" x14ac:dyDescent="0.3">
      <c r="B3" t="s">
        <v>45</v>
      </c>
      <c r="C3" t="s">
        <v>46</v>
      </c>
      <c r="D3" t="s">
        <v>36</v>
      </c>
    </row>
    <row r="4" spans="1:4" x14ac:dyDescent="0.3">
      <c r="B4" t="s">
        <v>47</v>
      </c>
      <c r="C4" s="11">
        <f>Wood!K6+((317*775)+ (100*650))</f>
        <v>4597065</v>
      </c>
      <c r="D4" t="s">
        <v>228</v>
      </c>
    </row>
    <row r="5" spans="1:4" x14ac:dyDescent="0.3">
      <c r="B5" t="s">
        <v>48</v>
      </c>
      <c r="C5" s="11">
        <f>SUM(Table8[Price])+Table2325[[#Totals],[total]]</f>
        <v>179750</v>
      </c>
    </row>
    <row r="6" spans="1:4" x14ac:dyDescent="0.3">
      <c r="B6" t="s">
        <v>49</v>
      </c>
      <c r="C6" s="11">
        <f>SUM(Table2[Price])+Finish!J30</f>
        <v>779916.66666666663</v>
      </c>
      <c r="D6" t="s">
        <v>229</v>
      </c>
    </row>
    <row r="7" spans="1:4" x14ac:dyDescent="0.3">
      <c r="B7" t="s">
        <v>50</v>
      </c>
      <c r="C7" s="11">
        <f>SUMIFS(Table14[Debit], Table14[Party],Table12[[#This Row],[Type]])</f>
        <v>14810</v>
      </c>
    </row>
    <row r="8" spans="1:4" x14ac:dyDescent="0.3">
      <c r="B8" t="s">
        <v>51</v>
      </c>
      <c r="C8" s="11">
        <f>Electricity!E3</f>
        <v>0</v>
      </c>
    </row>
    <row r="9" spans="1:4" x14ac:dyDescent="0.3">
      <c r="B9" t="s">
        <v>52</v>
      </c>
      <c r="C9" s="11">
        <f>Table11[[#Totals],[Amount]]+'Salary Acc'!I36</f>
        <v>50250</v>
      </c>
    </row>
    <row r="10" spans="1:4" x14ac:dyDescent="0.3">
      <c r="B10" t="s">
        <v>53</v>
      </c>
      <c r="C10" s="11">
        <f>Table5[[#Totals],[Amount]]</f>
        <v>38245</v>
      </c>
    </row>
    <row r="11" spans="1:4" x14ac:dyDescent="0.3">
      <c r="B11" t="s">
        <v>54</v>
      </c>
      <c r="C11" s="11">
        <f>Table13[[#Totals],[Debit]]</f>
        <v>0</v>
      </c>
    </row>
    <row r="12" spans="1:4" x14ac:dyDescent="0.3">
      <c r="B12" t="s">
        <v>55</v>
      </c>
      <c r="C12" s="11">
        <f>Table15[[#Totals],[Amount]]</f>
        <v>224720</v>
      </c>
    </row>
    <row r="13" spans="1:4" x14ac:dyDescent="0.3">
      <c r="C13" s="11"/>
    </row>
    <row r="14" spans="1:4" x14ac:dyDescent="0.3">
      <c r="C14" s="14">
        <f>SUM(Table12[Amount])</f>
        <v>5884756.666666667</v>
      </c>
    </row>
    <row r="17" spans="2:4" x14ac:dyDescent="0.3">
      <c r="B17" t="s">
        <v>56</v>
      </c>
    </row>
    <row r="18" spans="2:4" x14ac:dyDescent="0.3">
      <c r="B18" t="s">
        <v>57</v>
      </c>
      <c r="C18" t="s">
        <v>58</v>
      </c>
      <c r="D18" t="s">
        <v>59</v>
      </c>
    </row>
    <row r="19" spans="2:4" x14ac:dyDescent="0.3">
      <c r="B19" t="s">
        <v>47</v>
      </c>
      <c r="C19">
        <f>388+236+100+288</f>
        <v>1012</v>
      </c>
      <c r="D19" t="s">
        <v>60</v>
      </c>
    </row>
    <row r="20" spans="2:4" x14ac:dyDescent="0.3">
      <c r="B20" t="s">
        <v>61</v>
      </c>
      <c r="C20">
        <v>100</v>
      </c>
      <c r="D20" t="s">
        <v>62</v>
      </c>
    </row>
    <row r="21" spans="2:4" x14ac:dyDescent="0.3">
      <c r="B21" t="s">
        <v>63</v>
      </c>
      <c r="C21">
        <v>75</v>
      </c>
      <c r="D21" t="s">
        <v>62</v>
      </c>
    </row>
    <row r="22" spans="2:4" x14ac:dyDescent="0.3">
      <c r="B22" t="s">
        <v>64</v>
      </c>
      <c r="C22" t="s">
        <v>65</v>
      </c>
    </row>
  </sheetData>
  <phoneticPr fontId="4" type="noConversion"/>
  <pageMargins left="0.7" right="0.7" top="0.75" bottom="0.75" header="0.3" footer="0.3"/>
  <pageSetup orientation="portrait"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319B88-176D-4283-9F20-7A53851A72BB}">
  <dimension ref="A2:F21"/>
  <sheetViews>
    <sheetView topLeftCell="A7" zoomScale="111" workbookViewId="0">
      <selection activeCell="D4" sqref="D4"/>
    </sheetView>
  </sheetViews>
  <sheetFormatPr defaultRowHeight="14.4" x14ac:dyDescent="0.3"/>
  <cols>
    <col min="2" max="2" width="11.6640625" customWidth="1"/>
    <col min="3" max="3" width="13" bestFit="1" customWidth="1"/>
    <col min="6" max="6" width="11.109375" customWidth="1"/>
    <col min="8" max="8" width="10.44140625" bestFit="1" customWidth="1"/>
  </cols>
  <sheetData>
    <row r="2" spans="1:3" x14ac:dyDescent="0.3">
      <c r="B2" s="11" t="s">
        <v>66</v>
      </c>
      <c r="C2" s="11" t="s">
        <v>67</v>
      </c>
    </row>
    <row r="3" spans="1:3" x14ac:dyDescent="0.3">
      <c r="B3" s="11" t="s">
        <v>0</v>
      </c>
      <c r="C3" s="11">
        <f ca="1">Billing!C23 + SUMIFS(Table14[Credit], Table14[Party], "Transport")</f>
        <v>2074765.910753475</v>
      </c>
    </row>
    <row r="4" spans="1:3" x14ac:dyDescent="0.3">
      <c r="B4" s="11" t="s">
        <v>44</v>
      </c>
      <c r="C4" s="11">
        <f>Table12[[#Totals],[Amount]]</f>
        <v>5884756.666666667</v>
      </c>
    </row>
    <row r="5" spans="1:3" x14ac:dyDescent="0.3">
      <c r="A5" s="6"/>
      <c r="B5" s="15" t="s">
        <v>68</v>
      </c>
      <c r="C5" s="15">
        <f ca="1">C3-C4</f>
        <v>-3809990.7559131919</v>
      </c>
    </row>
    <row r="10" spans="1:3" ht="15" thickBot="1" x14ac:dyDescent="0.35">
      <c r="B10" t="s">
        <v>66</v>
      </c>
      <c r="C10" s="14" t="s">
        <v>67</v>
      </c>
    </row>
    <row r="11" spans="1:3" x14ac:dyDescent="0.3">
      <c r="B11" s="61" t="s">
        <v>0</v>
      </c>
      <c r="C11" s="62">
        <f ca="1">C3</f>
        <v>2074765.910753475</v>
      </c>
    </row>
    <row r="12" spans="1:3" x14ac:dyDescent="0.3">
      <c r="B12" s="63" t="s">
        <v>69</v>
      </c>
      <c r="C12" s="64">
        <f>SUM(Table14[Credit])</f>
        <v>8389930</v>
      </c>
    </row>
    <row r="13" spans="1:3" ht="15" thickBot="1" x14ac:dyDescent="0.35">
      <c r="B13" s="79" t="s">
        <v>96</v>
      </c>
      <c r="C13" s="78">
        <f ca="1">(C11-C12)</f>
        <v>-6315164.0892465245</v>
      </c>
    </row>
    <row r="14" spans="1:3" ht="15" thickBot="1" x14ac:dyDescent="0.35">
      <c r="B14" s="63"/>
      <c r="C14" s="64"/>
    </row>
    <row r="15" spans="1:3" x14ac:dyDescent="0.3">
      <c r="B15" s="61" t="s">
        <v>44</v>
      </c>
      <c r="C15" s="62">
        <f>C4</f>
        <v>5884756.666666667</v>
      </c>
    </row>
    <row r="16" spans="1:3" x14ac:dyDescent="0.3">
      <c r="B16" s="63" t="s">
        <v>70</v>
      </c>
      <c r="C16" s="64">
        <f>SUM(Table14[Debit])</f>
        <v>8258319</v>
      </c>
    </row>
    <row r="17" spans="2:6" ht="15" thickBot="1" x14ac:dyDescent="0.35">
      <c r="B17" s="79" t="s">
        <v>71</v>
      </c>
      <c r="C17" s="78">
        <f>C15-C16</f>
        <v>-2373562.333333333</v>
      </c>
    </row>
    <row r="18" spans="2:6" ht="15" thickBot="1" x14ac:dyDescent="0.35">
      <c r="B18" s="63"/>
      <c r="C18" s="64"/>
    </row>
    <row r="19" spans="2:6" ht="15" thickBot="1" x14ac:dyDescent="0.35">
      <c r="B19" s="80" t="s">
        <v>72</v>
      </c>
      <c r="C19" s="81">
        <f>Table18[[#Totals],[amount]]</f>
        <v>131611</v>
      </c>
    </row>
    <row r="20" spans="2:6" ht="15" thickBot="1" x14ac:dyDescent="0.35">
      <c r="B20" s="76"/>
      <c r="C20" s="77"/>
    </row>
    <row r="21" spans="2:6" ht="15" thickBot="1" x14ac:dyDescent="0.35">
      <c r="B21" s="65" t="s">
        <v>73</v>
      </c>
      <c r="C21" s="66">
        <f ca="1">(C13-C17)+C19</f>
        <v>-3809990.7559131915</v>
      </c>
      <c r="E21" s="84" t="s">
        <v>74</v>
      </c>
      <c r="F21" s="85">
        <f ca="1">C5*0.05</f>
        <v>-190499.53779565962</v>
      </c>
    </row>
  </sheetData>
  <phoneticPr fontId="4" type="noConversion"/>
  <pageMargins left="0.7" right="0.7" top="0.75" bottom="0.75" header="0.3" footer="0.3"/>
  <pageSetup paperSize="9" orientation="portrait" r:id="rId1"/>
  <tableParts count="2">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0BCE7E-0ED4-4A4C-A825-11433EC34268}">
  <dimension ref="B2:F35"/>
  <sheetViews>
    <sheetView workbookViewId="0">
      <selection activeCell="D29" sqref="D29:D30"/>
    </sheetView>
  </sheetViews>
  <sheetFormatPr defaultRowHeight="14.4" x14ac:dyDescent="0.3"/>
  <cols>
    <col min="2" max="2" width="10.44140625" bestFit="1" customWidth="1"/>
    <col min="4" max="4" width="9.33203125" customWidth="1"/>
  </cols>
  <sheetData>
    <row r="2" spans="2:6" x14ac:dyDescent="0.3">
      <c r="B2" t="s">
        <v>75</v>
      </c>
      <c r="C2" t="s">
        <v>45</v>
      </c>
      <c r="D2" t="s">
        <v>70</v>
      </c>
      <c r="E2" t="s">
        <v>69</v>
      </c>
      <c r="F2" t="s">
        <v>76</v>
      </c>
    </row>
    <row r="3" spans="2:6" x14ac:dyDescent="0.3">
      <c r="B3" s="1">
        <v>45916</v>
      </c>
      <c r="D3">
        <f>SUMIFS(Table14[Debit], Table14[Date], Table13[[#This Row],[Date]], Table14[Party], "Transport")</f>
        <v>0</v>
      </c>
      <c r="E3">
        <f>SUMIFS(Table14[Credit], Table14[Date], Table13[[#This Row],[Date]], Table14[Party], "Transport")</f>
        <v>0</v>
      </c>
    </row>
    <row r="4" spans="2:6" x14ac:dyDescent="0.3">
      <c r="B4" s="1">
        <v>45917</v>
      </c>
      <c r="D4">
        <f>SUMIFS(Table14[Debit], Table14[Date], Table13[[#This Row],[Date]], Table14[Party], "Transport")</f>
        <v>0</v>
      </c>
      <c r="E4">
        <f>SUMIFS(Table14[Credit], Table14[Date], Table13[[#This Row],[Date]], Table14[Party], "Transport")</f>
        <v>0</v>
      </c>
    </row>
    <row r="5" spans="2:6" x14ac:dyDescent="0.3">
      <c r="B5" s="1">
        <v>45918</v>
      </c>
      <c r="D5">
        <f>SUMIFS(Table14[Debit], Table14[Date], Table13[[#This Row],[Date]], Table14[Party], "Transport")</f>
        <v>0</v>
      </c>
      <c r="E5">
        <f>SUMIFS(Table14[Credit], Table14[Date], Table13[[#This Row],[Date]], Table14[Party], "Transport")</f>
        <v>0</v>
      </c>
    </row>
    <row r="6" spans="2:6" x14ac:dyDescent="0.3">
      <c r="B6" s="1">
        <v>45919</v>
      </c>
      <c r="D6">
        <f>SUMIFS(Table14[Debit], Table14[Date], Table13[[#This Row],[Date]], Table14[Party], "Transport")</f>
        <v>0</v>
      </c>
      <c r="E6">
        <f>SUMIFS(Table14[Credit], Table14[Date], Table13[[#This Row],[Date]], Table14[Party], "Transport")</f>
        <v>0</v>
      </c>
    </row>
    <row r="7" spans="2:6" x14ac:dyDescent="0.3">
      <c r="B7" s="1">
        <v>45920</v>
      </c>
      <c r="D7">
        <f>SUMIFS(Table14[Debit], Table14[Date], Table13[[#This Row],[Date]], Table14[Party], "Transport")</f>
        <v>0</v>
      </c>
      <c r="E7">
        <f>SUMIFS(Table14[Credit], Table14[Date], Table13[[#This Row],[Date]], Table14[Party], "Transport")</f>
        <v>0</v>
      </c>
    </row>
    <row r="8" spans="2:6" x14ac:dyDescent="0.3">
      <c r="B8" s="1">
        <v>45921</v>
      </c>
      <c r="D8">
        <f>SUMIFS(Table14[Debit], Table14[Date], Table13[[#This Row],[Date]], Table14[Party], "Transport")</f>
        <v>0</v>
      </c>
      <c r="E8">
        <f>SUMIFS(Table14[Credit], Table14[Date], Table13[[#This Row],[Date]], Table14[Party], "Transport")</f>
        <v>0</v>
      </c>
    </row>
    <row r="9" spans="2:6" x14ac:dyDescent="0.3">
      <c r="B9" s="1">
        <v>45922</v>
      </c>
      <c r="D9">
        <f>SUMIFS(Table14[Debit], Table14[Date], Table13[[#This Row],[Date]], Table14[Party], "Transport")</f>
        <v>0</v>
      </c>
      <c r="E9">
        <f>SUMIFS(Table14[Credit], Table14[Date], Table13[[#This Row],[Date]], Table14[Party], "Transport")</f>
        <v>0</v>
      </c>
    </row>
    <row r="10" spans="2:6" x14ac:dyDescent="0.3">
      <c r="B10" s="1">
        <v>45923</v>
      </c>
      <c r="D10">
        <f>SUMIFS(Table14[Debit], Table14[Date], Table13[[#This Row],[Date]], Table14[Party], "Transport")</f>
        <v>0</v>
      </c>
      <c r="E10">
        <f>SUMIFS(Table14[Credit], Table14[Date], Table13[[#This Row],[Date]], Table14[Party], "Transport")</f>
        <v>0</v>
      </c>
    </row>
    <row r="11" spans="2:6" x14ac:dyDescent="0.3">
      <c r="B11" s="1">
        <v>45924</v>
      </c>
      <c r="D11">
        <f>SUMIFS(Table14[Debit], Table14[Date], Table13[[#This Row],[Date]], Table14[Party], "Transport")</f>
        <v>0</v>
      </c>
      <c r="E11">
        <f>SUMIFS(Table14[Credit], Table14[Date], Table13[[#This Row],[Date]], Table14[Party], "Transport")</f>
        <v>0</v>
      </c>
    </row>
    <row r="12" spans="2:6" x14ac:dyDescent="0.3">
      <c r="B12" s="1">
        <v>45925</v>
      </c>
      <c r="D12">
        <f>SUMIFS(Table14[Debit], Table14[Date], Table13[[#This Row],[Date]], Table14[Party], "Transport")</f>
        <v>0</v>
      </c>
      <c r="E12">
        <f>SUMIFS(Table14[Credit], Table14[Date], Table13[[#This Row],[Date]], Table14[Party], "Transport")</f>
        <v>0</v>
      </c>
    </row>
    <row r="13" spans="2:6" x14ac:dyDescent="0.3">
      <c r="B13" s="1">
        <v>45926</v>
      </c>
      <c r="D13">
        <f>SUMIFS(Table14[Debit], Table14[Date], Table13[[#This Row],[Date]], Table14[Party], "Transport")</f>
        <v>0</v>
      </c>
      <c r="E13">
        <f>SUMIFS(Table14[Credit], Table14[Date], Table13[[#This Row],[Date]], Table14[Party], "Transport")</f>
        <v>0</v>
      </c>
    </row>
    <row r="14" spans="2:6" x14ac:dyDescent="0.3">
      <c r="B14" s="1">
        <v>45927</v>
      </c>
      <c r="D14">
        <f>SUMIFS(Table14[Debit], Table14[Date], Table13[[#This Row],[Date]], Table14[Party], "Transport")</f>
        <v>0</v>
      </c>
      <c r="E14">
        <f>SUMIFS(Table14[Credit], Table14[Date], Table13[[#This Row],[Date]], Table14[Party], "Transport")</f>
        <v>0</v>
      </c>
    </row>
    <row r="15" spans="2:6" x14ac:dyDescent="0.3">
      <c r="B15" s="1">
        <v>45928</v>
      </c>
      <c r="D15">
        <f>SUMIFS(Table14[Debit], Table14[Date], Table13[[#This Row],[Date]], Table14[Party], "Transport")</f>
        <v>0</v>
      </c>
      <c r="E15">
        <f>SUMIFS(Table14[Credit], Table14[Date], Table13[[#This Row],[Date]], Table14[Party], "Transport")</f>
        <v>0</v>
      </c>
    </row>
    <row r="16" spans="2:6" x14ac:dyDescent="0.3">
      <c r="B16" s="1">
        <v>45929</v>
      </c>
      <c r="D16">
        <f>SUMIFS(Table14[Debit], Table14[Date], Table13[[#This Row],[Date]], Table14[Party], "Transport")</f>
        <v>0</v>
      </c>
      <c r="E16">
        <f>SUMIFS(Table14[Credit], Table14[Date], Table13[[#This Row],[Date]], Table14[Party], "Transport")</f>
        <v>0</v>
      </c>
    </row>
    <row r="17" spans="2:5" x14ac:dyDescent="0.3">
      <c r="B17" s="1">
        <v>45930</v>
      </c>
      <c r="D17">
        <f>SUMIFS(Table14[Debit], Table14[Date], Table13[[#This Row],[Date]], Table14[Party], "Transport")</f>
        <v>0</v>
      </c>
      <c r="E17">
        <f>SUMIFS(Table14[Credit], Table14[Date], Table13[[#This Row],[Date]], Table14[Party], "Transport")</f>
        <v>0</v>
      </c>
    </row>
    <row r="18" spans="2:5" x14ac:dyDescent="0.3">
      <c r="B18" s="1">
        <v>45931</v>
      </c>
      <c r="D18">
        <f>SUMIFS(Table14[Debit], Table14[Date], Table13[[#This Row],[Date]], Table14[Party], "Transport")</f>
        <v>0</v>
      </c>
      <c r="E18">
        <f>SUMIFS(Table14[Credit], Table14[Date], Table13[[#This Row],[Date]], Table14[Party], "Transport")</f>
        <v>0</v>
      </c>
    </row>
    <row r="19" spans="2:5" x14ac:dyDescent="0.3">
      <c r="B19" s="1">
        <v>45932</v>
      </c>
      <c r="D19">
        <f>SUMIFS(Table14[Debit], Table14[Date], Table13[[#This Row],[Date]], Table14[Party], "Transport")</f>
        <v>0</v>
      </c>
      <c r="E19">
        <f>SUMIFS(Table14[Credit], Table14[Date], Table13[[#This Row],[Date]], Table14[Party], "Transport")</f>
        <v>0</v>
      </c>
    </row>
    <row r="20" spans="2:5" x14ac:dyDescent="0.3">
      <c r="B20" s="1">
        <v>45933</v>
      </c>
      <c r="D20">
        <f>SUMIFS(Table14[Debit], Table14[Date], Table13[[#This Row],[Date]], Table14[Party], "Transport")</f>
        <v>0</v>
      </c>
      <c r="E20">
        <f>SUMIFS(Table14[Credit], Table14[Date], Table13[[#This Row],[Date]], Table14[Party], "Transport")</f>
        <v>0</v>
      </c>
    </row>
    <row r="21" spans="2:5" x14ac:dyDescent="0.3">
      <c r="B21" s="1">
        <v>45934</v>
      </c>
      <c r="D21">
        <f>SUMIFS(Table14[Debit], Table14[Date], Table13[[#This Row],[Date]], Table14[Party], "Transport")</f>
        <v>0</v>
      </c>
      <c r="E21">
        <f>SUMIFS(Table14[Credit], Table14[Date], Table13[[#This Row],[Date]], Table14[Party], "Transport")</f>
        <v>0</v>
      </c>
    </row>
    <row r="22" spans="2:5" x14ac:dyDescent="0.3">
      <c r="B22" s="1">
        <v>45935</v>
      </c>
      <c r="D22">
        <f>SUMIFS(Table14[Debit], Table14[Date], Table13[[#This Row],[Date]], Table14[Party], "Transport")</f>
        <v>0</v>
      </c>
      <c r="E22">
        <f>SUMIFS(Table14[Credit], Table14[Date], Table13[[#This Row],[Date]], Table14[Party], "Transport")</f>
        <v>0</v>
      </c>
    </row>
    <row r="23" spans="2:5" x14ac:dyDescent="0.3">
      <c r="B23" s="1">
        <v>45936</v>
      </c>
      <c r="D23">
        <f>SUMIFS(Table14[Debit], Table14[Date], Table13[[#This Row],[Date]], Table14[Party], "Transport")</f>
        <v>0</v>
      </c>
      <c r="E23">
        <f>SUMIFS(Table14[Credit], Table14[Date], Table13[[#This Row],[Date]], Table14[Party], "Transport")</f>
        <v>0</v>
      </c>
    </row>
    <row r="24" spans="2:5" x14ac:dyDescent="0.3">
      <c r="B24" s="1">
        <v>45937</v>
      </c>
      <c r="D24">
        <f>SUMIFS(Table14[Debit], Table14[Date], Table13[[#This Row],[Date]], Table14[Party], "Transport")</f>
        <v>0</v>
      </c>
      <c r="E24">
        <f>SUMIFS(Table14[Credit], Table14[Date], Table13[[#This Row],[Date]], Table14[Party], "Transport")</f>
        <v>0</v>
      </c>
    </row>
    <row r="25" spans="2:5" x14ac:dyDescent="0.3">
      <c r="B25" s="1">
        <v>45938</v>
      </c>
      <c r="D25">
        <f>SUMIFS(Table14[Debit], Table14[Date], Table13[[#This Row],[Date]], Table14[Party], "Transport")</f>
        <v>0</v>
      </c>
      <c r="E25">
        <f>SUMIFS(Table14[Credit], Table14[Date], Table13[[#This Row],[Date]], Table14[Party], "Transport")</f>
        <v>0</v>
      </c>
    </row>
    <row r="26" spans="2:5" x14ac:dyDescent="0.3">
      <c r="B26" s="1">
        <v>45939</v>
      </c>
      <c r="D26">
        <f>SUMIFS(Table14[Debit], Table14[Date], Table13[[#This Row],[Date]], Table14[Party], "Transport")</f>
        <v>0</v>
      </c>
      <c r="E26">
        <f>SUMIFS(Table14[Credit], Table14[Date], Table13[[#This Row],[Date]], Table14[Party], "Transport")</f>
        <v>0</v>
      </c>
    </row>
    <row r="27" spans="2:5" x14ac:dyDescent="0.3">
      <c r="B27" s="1">
        <v>45940</v>
      </c>
      <c r="D27">
        <f>SUMIFS(Table14[Debit], Table14[Date], Table13[[#This Row],[Date]], Table14[Party], "Transport")</f>
        <v>0</v>
      </c>
      <c r="E27">
        <f>SUMIFS(Table14[Credit], Table14[Date], Table13[[#This Row],[Date]], Table14[Party], "Transport")</f>
        <v>0</v>
      </c>
    </row>
    <row r="28" spans="2:5" x14ac:dyDescent="0.3">
      <c r="B28" s="1">
        <v>45941</v>
      </c>
      <c r="D28">
        <f>SUMIFS(Table14[Debit], Table14[Date], Table13[[#This Row],[Date]], Table14[Party], "Transport")</f>
        <v>0</v>
      </c>
      <c r="E28">
        <f>SUMIFS(Table14[Credit], Table14[Date], Table13[[#This Row],[Date]], Table14[Party], "Transport")</f>
        <v>0</v>
      </c>
    </row>
    <row r="29" spans="2:5" x14ac:dyDescent="0.3">
      <c r="B29" s="1">
        <v>45942</v>
      </c>
      <c r="D29">
        <f>SUMIFS(Table14[Debit], Table14[Date], Table13[[#This Row],[Date]], Table14[Party], "Transport")</f>
        <v>0</v>
      </c>
      <c r="E29">
        <f>SUMIFS(Table14[Credit], Table14[Date], Table13[[#This Row],[Date]], Table14[Party], "Transport")</f>
        <v>0</v>
      </c>
    </row>
    <row r="30" spans="2:5" x14ac:dyDescent="0.3">
      <c r="B30" s="1">
        <v>45943</v>
      </c>
      <c r="D30">
        <f>SUMIFS(Table14[Debit], Table14[Date], Table13[[#This Row],[Date]], Table14[Party], "Transport")</f>
        <v>0</v>
      </c>
      <c r="E30">
        <f>SUMIFS(Table14[Credit], Table14[Date], Table13[[#This Row],[Date]], Table14[Party], "Transport")</f>
        <v>0</v>
      </c>
    </row>
    <row r="31" spans="2:5" x14ac:dyDescent="0.3">
      <c r="B31" s="1">
        <v>45944</v>
      </c>
      <c r="D31">
        <f>SUMIFS(Table14[Debit], Table14[Date], Table13[[#This Row],[Date]], Table14[Party], "Transport")</f>
        <v>0</v>
      </c>
      <c r="E31">
        <f>SUMIFS(Table14[Credit], Table14[Date], Table13[[#This Row],[Date]], Table14[Party], "Transport")</f>
        <v>0</v>
      </c>
    </row>
    <row r="32" spans="2:5" x14ac:dyDescent="0.3">
      <c r="B32" s="1">
        <v>45945</v>
      </c>
      <c r="D32">
        <f>SUMIFS(Table14[Debit], Table14[Date], Table13[[#This Row],[Date]], Table14[Party], "Transport")</f>
        <v>0</v>
      </c>
      <c r="E32">
        <f>SUMIFS(Table14[Credit], Table14[Date], Table13[[#This Row],[Date]], Table14[Party], "Transport")</f>
        <v>0</v>
      </c>
    </row>
    <row r="33" spans="2:6" x14ac:dyDescent="0.3">
      <c r="B33" s="1">
        <v>45946</v>
      </c>
      <c r="D33">
        <f>SUMIFS(Table14[Debit], Table14[Date], Table13[[#This Row],[Date]], Table14[Party], "Transport")</f>
        <v>0</v>
      </c>
      <c r="E33">
        <f>SUMIFS(Table14[Credit], Table14[Date], Table13[[#This Row],[Date]], Table14[Party], "Transport")</f>
        <v>0</v>
      </c>
    </row>
    <row r="34" spans="2:6" x14ac:dyDescent="0.3">
      <c r="B34" s="1">
        <v>45947</v>
      </c>
      <c r="D34">
        <f>SUMIFS(Table14[Debit], Table14[Date], Table13[[#This Row],[Date]], Table14[Party], "Transport")</f>
        <v>0</v>
      </c>
      <c r="E34">
        <f>SUMIFS(Table14[Credit], Table14[Date], Table13[[#This Row],[Date]], Table14[Party], "Transport")</f>
        <v>0</v>
      </c>
    </row>
    <row r="35" spans="2:6" x14ac:dyDescent="0.3">
      <c r="B35" s="1"/>
      <c r="D35">
        <f>SUBTOTAL(109,Table13[Debit])</f>
        <v>0</v>
      </c>
      <c r="E35">
        <f>SUBTOTAL(109,Table13[Credit])</f>
        <v>0</v>
      </c>
      <c r="F35">
        <f>Table13[[#Totals],[Debit]]-Table13[[#Totals],[Credit]]</f>
        <v>0</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02BF55-86DF-4B9C-ABE1-54F1EB648833}">
  <sheetPr>
    <pageSetUpPr fitToPage="1"/>
  </sheetPr>
  <dimension ref="A1:AB241"/>
  <sheetViews>
    <sheetView topLeftCell="A67" zoomScale="140" zoomScaleNormal="126" workbookViewId="0">
      <selection activeCell="K76" sqref="K76"/>
    </sheetView>
  </sheetViews>
  <sheetFormatPr defaultColWidth="8.88671875" defaultRowHeight="14.4" x14ac:dyDescent="0.3"/>
  <cols>
    <col min="1" max="1" width="16.5546875" style="10" bestFit="1" customWidth="1"/>
    <col min="2" max="2" width="16.109375" style="10" bestFit="1" customWidth="1"/>
    <col min="3" max="3" width="20.6640625" style="10" customWidth="1"/>
    <col min="4" max="4" width="20.6640625" style="10" bestFit="1" customWidth="1"/>
    <col min="5" max="5" width="16.109375" style="10" bestFit="1" customWidth="1"/>
    <col min="6" max="6" width="18" style="10" bestFit="1" customWidth="1"/>
    <col min="7" max="7" width="12.6640625" style="10" bestFit="1" customWidth="1"/>
    <col min="8" max="8" width="18" style="10" bestFit="1" customWidth="1"/>
    <col min="9" max="9" width="12.44140625" style="10" bestFit="1" customWidth="1"/>
    <col min="10" max="10" width="18" style="10" bestFit="1" customWidth="1"/>
    <col min="11" max="11" width="12.6640625" style="10" bestFit="1" customWidth="1"/>
    <col min="12" max="12" width="15.5546875" style="10" bestFit="1" customWidth="1"/>
    <col min="13" max="13" width="15.88671875" style="10" bestFit="1" customWidth="1"/>
    <col min="14" max="15" width="15.5546875" style="10" bestFit="1" customWidth="1"/>
    <col min="16" max="16" width="16.5546875" style="10" bestFit="1" customWidth="1"/>
    <col min="17" max="17" width="16.109375" style="10" bestFit="1" customWidth="1"/>
    <col min="18" max="18" width="18" style="10" bestFit="1" customWidth="1"/>
    <col min="19" max="19" width="12.6640625" style="10" bestFit="1" customWidth="1"/>
    <col min="20" max="20" width="17.44140625" style="10" bestFit="1" customWidth="1"/>
    <col min="21" max="21" width="13" style="10" bestFit="1" customWidth="1"/>
    <col min="22" max="22" width="18" style="10" bestFit="1" customWidth="1"/>
    <col min="23" max="23" width="12.6640625" style="10" bestFit="1" customWidth="1"/>
    <col min="24" max="25" width="17.33203125" style="10" bestFit="1" customWidth="1"/>
    <col min="26" max="26" width="20.88671875" style="10" bestFit="1" customWidth="1"/>
    <col min="27" max="27" width="20.33203125" style="10" bestFit="1" customWidth="1"/>
    <col min="28" max="28" width="21.6640625" style="10" bestFit="1" customWidth="1"/>
    <col min="29" max="16384" width="8.88671875" style="10"/>
  </cols>
  <sheetData>
    <row r="1" spans="1:28" x14ac:dyDescent="0.3">
      <c r="A1" s="30" t="s">
        <v>75</v>
      </c>
      <c r="B1" s="30" t="s">
        <v>2</v>
      </c>
      <c r="C1" s="30" t="s">
        <v>77</v>
      </c>
      <c r="D1" s="30" t="s">
        <v>78</v>
      </c>
      <c r="E1" s="30" t="s">
        <v>79</v>
      </c>
      <c r="F1" s="30" t="s">
        <v>80</v>
      </c>
      <c r="G1" s="30" t="s">
        <v>81</v>
      </c>
      <c r="H1" s="31" t="s">
        <v>82</v>
      </c>
      <c r="I1" s="31" t="s">
        <v>83</v>
      </c>
      <c r="J1" s="31" t="s">
        <v>84</v>
      </c>
      <c r="K1" s="31" t="s">
        <v>41</v>
      </c>
    </row>
    <row r="2" spans="1:28" x14ac:dyDescent="0.3">
      <c r="A2" s="28">
        <v>45947</v>
      </c>
      <c r="B2" s="25" t="s">
        <v>21</v>
      </c>
      <c r="C2" s="29" t="s">
        <v>184</v>
      </c>
      <c r="D2" s="29" t="s">
        <v>85</v>
      </c>
      <c r="E2" s="21"/>
      <c r="F2" s="11"/>
      <c r="G2" s="11"/>
      <c r="H2" s="32" t="e">
        <f>_xlfn.XLOOKUP(Table1[[#This Row],[Shipment Number]], 'pivot '!A:A,'pivot '!G:G, "NF")</f>
        <v>#DIV/0!</v>
      </c>
      <c r="I2" s="32">
        <f>_xlfn.XLOOKUP(Table1[[#This Row],[Party Name]],
[1]Billing!$O$5:$O$20,
[1]Billing!$R$5:$R$20)</f>
        <v>1493155.6327724946</v>
      </c>
      <c r="J2" s="32" cm="1">
        <f t="array" ref="J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14931556.327724945</v>
      </c>
      <c r="K2" s="29"/>
    </row>
    <row r="3" spans="1:28" x14ac:dyDescent="0.3">
      <c r="A3" s="28">
        <v>45947</v>
      </c>
      <c r="B3" s="25" t="s">
        <v>22</v>
      </c>
      <c r="C3" s="29" t="s">
        <v>184</v>
      </c>
      <c r="D3" s="29" t="s">
        <v>85</v>
      </c>
      <c r="E3" s="21"/>
      <c r="F3" s="11"/>
      <c r="G3" s="11"/>
      <c r="H3" s="32" t="e">
        <f>_xlfn.XLOOKUP(Table1[[#This Row],[Shipment Number]], 'pivot '!A:A,'pivot '!G:G, "NF")</f>
        <v>#DIV/0!</v>
      </c>
      <c r="I3" s="32">
        <f>_xlfn.XLOOKUP(Table1[[#This Row],[Party Name]],
[1]Billing!$O$5:$O$20,
[1]Billing!$R$5:$R$20)</f>
        <v>130559.6196049744</v>
      </c>
      <c r="J3" s="32" cm="1">
        <f t="array" ref="J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1305596.196049744</v>
      </c>
      <c r="K3" s="29"/>
    </row>
    <row r="4" spans="1:28" x14ac:dyDescent="0.3">
      <c r="A4" s="28">
        <v>45947</v>
      </c>
      <c r="B4" s="25" t="s">
        <v>9</v>
      </c>
      <c r="C4" s="29" t="s">
        <v>184</v>
      </c>
      <c r="D4" s="29" t="s">
        <v>85</v>
      </c>
      <c r="E4" s="21"/>
      <c r="F4" s="11"/>
      <c r="G4" s="11"/>
      <c r="H4" s="32" t="e">
        <f>_xlfn.XLOOKUP(Table1[[#This Row],[Shipment Number]], 'pivot '!A:A,'pivot '!G:G, "NF")</f>
        <v>#DIV/0!</v>
      </c>
      <c r="I4" s="32">
        <f>_xlfn.XLOOKUP(Table1[[#This Row],[Party Name]],
[1]Billing!$O$5:$O$20,
[1]Billing!$R$5:$R$20)</f>
        <v>222722.20190197515</v>
      </c>
      <c r="J4" s="32" cm="1">
        <f t="array" ref="J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2227222.0190197513</v>
      </c>
      <c r="K4" s="29"/>
    </row>
    <row r="5" spans="1:28" x14ac:dyDescent="0.3">
      <c r="A5" s="28">
        <v>45947</v>
      </c>
      <c r="B5" s="25" t="s">
        <v>23</v>
      </c>
      <c r="C5" s="29" t="s">
        <v>184</v>
      </c>
      <c r="D5" s="29" t="s">
        <v>85</v>
      </c>
      <c r="E5" s="21"/>
      <c r="F5" s="11"/>
      <c r="G5" s="11"/>
      <c r="H5" s="32" t="e">
        <f>_xlfn.XLOOKUP(Table1[[#This Row],[Shipment Number]], 'pivot '!A:A,'pivot '!G:G, "NF")</f>
        <v>#DIV/0!</v>
      </c>
      <c r="I5" s="32">
        <f>_xlfn.XLOOKUP(Table1[[#This Row],[Party Name]],
[1]Billing!$O$5:$O$20,
[1]Billing!$R$5:$R$20)</f>
        <v>123086.13752743235</v>
      </c>
      <c r="J5" s="32" cm="1">
        <f t="array" ref="J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)-23134.1</f>
        <v>1269270.3440380397</v>
      </c>
      <c r="K5" s="29"/>
    </row>
    <row r="6" spans="1:28" x14ac:dyDescent="0.3">
      <c r="A6" s="28">
        <v>45947</v>
      </c>
      <c r="B6" s="25" t="s">
        <v>24</v>
      </c>
      <c r="C6" s="29" t="s">
        <v>184</v>
      </c>
      <c r="D6" s="29" t="s">
        <v>85</v>
      </c>
      <c r="E6" s="21"/>
      <c r="F6" s="11"/>
      <c r="G6" s="11"/>
      <c r="H6" s="32" t="e">
        <f>_xlfn.XLOOKUP(Table1[[#This Row],[Shipment Number]], 'pivot '!A:A,'pivot '!G:G, "NF")</f>
        <v>#DIV/0!</v>
      </c>
      <c r="I6" s="32">
        <f>_xlfn.XLOOKUP(Table1[[#This Row],[Party Name]],
[1]Billing!$O$5:$O$20,
[1]Billing!$R$5:$R$20)</f>
        <v>599330.65106071695</v>
      </c>
      <c r="J6" s="100">
        <f>Billing!G88</f>
        <v>5408917.8595464528</v>
      </c>
      <c r="K6" s="29"/>
      <c r="X6"/>
      <c r="Y6"/>
      <c r="Z6"/>
      <c r="AA6"/>
      <c r="AB6"/>
    </row>
    <row r="7" spans="1:28" x14ac:dyDescent="0.3">
      <c r="A7" s="28">
        <v>45947</v>
      </c>
      <c r="B7" s="25" t="s">
        <v>25</v>
      </c>
      <c r="C7" s="29" t="s">
        <v>184</v>
      </c>
      <c r="D7" s="29" t="s">
        <v>85</v>
      </c>
      <c r="E7" s="21"/>
      <c r="F7" s="11"/>
      <c r="G7" s="11"/>
      <c r="H7" s="32" t="e">
        <f>_xlfn.XLOOKUP(Table1[[#This Row],[Shipment Number]], 'pivot '!A:A,'pivot '!G:G, "NF")</f>
        <v>#DIV/0!</v>
      </c>
      <c r="I7" s="32">
        <f>_xlfn.XLOOKUP(Table1[[#This Row],[Party Name]],
[1]Billing!$O$5:$O$20,
[1]Billing!$R$5:$R$20)</f>
        <v>440435.25969275786</v>
      </c>
      <c r="J7" s="32" cm="1">
        <f t="array" ref="J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4404352.5969275786</v>
      </c>
      <c r="K7" s="29"/>
      <c r="X7"/>
      <c r="Y7"/>
      <c r="Z7"/>
      <c r="AA7"/>
      <c r="AB7"/>
    </row>
    <row r="8" spans="1:28" x14ac:dyDescent="0.3">
      <c r="A8" s="28">
        <v>45947</v>
      </c>
      <c r="B8" s="25" t="s">
        <v>26</v>
      </c>
      <c r="C8" s="29" t="s">
        <v>184</v>
      </c>
      <c r="D8" s="29" t="s">
        <v>85</v>
      </c>
      <c r="E8" s="21"/>
      <c r="F8" s="11"/>
      <c r="G8" s="11"/>
      <c r="H8" s="32" t="e">
        <f>_xlfn.XLOOKUP(Table1[[#This Row],[Shipment Number]], 'pivot '!A:A,'pivot '!G:G, "NF")</f>
        <v>#DIV/0!</v>
      </c>
      <c r="I8" s="32">
        <f>_xlfn.XLOOKUP(Table1[[#This Row],[Party Name]],
[1]Billing!$O$5:$O$20,
[1]Billing!$R$5:$R$20)</f>
        <v>69091.989758595475</v>
      </c>
      <c r="J8" s="32" cm="1">
        <f t="array" ref="J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690919.89758595475</v>
      </c>
      <c r="K8" s="29"/>
      <c r="X8"/>
      <c r="Y8"/>
      <c r="Z8"/>
      <c r="AA8"/>
      <c r="AB8"/>
    </row>
    <row r="9" spans="1:28" x14ac:dyDescent="0.3">
      <c r="A9" s="28">
        <v>45947</v>
      </c>
      <c r="B9" s="25" t="s">
        <v>155</v>
      </c>
      <c r="C9" s="29" t="s">
        <v>184</v>
      </c>
      <c r="D9" s="29" t="s">
        <v>85</v>
      </c>
      <c r="E9" s="21"/>
      <c r="F9" s="11"/>
      <c r="G9" s="11"/>
      <c r="H9" s="32" t="e">
        <f>_xlfn.XLOOKUP(Table1[[#This Row],[Shipment Number]], 'pivot '!A:A,'pivot '!G:G, "NF")</f>
        <v>#DIV/0!</v>
      </c>
      <c r="I9" s="32">
        <f>_xlfn.XLOOKUP(Table1[[#This Row],[Party Name]],
[1]Billing!$O$5:$O$20,
[1]Billing!$R$5:$R$20)</f>
        <v>161808.70519385519</v>
      </c>
      <c r="J9" s="32" cm="1">
        <f t="array" ref="J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1618087.0519385519</v>
      </c>
      <c r="K9" s="29"/>
      <c r="X9"/>
      <c r="Y9"/>
      <c r="Z9"/>
      <c r="AA9"/>
      <c r="AB9"/>
    </row>
    <row r="10" spans="1:28" x14ac:dyDescent="0.3">
      <c r="A10" s="28">
        <v>45947</v>
      </c>
      <c r="B10" s="25" t="s">
        <v>35</v>
      </c>
      <c r="C10" s="29" t="s">
        <v>184</v>
      </c>
      <c r="D10" s="29" t="s">
        <v>85</v>
      </c>
      <c r="E10" s="21"/>
      <c r="F10" s="11"/>
      <c r="G10" s="11"/>
      <c r="H10" s="32" t="e">
        <f>_xlfn.XLOOKUP(Table1[[#This Row],[Shipment Number]], 'pivot '!A:A,'pivot '!G:G, "NF")</f>
        <v>#DIV/0!</v>
      </c>
      <c r="I10" s="32">
        <f>_xlfn.XLOOKUP(Table1[[#This Row],[Party Name]],
[1]Billing!$O$5:$O$20,
[1]Billing!$R$5:$R$20)</f>
        <v>45128.931967812736</v>
      </c>
      <c r="J10" s="32" cm="1">
        <f t="array" ref="J1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451289.31967812736</v>
      </c>
      <c r="K10" s="29"/>
      <c r="X10"/>
      <c r="Y10"/>
    </row>
    <row r="11" spans="1:28" x14ac:dyDescent="0.3">
      <c r="A11" s="28">
        <v>45947</v>
      </c>
      <c r="B11" s="25" t="s">
        <v>151</v>
      </c>
      <c r="C11" s="29" t="s">
        <v>184</v>
      </c>
      <c r="D11" s="29" t="s">
        <v>86</v>
      </c>
      <c r="E11" s="21"/>
      <c r="F11" s="11"/>
      <c r="G11" s="11"/>
      <c r="H11" s="32" t="e">
        <f>_xlfn.XLOOKUP(Table1[[#This Row],[Shipment Number]], 'pivot '!A:A,'pivot '!G:G, "NF")</f>
        <v>#DIV/0!</v>
      </c>
      <c r="I11" s="32">
        <f>_xlfn.XLOOKUP(Table1[[#This Row],[Party Name]],
[1]Billing!$O$5:$O$20,
[1]Billing!$R$5:$R$20)</f>
        <v>21310.35113386979</v>
      </c>
      <c r="J11" s="32" cm="1">
        <f t="array" ref="J1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AND(Table1[[#This Row],[Party Name]]="Ashraf Zia",Table1[[#This Row],[Quality]]="Crinkle"),Table1[[#This Row],[tiyar/meters]]*12,
Table1[[#This Row],[Quality]]="Chamki",Table1[[#This Row],[tiyar/meters]]*10,
Table1[[#This Row],[Quality]]="Silky",Table1[[#This Row],[tiyar/meters]]*12,
Table1[[#This Row],[Quality]]="Crinkle",Table1[[#This Row],[tiyar/meters]]*10
)</f>
        <v>255724.21360643749</v>
      </c>
      <c r="K11" s="29"/>
      <c r="P11"/>
      <c r="Q11"/>
      <c r="R11"/>
      <c r="S11"/>
      <c r="T11"/>
      <c r="U11"/>
      <c r="V11"/>
      <c r="W11"/>
      <c r="X11"/>
      <c r="Y11"/>
    </row>
    <row r="12" spans="1:28" x14ac:dyDescent="0.3">
      <c r="A12" s="28">
        <v>45947</v>
      </c>
      <c r="B12" s="25" t="s">
        <v>27</v>
      </c>
      <c r="C12" s="29" t="s">
        <v>184</v>
      </c>
      <c r="D12" s="29" t="s">
        <v>85</v>
      </c>
      <c r="E12" s="21"/>
      <c r="F12" s="11"/>
      <c r="G12" s="11"/>
      <c r="H12" s="32" t="e">
        <f>_xlfn.XLOOKUP(Table1[[#This Row],[Shipment Number]], 'pivot '!A:A,'pivot '!G:G, "NF")</f>
        <v>#DIV/0!</v>
      </c>
      <c r="I12" s="32">
        <f>_xlfn.XLOOKUP(Table1[[#This Row],[Party Name]],
[1]Billing!$O$5:$O$20,
[1]Billing!$R$5:$R$20)</f>
        <v>44688.185808339433</v>
      </c>
      <c r="J12" s="32" cm="1">
        <f t="array" ref="J1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446881.85808339436</v>
      </c>
      <c r="K12" s="29"/>
      <c r="P12"/>
      <c r="Q12"/>
      <c r="R12"/>
      <c r="S12"/>
      <c r="T12"/>
      <c r="U12"/>
      <c r="V12"/>
      <c r="W12"/>
      <c r="X12"/>
      <c r="Y12"/>
    </row>
    <row r="13" spans="1:28" x14ac:dyDescent="0.3">
      <c r="A13" s="28">
        <v>45947</v>
      </c>
      <c r="B13" s="25" t="s">
        <v>170</v>
      </c>
      <c r="C13" s="29" t="s">
        <v>184</v>
      </c>
      <c r="D13" s="29" t="s">
        <v>85</v>
      </c>
      <c r="E13" s="11"/>
      <c r="F13" s="11"/>
      <c r="G13" s="11"/>
      <c r="H13" s="32" t="e">
        <f>_xlfn.XLOOKUP(Table1[[#This Row],[Shipment Number]], 'pivot '!A:A,'pivot '!G:G, "NF")</f>
        <v>#DIV/0!</v>
      </c>
      <c r="I13" s="32">
        <f>_xlfn.XLOOKUP(Table1[[#This Row],[Party Name]],
[1]Billing!$O$5:$O$20,
[1]Billing!$R$5:$R$20)</f>
        <v>189768.65398683251</v>
      </c>
      <c r="J13" s="32" cm="1">
        <f t="array" ref="J1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1897686.539868325</v>
      </c>
      <c r="K13" s="29"/>
      <c r="P13"/>
      <c r="Q13"/>
      <c r="R13"/>
      <c r="S13"/>
      <c r="T13"/>
      <c r="U13"/>
      <c r="V13"/>
      <c r="W13"/>
      <c r="X13"/>
      <c r="Y13"/>
    </row>
    <row r="14" spans="1:28" x14ac:dyDescent="0.3">
      <c r="A14" s="28">
        <v>45947</v>
      </c>
      <c r="B14" s="25" t="s">
        <v>173</v>
      </c>
      <c r="C14" s="29" t="s">
        <v>184</v>
      </c>
      <c r="D14" s="29" t="s">
        <v>85</v>
      </c>
      <c r="E14" s="11"/>
      <c r="F14" s="11"/>
      <c r="G14" s="11"/>
      <c r="H14" s="32" t="e">
        <f>_xlfn.XLOOKUP(Table1[[#This Row],[Shipment Number]], 'pivot '!A:A,'pivot '!G:G, "NF")</f>
        <v>#DIV/0!</v>
      </c>
      <c r="I14" s="32">
        <f>_xlfn.XLOOKUP(Table1[[#This Row],[Party Name]],
[1]Billing!$O$5:$O$20,
[1]Billing!$R$5:$R$20)</f>
        <v>0</v>
      </c>
      <c r="J14" s="32" cm="1">
        <f t="array" ref="J1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14" s="29"/>
      <c r="P14"/>
      <c r="Q14"/>
      <c r="R14"/>
      <c r="S14"/>
      <c r="T14"/>
      <c r="U14"/>
      <c r="V14"/>
      <c r="W14"/>
      <c r="X14"/>
      <c r="Y14"/>
    </row>
    <row r="15" spans="1:28" x14ac:dyDescent="0.3">
      <c r="A15" s="28">
        <v>45947</v>
      </c>
      <c r="B15" s="25" t="s">
        <v>180</v>
      </c>
      <c r="C15" s="29" t="s">
        <v>184</v>
      </c>
      <c r="D15" s="29" t="s">
        <v>85</v>
      </c>
      <c r="E15" s="11"/>
      <c r="F15" s="11"/>
      <c r="G15" s="11"/>
      <c r="H15" s="32" t="e">
        <f>_xlfn.XLOOKUP(Table1[[#This Row],[Shipment Number]], 'pivot '!A:A,'pivot '!G:G, "NF")</f>
        <v>#DIV/0!</v>
      </c>
      <c r="I15" s="32">
        <f>_xlfn.XLOOKUP(Table1[[#This Row],[Party Name]],
[1]Billing!$O$5:$O$20,
[1]Billing!$R$5:$R$20)</f>
        <v>48385.149963423559</v>
      </c>
      <c r="J15" s="32" cm="1">
        <f t="array" ref="J1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483851.49963423557</v>
      </c>
      <c r="K15" s="29"/>
      <c r="P15"/>
      <c r="Q15"/>
      <c r="R15"/>
      <c r="S15"/>
      <c r="T15"/>
      <c r="U15"/>
      <c r="V15"/>
      <c r="W15"/>
      <c r="X15"/>
      <c r="Y15"/>
    </row>
    <row r="16" spans="1:28" x14ac:dyDescent="0.3">
      <c r="A16" s="28">
        <v>45947</v>
      </c>
      <c r="B16" s="25" t="s">
        <v>181</v>
      </c>
      <c r="C16" s="29" t="s">
        <v>184</v>
      </c>
      <c r="D16" s="29" t="s">
        <v>85</v>
      </c>
      <c r="E16" s="11"/>
      <c r="F16" s="11"/>
      <c r="G16" s="11"/>
      <c r="H16" s="32" t="e">
        <f>_xlfn.XLOOKUP(Table1[[#This Row],[Shipment Number]], 'pivot '!A:A,'pivot '!G:G, "NF")</f>
        <v>#DIV/0!</v>
      </c>
      <c r="I16" s="32">
        <f>_xlfn.XLOOKUP(Table1[[#This Row],[Party Name]],
[1]Billing!$O$5:$O$20,
[1]Billing!$R$5:$R$20)</f>
        <v>8915.5084125822978</v>
      </c>
      <c r="J16" s="32" cm="1">
        <f t="array" ref="J1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89155.084125822978</v>
      </c>
      <c r="K16" s="29"/>
      <c r="P16"/>
      <c r="Q16"/>
      <c r="R16"/>
      <c r="S16"/>
      <c r="T16"/>
      <c r="U16"/>
      <c r="V16"/>
      <c r="W16"/>
      <c r="X16"/>
      <c r="Y16"/>
    </row>
    <row r="17" spans="1:25" x14ac:dyDescent="0.3">
      <c r="A17" s="28">
        <v>45947</v>
      </c>
      <c r="B17" s="106" t="s">
        <v>183</v>
      </c>
      <c r="C17" s="29" t="s">
        <v>184</v>
      </c>
      <c r="D17" s="29" t="s">
        <v>85</v>
      </c>
      <c r="E17" s="11"/>
      <c r="F17" s="11"/>
      <c r="G17" s="11"/>
      <c r="H17" s="32" t="e">
        <f>_xlfn.XLOOKUP(Table1[[#This Row],[Shipment Number]], 'pivot '!A:A,'pivot '!G:G, "NF")</f>
        <v>#DIV/0!</v>
      </c>
      <c r="I17" s="32">
        <f>_xlfn.XLOOKUP(Table1[[#This Row],[Party Name]],
[1]Billing!$O$5:$O$20,
[1]Billing!$R$5:$R$20)</f>
        <v>25627.286027798102</v>
      </c>
      <c r="J17" s="32" cm="1">
        <f t="array" ref="J1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256272.86027798103</v>
      </c>
      <c r="K17" s="29"/>
      <c r="P17"/>
      <c r="Q17"/>
      <c r="R17"/>
      <c r="S17"/>
      <c r="T17"/>
      <c r="U17"/>
      <c r="V17"/>
      <c r="W17"/>
      <c r="X17"/>
      <c r="Y17"/>
    </row>
    <row r="18" spans="1:25" x14ac:dyDescent="0.3">
      <c r="A18" s="107">
        <v>45947</v>
      </c>
      <c r="B18" s="25" t="s">
        <v>21</v>
      </c>
      <c r="C18" s="108" t="s">
        <v>184</v>
      </c>
      <c r="D18" s="108" t="s">
        <v>87</v>
      </c>
      <c r="E18" s="109"/>
      <c r="F18" s="109"/>
      <c r="G18" s="109"/>
      <c r="H18" s="110" t="e">
        <f>_xlfn.XLOOKUP(Table1[[#This Row],[Shipment Number]], 'pivot '!A:A,'pivot '!G:G, "NF")</f>
        <v>#DIV/0!</v>
      </c>
      <c r="I18" s="110">
        <f>_xlfn.XLOOKUP(Table1[[#This Row],[Party Name]],
[1]Billing!$O$5:$O$20,
[1]Billing!$S$5:$S$20)</f>
        <v>30188.368690563279</v>
      </c>
      <c r="J18" s="110" cm="1">
        <f t="array" ref="J1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362260.42428675934</v>
      </c>
      <c r="K18" s="108"/>
      <c r="P18"/>
      <c r="Q18"/>
      <c r="R18"/>
      <c r="S18"/>
      <c r="T18"/>
      <c r="U18"/>
      <c r="V18"/>
      <c r="W18"/>
      <c r="X18"/>
      <c r="Y18"/>
    </row>
    <row r="19" spans="1:25" x14ac:dyDescent="0.3">
      <c r="A19" s="28">
        <v>45947</v>
      </c>
      <c r="B19" s="25" t="s">
        <v>22</v>
      </c>
      <c r="C19" s="29" t="s">
        <v>184</v>
      </c>
      <c r="D19" s="29" t="s">
        <v>87</v>
      </c>
      <c r="E19" s="11"/>
      <c r="F19" s="11"/>
      <c r="G19" s="11"/>
      <c r="H19" s="32" t="e">
        <f>_xlfn.XLOOKUP(Table1[[#This Row],[Shipment Number]], 'pivot '!A:A,'pivot '!G:G, "NF")</f>
        <v>#DIV/0!</v>
      </c>
      <c r="I19" s="32">
        <f>_xlfn.XLOOKUP(Table1[[#This Row],[Party Name]],
[1]Billing!$O$5:$O$20,
[1]Billing!$S$5:$S$20)</f>
        <v>14897.58595464521</v>
      </c>
      <c r="J19" s="32" cm="1">
        <f t="array" ref="J1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178771.03145574252</v>
      </c>
      <c r="K19" s="29"/>
      <c r="P19"/>
      <c r="Q19"/>
      <c r="R19"/>
      <c r="S19"/>
      <c r="T19"/>
      <c r="U19"/>
      <c r="V19"/>
      <c r="W19"/>
      <c r="X19"/>
      <c r="Y19"/>
    </row>
    <row r="20" spans="1:25" x14ac:dyDescent="0.3">
      <c r="A20" s="28">
        <v>45947</v>
      </c>
      <c r="B20" s="25" t="s">
        <v>9</v>
      </c>
      <c r="C20" s="29" t="s">
        <v>184</v>
      </c>
      <c r="D20" s="29" t="s">
        <v>87</v>
      </c>
      <c r="E20" s="11"/>
      <c r="F20" s="11"/>
      <c r="G20" s="11"/>
      <c r="H20" s="32" t="e">
        <f>_xlfn.XLOOKUP(Table1[[#This Row],[Shipment Number]], 'pivot '!A:A,'pivot '!G:G, "NF")</f>
        <v>#DIV/0!</v>
      </c>
      <c r="I20" s="32">
        <f>_xlfn.XLOOKUP(Table1[[#This Row],[Party Name]],
[1]Billing!$O$5:$O$20,
[1]Billing!$S$5:$S$20)</f>
        <v>14794.257498171179</v>
      </c>
      <c r="J20" s="32" cm="1">
        <f t="array" ref="J2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177531.08997805414</v>
      </c>
      <c r="K20" s="29"/>
      <c r="P20"/>
      <c r="Q20"/>
      <c r="R20"/>
      <c r="S20"/>
      <c r="T20"/>
      <c r="U20"/>
      <c r="V20"/>
      <c r="W20"/>
      <c r="X20"/>
      <c r="Y20"/>
    </row>
    <row r="21" spans="1:25" x14ac:dyDescent="0.3">
      <c r="A21" s="28">
        <v>45947</v>
      </c>
      <c r="B21" s="25" t="s">
        <v>23</v>
      </c>
      <c r="C21" s="29" t="s">
        <v>184</v>
      </c>
      <c r="D21" s="29" t="s">
        <v>87</v>
      </c>
      <c r="E21" s="11"/>
      <c r="F21" s="11"/>
      <c r="G21" s="11"/>
      <c r="H21" s="32" t="e">
        <f>_xlfn.XLOOKUP(Table1[[#This Row],[Shipment Number]], 'pivot '!A:A,'pivot '!G:G, "NF")</f>
        <v>#DIV/0!</v>
      </c>
      <c r="I21" s="32">
        <f>_xlfn.XLOOKUP(Table1[[#This Row],[Party Name]],
[1]Billing!$O$5:$O$20,
[1]Billing!$S$5:$S$20)</f>
        <v>0</v>
      </c>
      <c r="J21" s="32" cm="1">
        <f t="array" ref="J2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1" s="29"/>
      <c r="P21"/>
      <c r="Q21"/>
      <c r="R21"/>
      <c r="S21"/>
      <c r="T21"/>
      <c r="U21"/>
      <c r="V21"/>
      <c r="W21"/>
      <c r="X21"/>
      <c r="Y21"/>
    </row>
    <row r="22" spans="1:25" x14ac:dyDescent="0.3">
      <c r="A22" s="28">
        <v>45947</v>
      </c>
      <c r="B22" s="25" t="s">
        <v>24</v>
      </c>
      <c r="C22" s="29" t="s">
        <v>184</v>
      </c>
      <c r="D22" s="29" t="s">
        <v>87</v>
      </c>
      <c r="E22" s="11"/>
      <c r="F22" s="11"/>
      <c r="G22" s="11"/>
      <c r="H22" s="32" t="e">
        <f>_xlfn.XLOOKUP(Table1[[#This Row],[Shipment Number]], 'pivot '!A:A,'pivot '!G:G, "NF")</f>
        <v>#DIV/0!</v>
      </c>
      <c r="I22" s="32">
        <f>_xlfn.XLOOKUP(Table1[[#This Row],[Party Name]],
[1]Billing!$O$5:$O$20,
[1]Billing!$S$5:$S$20)</f>
        <v>485823.88441843458</v>
      </c>
      <c r="J22" s="32" cm="1">
        <f t="array" ref="J2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5829886.6130212154</v>
      </c>
      <c r="K22" s="29"/>
      <c r="P22"/>
      <c r="Q22"/>
      <c r="R22"/>
      <c r="S22"/>
      <c r="T22"/>
      <c r="U22"/>
      <c r="V22"/>
      <c r="W22"/>
      <c r="X22"/>
      <c r="Y22"/>
    </row>
    <row r="23" spans="1:25" x14ac:dyDescent="0.3">
      <c r="A23" s="28">
        <v>45947</v>
      </c>
      <c r="B23" s="25" t="s">
        <v>25</v>
      </c>
      <c r="C23" s="29" t="s">
        <v>184</v>
      </c>
      <c r="D23" s="29" t="s">
        <v>87</v>
      </c>
      <c r="E23" s="11"/>
      <c r="F23" s="11"/>
      <c r="G23" s="11"/>
      <c r="H23" s="32" t="e">
        <f>_xlfn.XLOOKUP(Table1[[#This Row],[Shipment Number]], 'pivot '!A:A,'pivot '!G:G, "NF")</f>
        <v>#DIV/0!</v>
      </c>
      <c r="I23" s="32">
        <f>_xlfn.XLOOKUP(Table1[[#This Row],[Party Name]],
[1]Billing!$O$5:$O$20,
[1]Billing!$S$5:$S$20)</f>
        <v>0</v>
      </c>
      <c r="J23" s="32" cm="1">
        <f t="array" ref="J2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3" s="29"/>
      <c r="P23"/>
      <c r="Q23"/>
      <c r="R23"/>
      <c r="S23"/>
      <c r="T23"/>
      <c r="U23"/>
      <c r="V23"/>
      <c r="W23"/>
      <c r="X23"/>
      <c r="Y23"/>
    </row>
    <row r="24" spans="1:25" x14ac:dyDescent="0.3">
      <c r="A24" s="28">
        <v>45947</v>
      </c>
      <c r="B24" s="25" t="s">
        <v>26</v>
      </c>
      <c r="C24" s="29" t="s">
        <v>184</v>
      </c>
      <c r="D24" s="29" t="s">
        <v>87</v>
      </c>
      <c r="E24" s="11"/>
      <c r="F24" s="11"/>
      <c r="G24" s="11"/>
      <c r="H24" s="32" t="e">
        <f>_xlfn.XLOOKUP(Table1[[#This Row],[Shipment Number]], 'pivot '!A:A,'pivot '!G:G, "NF")</f>
        <v>#DIV/0!</v>
      </c>
      <c r="I24" s="32">
        <f>_xlfn.XLOOKUP(Table1[[#This Row],[Party Name]],
[1]Billing!$O$5:$O$20,
[1]Billing!$S$5:$S$20)</f>
        <v>0</v>
      </c>
      <c r="J24" s="32" cm="1">
        <f t="array" ref="J24">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4" s="29"/>
      <c r="P24"/>
      <c r="Q24"/>
      <c r="R24"/>
      <c r="S24"/>
      <c r="T24"/>
      <c r="U24"/>
      <c r="V24"/>
      <c r="W24"/>
      <c r="X24"/>
      <c r="Y24"/>
    </row>
    <row r="25" spans="1:25" x14ac:dyDescent="0.3">
      <c r="A25" s="28">
        <v>45947</v>
      </c>
      <c r="B25" s="25" t="s">
        <v>155</v>
      </c>
      <c r="C25" s="29" t="s">
        <v>184</v>
      </c>
      <c r="D25" s="29" t="s">
        <v>87</v>
      </c>
      <c r="E25" s="11"/>
      <c r="F25" s="11"/>
      <c r="G25" s="11"/>
      <c r="H25" s="32" t="e">
        <f>_xlfn.XLOOKUP(Table1[[#This Row],[Shipment Number]], 'pivot '!A:A,'pivot '!G:G, "NF")</f>
        <v>#DIV/0!</v>
      </c>
      <c r="I25" s="32">
        <f>_xlfn.XLOOKUP(Table1[[#This Row],[Party Name]],
[1]Billing!$O$5:$O$20,
[1]Billing!$S$5:$S$20)</f>
        <v>0</v>
      </c>
      <c r="J25" s="32" cm="1">
        <f t="array" ref="J25">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5" s="29"/>
      <c r="P25"/>
      <c r="Q25"/>
      <c r="R25"/>
      <c r="S25"/>
      <c r="T25"/>
      <c r="U25"/>
      <c r="V25"/>
      <c r="W25"/>
      <c r="X25"/>
      <c r="Y25"/>
    </row>
    <row r="26" spans="1:25" x14ac:dyDescent="0.3">
      <c r="A26" s="28">
        <v>45947</v>
      </c>
      <c r="B26" s="25" t="s">
        <v>35</v>
      </c>
      <c r="C26" s="29" t="s">
        <v>184</v>
      </c>
      <c r="D26" s="29" t="s">
        <v>87</v>
      </c>
      <c r="E26" s="11"/>
      <c r="F26" s="11"/>
      <c r="G26" s="11"/>
      <c r="H26" s="32" t="e">
        <f>_xlfn.XLOOKUP(Table1[[#This Row],[Shipment Number]], 'pivot '!A:A,'pivot '!G:G, "NF")</f>
        <v>#DIV/0!</v>
      </c>
      <c r="I26" s="32">
        <f>_xlfn.XLOOKUP(Table1[[#This Row],[Party Name]],
[1]Billing!$O$5:$O$20,
[1]Billing!$S$5:$S$20)</f>
        <v>14995.427944403806</v>
      </c>
      <c r="J26" s="32" cm="1">
        <f t="array" ref="J26">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179945.13533284568</v>
      </c>
      <c r="K26" s="29"/>
      <c r="P26"/>
      <c r="Q26"/>
      <c r="R26"/>
      <c r="S26"/>
      <c r="T26"/>
      <c r="U26"/>
      <c r="V26"/>
      <c r="W26"/>
      <c r="X26"/>
      <c r="Y26"/>
    </row>
    <row r="27" spans="1:25" x14ac:dyDescent="0.3">
      <c r="A27" s="28">
        <v>45947</v>
      </c>
      <c r="B27" s="25" t="s">
        <v>151</v>
      </c>
      <c r="C27" s="29" t="s">
        <v>184</v>
      </c>
      <c r="D27" s="29" t="s">
        <v>87</v>
      </c>
      <c r="E27" s="11"/>
      <c r="F27" s="11"/>
      <c r="G27" s="11"/>
      <c r="H27" s="32" t="e">
        <f>_xlfn.XLOOKUP(Table1[[#This Row],[Shipment Number]], 'pivot '!A:A,'pivot '!G:G, "NF")</f>
        <v>#DIV/0!</v>
      </c>
      <c r="I27" s="32">
        <f>_xlfn.XLOOKUP(Table1[[#This Row],[Party Name]],
[1]Billing!$O$5:$O$20,
[1]Billing!$S$5:$S$20)</f>
        <v>0</v>
      </c>
      <c r="J27" s="32" cm="1">
        <f t="array" ref="J27">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7" s="29"/>
      <c r="P27"/>
      <c r="Q27"/>
      <c r="R27"/>
      <c r="S27"/>
      <c r="T27"/>
      <c r="U27"/>
      <c r="V27"/>
      <c r="W27"/>
      <c r="X27"/>
      <c r="Y27"/>
    </row>
    <row r="28" spans="1:25" x14ac:dyDescent="0.3">
      <c r="A28" s="28">
        <v>45947</v>
      </c>
      <c r="B28" s="25" t="s">
        <v>27</v>
      </c>
      <c r="C28" s="29" t="s">
        <v>184</v>
      </c>
      <c r="D28" s="29" t="s">
        <v>87</v>
      </c>
      <c r="E28" s="11"/>
      <c r="F28" s="11"/>
      <c r="G28" s="11"/>
      <c r="H28" s="32" t="e">
        <f>_xlfn.XLOOKUP(Table1[[#This Row],[Shipment Number]], 'pivot '!A:A,'pivot '!G:G, "NF")</f>
        <v>#DIV/0!</v>
      </c>
      <c r="I28" s="32">
        <f>_xlfn.XLOOKUP(Table1[[#This Row],[Party Name]],
[1]Billing!$O$5:$O$20,
[1]Billing!$S$5:$S$20)</f>
        <v>0</v>
      </c>
      <c r="J28" s="32" cm="1">
        <f t="array" ref="J28">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28" s="29"/>
      <c r="P28"/>
      <c r="Q28"/>
      <c r="R28"/>
      <c r="S28"/>
      <c r="T28"/>
      <c r="U28"/>
      <c r="V28"/>
      <c r="W28"/>
      <c r="X28"/>
      <c r="Y28"/>
    </row>
    <row r="29" spans="1:25" x14ac:dyDescent="0.3">
      <c r="A29" s="28">
        <v>45947</v>
      </c>
      <c r="B29" s="25" t="s">
        <v>170</v>
      </c>
      <c r="C29" s="29" t="s">
        <v>184</v>
      </c>
      <c r="D29" s="29" t="s">
        <v>87</v>
      </c>
      <c r="E29" s="11"/>
      <c r="F29" s="11"/>
      <c r="G29" s="11"/>
      <c r="H29" s="32" t="e">
        <f>_xlfn.XLOOKUP(Table1[[#This Row],[Shipment Number]], 'pivot '!A:A,'pivot '!G:G, "NF")</f>
        <v>#DIV/0!</v>
      </c>
      <c r="I29" s="32">
        <f>_xlfn.XLOOKUP(Table1[[#This Row],[Party Name]],
[1]Billing!$O$5:$O$20,
[1]Billing!$S$5:$S$20)</f>
        <v>63154.718361375279</v>
      </c>
      <c r="J29" s="32" cm="1">
        <f t="array" ref="J29">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757856.62033650337</v>
      </c>
      <c r="K29" s="29"/>
      <c r="P29"/>
      <c r="Q29"/>
      <c r="R29"/>
      <c r="S29"/>
      <c r="T29"/>
      <c r="U29"/>
      <c r="V29"/>
      <c r="W29"/>
      <c r="X29"/>
      <c r="Y29"/>
    </row>
    <row r="30" spans="1:25" x14ac:dyDescent="0.3">
      <c r="A30" s="28">
        <v>45947</v>
      </c>
      <c r="B30" s="25" t="s">
        <v>173</v>
      </c>
      <c r="C30" s="29" t="s">
        <v>184</v>
      </c>
      <c r="D30" s="29" t="s">
        <v>87</v>
      </c>
      <c r="E30" s="11"/>
      <c r="F30" s="11"/>
      <c r="G30" s="11"/>
      <c r="H30" s="32" t="e">
        <f>_xlfn.XLOOKUP(Table1[[#This Row],[Shipment Number]], 'pivot '!A:A,'pivot '!G:G, "NF")</f>
        <v>#DIV/0!</v>
      </c>
      <c r="I30" s="32">
        <f>_xlfn.XLOOKUP(Table1[[#This Row],[Party Name]],
[1]Billing!$O$5:$O$20,
[1]Billing!$S$5:$S$20)</f>
        <v>0</v>
      </c>
      <c r="J30" s="32" cm="1">
        <f t="array" ref="J30">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0" s="29"/>
      <c r="P30"/>
      <c r="Q30"/>
      <c r="R30"/>
      <c r="S30"/>
      <c r="T30"/>
      <c r="U30"/>
      <c r="V30"/>
      <c r="W30"/>
      <c r="X30"/>
      <c r="Y30"/>
    </row>
    <row r="31" spans="1:25" x14ac:dyDescent="0.3">
      <c r="A31" s="28">
        <v>45947</v>
      </c>
      <c r="B31" s="25" t="s">
        <v>180</v>
      </c>
      <c r="C31" s="29" t="s">
        <v>184</v>
      </c>
      <c r="D31" s="29" t="s">
        <v>87</v>
      </c>
      <c r="E31" s="11"/>
      <c r="F31" s="11"/>
      <c r="G31" s="11"/>
      <c r="H31" s="32" t="e">
        <f>_xlfn.XLOOKUP(Table1[[#This Row],[Shipment Number]], 'pivot '!A:A,'pivot '!G:G, "NF")</f>
        <v>#DIV/0!</v>
      </c>
      <c r="I31" s="32">
        <f>_xlfn.XLOOKUP(Table1[[#This Row],[Party Name]],
[1]Billing!$O$5:$O$20,
[1]Billing!$S$5:$S$20)</f>
        <v>0</v>
      </c>
      <c r="J31" s="32" cm="1">
        <f t="array" ref="J31">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1" s="29"/>
      <c r="P31"/>
      <c r="Q31"/>
      <c r="R31"/>
      <c r="S31"/>
      <c r="T31"/>
      <c r="U31"/>
      <c r="V31"/>
      <c r="W31"/>
      <c r="X31"/>
      <c r="Y31"/>
    </row>
    <row r="32" spans="1:25" x14ac:dyDescent="0.3">
      <c r="A32" s="28">
        <v>45947</v>
      </c>
      <c r="B32" s="25" t="s">
        <v>181</v>
      </c>
      <c r="C32" s="29" t="s">
        <v>184</v>
      </c>
      <c r="D32" s="29" t="s">
        <v>87</v>
      </c>
      <c r="E32" s="11"/>
      <c r="F32" s="11"/>
      <c r="G32" s="11"/>
      <c r="H32" s="32" t="e">
        <f>_xlfn.XLOOKUP(Table1[[#This Row],[Shipment Number]], 'pivot '!A:A,'pivot '!G:G, "NF")</f>
        <v>#DIV/0!</v>
      </c>
      <c r="I32" s="32">
        <f>_xlfn.XLOOKUP(Table1[[#This Row],[Party Name]],
[1]Billing!$O$5:$O$20,
[1]Billing!$S$5:$S$20)</f>
        <v>0</v>
      </c>
      <c r="J32" s="32" cm="1">
        <f t="array" ref="J32">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2" s="29"/>
      <c r="P32"/>
      <c r="Q32"/>
      <c r="R32"/>
      <c r="S32"/>
      <c r="T32"/>
      <c r="U32"/>
      <c r="V32"/>
      <c r="W32"/>
      <c r="X32"/>
      <c r="Y32"/>
    </row>
    <row r="33" spans="1:25" x14ac:dyDescent="0.3">
      <c r="A33" s="111">
        <v>45947</v>
      </c>
      <c r="B33" s="25" t="s">
        <v>183</v>
      </c>
      <c r="C33" s="112" t="s">
        <v>184</v>
      </c>
      <c r="D33" s="112" t="s">
        <v>87</v>
      </c>
      <c r="E33" s="113"/>
      <c r="F33" s="113"/>
      <c r="G33" s="113"/>
      <c r="H33" s="114" t="e">
        <f>_xlfn.XLOOKUP(Table1[[#This Row],[Shipment Number]], 'pivot '!A:A,'pivot '!G:G, "NF")</f>
        <v>#DIV/0!</v>
      </c>
      <c r="I33" s="114">
        <f>_xlfn.XLOOKUP(Table1[[#This Row],[Party Name]],
[1]Billing!$O$5:$O$20,
[1]Billing!$S$5:$S$20)</f>
        <v>0</v>
      </c>
      <c r="J33" s="114" cm="1">
        <f t="array" ref="J33">_xlfn.IFS(
AND(Table1[[#This Row],[Party Name]]="Sufi Nawaz Sahab",Table1[[#This Row],[Quality]]="Chamki"),Table1[[#This Row],[tiyar/meters]]*9,
AND(Table1[[#This Row],[Party Name]]="Sufi Nawaz Sahab",Table1[[#This Row],[Quality]]="Silky"),Table1[[#This Row],[tiyar/meters]]*12,
AND(Table1[[#This Row],[Party Name]]="Shehzad Kamoki",Table1[[#This Row],[Quality]]="Chamki"),Table1[[#This Row],[tiyar/meters]]*10.5,
Table1[[#This Row],[Quality]]="Chamki",Table1[[#This Row],[tiyar/meters]]*10,
Table1[[#This Row],[Quality]]="Silky",Table1[[#This Row],[tiyar/meters]]*12,Table1[[#This Row],[Quality]]="Crinkle",Table1[[#This Row],[tiyar/meters]]*10
)</f>
        <v>0</v>
      </c>
      <c r="K33" s="112"/>
      <c r="P33"/>
      <c r="Q33"/>
      <c r="R33"/>
      <c r="S33"/>
      <c r="T33"/>
      <c r="U33"/>
      <c r="V33"/>
      <c r="W33"/>
      <c r="X33"/>
      <c r="Y33"/>
    </row>
    <row r="34" spans="1:25" x14ac:dyDescent="0.3">
      <c r="A34" s="119">
        <v>45948</v>
      </c>
      <c r="B34" s="122" t="s">
        <v>21</v>
      </c>
      <c r="C34" s="120">
        <v>985</v>
      </c>
      <c r="D34" s="120" t="s">
        <v>87</v>
      </c>
      <c r="E34" s="117">
        <v>1818</v>
      </c>
      <c r="F34" s="117">
        <v>15182</v>
      </c>
      <c r="G34" s="117">
        <v>3532</v>
      </c>
      <c r="H34" s="121">
        <f>_xlfn.XLOOKUP(Table1[[#This Row],[Shipment Number]], 'pivot '!A:A,'pivot '!G:G, "NF")</f>
        <v>52.490614487163164</v>
      </c>
      <c r="I34" s="121">
        <f>Table1[[#This Row],[Tiyaar/gaz]]/1.0936</f>
        <v>3229.7000731528897</v>
      </c>
      <c r="J34" s="121" cm="1">
        <f t="array" ref="J3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38756.400877834676</v>
      </c>
      <c r="K34" s="120"/>
      <c r="P34"/>
      <c r="Q34"/>
      <c r="R34"/>
      <c r="S34"/>
      <c r="T34"/>
      <c r="U34"/>
      <c r="V34"/>
      <c r="W34"/>
      <c r="X34"/>
      <c r="Y34"/>
    </row>
    <row r="35" spans="1:25" x14ac:dyDescent="0.3">
      <c r="A35" s="119">
        <v>45948</v>
      </c>
      <c r="B35" s="29" t="s">
        <v>21</v>
      </c>
      <c r="C35" s="29">
        <v>986</v>
      </c>
      <c r="D35" s="29" t="s">
        <v>87</v>
      </c>
      <c r="E35" s="11">
        <v>1818</v>
      </c>
      <c r="F35" s="11">
        <v>15182</v>
      </c>
      <c r="G35" s="11">
        <v>4356</v>
      </c>
      <c r="H35" s="32">
        <f>_xlfn.XLOOKUP(Table1[[#This Row],[Shipment Number]], 'pivot '!A:A,'pivot '!G:G, "NF")</f>
        <v>52.490614487163164</v>
      </c>
      <c r="I35" s="121">
        <f>Table1[[#This Row],[Tiyaar/gaz]]/1.0936</f>
        <v>3983.1748354059987</v>
      </c>
      <c r="J35" s="121" cm="1">
        <f t="array" ref="J3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47798.098024871986</v>
      </c>
      <c r="K35" s="29"/>
      <c r="P35"/>
      <c r="Q35"/>
      <c r="R35"/>
      <c r="S35"/>
      <c r="T35"/>
      <c r="U35"/>
      <c r="V35"/>
      <c r="W35"/>
      <c r="X35"/>
      <c r="Y35"/>
    </row>
    <row r="36" spans="1:25" x14ac:dyDescent="0.3">
      <c r="A36" s="119">
        <v>45948</v>
      </c>
      <c r="B36" s="29" t="s">
        <v>21</v>
      </c>
      <c r="C36" s="29">
        <v>987</v>
      </c>
      <c r="D36" s="29" t="s">
        <v>87</v>
      </c>
      <c r="E36" s="11">
        <v>1780</v>
      </c>
      <c r="F36" s="11">
        <v>10086</v>
      </c>
      <c r="G36" s="11">
        <v>7867</v>
      </c>
      <c r="H36" s="32">
        <f>_xlfn.XLOOKUP(Table1[[#This Row],[Shipment Number]], 'pivot '!A:A,'pivot '!G:G, "NF")</f>
        <v>0.46282294143081515</v>
      </c>
      <c r="I36" s="121">
        <f>Table1[[#This Row],[Tiyaar/gaz]]/1.0936</f>
        <v>7193.6722750548652</v>
      </c>
      <c r="J36" s="121" cm="1">
        <f t="array" ref="J3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86324.067300658382</v>
      </c>
      <c r="K36" s="29"/>
      <c r="P36"/>
      <c r="Q36"/>
      <c r="R36"/>
      <c r="S36"/>
      <c r="T36"/>
      <c r="U36"/>
      <c r="V36"/>
      <c r="W36"/>
      <c r="X36"/>
      <c r="Y36"/>
    </row>
    <row r="37" spans="1:25" x14ac:dyDescent="0.3">
      <c r="A37" s="119">
        <v>45948</v>
      </c>
      <c r="B37" s="29" t="s">
        <v>21</v>
      </c>
      <c r="C37" s="29">
        <v>988</v>
      </c>
      <c r="D37" s="29" t="s">
        <v>87</v>
      </c>
      <c r="E37" s="11">
        <v>1780</v>
      </c>
      <c r="F37" s="11">
        <v>10086</v>
      </c>
      <c r="G37" s="11">
        <v>3112</v>
      </c>
      <c r="H37" s="32">
        <f>_xlfn.XLOOKUP(Table1[[#This Row],[Shipment Number]], 'pivot '!A:A,'pivot '!G:G, "NF")</f>
        <v>0.46282294143081515</v>
      </c>
      <c r="I37" s="121">
        <f>Table1[[#This Row],[Tiyaar/gaz]]/1.0936</f>
        <v>2845.6474030724216</v>
      </c>
      <c r="J37" s="121" cm="1">
        <f t="array" ref="J3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34147.768836869058</v>
      </c>
      <c r="K37" s="29"/>
      <c r="P37"/>
      <c r="Q37"/>
      <c r="R37"/>
      <c r="S37"/>
      <c r="T37"/>
      <c r="U37"/>
      <c r="V37"/>
      <c r="W37"/>
      <c r="X37"/>
      <c r="Y37"/>
    </row>
    <row r="38" spans="1:25" x14ac:dyDescent="0.3">
      <c r="A38" s="119">
        <v>45948</v>
      </c>
      <c r="B38" s="29" t="s">
        <v>198</v>
      </c>
      <c r="C38" s="29">
        <v>989</v>
      </c>
      <c r="D38" s="29" t="s">
        <v>87</v>
      </c>
      <c r="E38" s="11">
        <v>1800</v>
      </c>
      <c r="F38" s="11">
        <v>32917</v>
      </c>
      <c r="G38" s="11">
        <v>34960</v>
      </c>
      <c r="H38" s="32">
        <f>_xlfn.XLOOKUP(Table1[[#This Row],[Shipment Number]], 'pivot '!A:A,'pivot '!G:G, "NF")</f>
        <v>2.8835776996604068</v>
      </c>
      <c r="I38" s="121">
        <f>Table1[[#This Row],[Tiyaar/gaz]]/1.0936</f>
        <v>31967.812728602781</v>
      </c>
      <c r="J38" s="121" cm="1">
        <f t="array" ref="J3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415581.56547183613</v>
      </c>
      <c r="K38" s="29"/>
      <c r="P38"/>
      <c r="Q38"/>
      <c r="R38"/>
      <c r="S38"/>
      <c r="T38"/>
      <c r="U38"/>
      <c r="V38"/>
      <c r="W38"/>
      <c r="X38"/>
      <c r="Y38"/>
    </row>
    <row r="39" spans="1:25" x14ac:dyDescent="0.3">
      <c r="A39" s="119">
        <v>45948</v>
      </c>
      <c r="B39" s="29" t="s">
        <v>21</v>
      </c>
      <c r="C39" s="29">
        <v>990</v>
      </c>
      <c r="D39" s="29" t="s">
        <v>87</v>
      </c>
      <c r="E39" s="11">
        <v>1826</v>
      </c>
      <c r="F39" s="11">
        <v>22518</v>
      </c>
      <c r="G39" s="11">
        <v>3397</v>
      </c>
      <c r="H39" s="32">
        <f>_xlfn.XLOOKUP(Table1[[#This Row],[Shipment Number]], 'pivot '!A:A,'pivot '!G:G, "NF")</f>
        <v>4.5102697001952947</v>
      </c>
      <c r="I39" s="121">
        <f>Table1[[#This Row],[Tiyaar/gaz]]/1.0936</f>
        <v>3106.2545720555963</v>
      </c>
      <c r="J39" s="121" cm="1">
        <f t="array" ref="J3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37275.054864667152</v>
      </c>
      <c r="K39" s="29"/>
      <c r="P39"/>
      <c r="Q39"/>
      <c r="R39"/>
      <c r="S39"/>
      <c r="T39"/>
      <c r="U39"/>
      <c r="V39"/>
      <c r="W39"/>
      <c r="X39"/>
      <c r="Y39"/>
    </row>
    <row r="40" spans="1:25" x14ac:dyDescent="0.3">
      <c r="A40" s="28">
        <v>45950</v>
      </c>
      <c r="B40" s="29" t="s">
        <v>21</v>
      </c>
      <c r="C40" s="29">
        <v>991</v>
      </c>
      <c r="D40" s="29" t="s">
        <v>87</v>
      </c>
      <c r="E40" s="11">
        <v>1826</v>
      </c>
      <c r="F40" s="11">
        <v>22518</v>
      </c>
      <c r="G40" s="11">
        <v>20118</v>
      </c>
      <c r="H40" s="32">
        <f>_xlfn.XLOOKUP(Table1[[#This Row],[Shipment Number]], 'pivot '!A:A,'pivot '!G:G, "NF")</f>
        <v>4.5102697001952947</v>
      </c>
      <c r="I40" s="121">
        <f>Table1[[#This Row],[Tiyaar/gaz]]/1.0936</f>
        <v>18396.122896854427</v>
      </c>
      <c r="J40" s="121" cm="1">
        <f t="array" ref="J4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220753.47476225311</v>
      </c>
      <c r="K40" s="29"/>
      <c r="P40"/>
      <c r="Q40"/>
      <c r="R40"/>
      <c r="S40"/>
      <c r="T40"/>
      <c r="U40"/>
      <c r="V40"/>
      <c r="W40"/>
      <c r="X40"/>
      <c r="Y40"/>
    </row>
    <row r="41" spans="1:25" x14ac:dyDescent="0.3">
      <c r="A41" s="28">
        <v>45950</v>
      </c>
      <c r="B41" s="29" t="s">
        <v>22</v>
      </c>
      <c r="C41" s="29">
        <v>992</v>
      </c>
      <c r="D41" s="29" t="s">
        <v>87</v>
      </c>
      <c r="E41" s="11">
        <v>1803</v>
      </c>
      <c r="F41" s="11">
        <v>20021</v>
      </c>
      <c r="G41" s="11">
        <v>21555</v>
      </c>
      <c r="H41" s="32">
        <f>_xlfn.XLOOKUP(Table1[[#This Row],[Shipment Number]], 'pivot '!A:A,'pivot '!G:G, "NF")</f>
        <v>1.5527112771531364</v>
      </c>
      <c r="I41" s="121">
        <f>Table1[[#This Row],[Tiyaar/gaz]]/1.0936</f>
        <v>19710.131675201173</v>
      </c>
      <c r="J41" s="121" cm="1">
        <f t="array" ref="J4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236521.58010241407</v>
      </c>
      <c r="K41" s="29"/>
      <c r="P41"/>
      <c r="Q41"/>
      <c r="R41"/>
      <c r="S41"/>
      <c r="T41"/>
      <c r="U41"/>
      <c r="V41"/>
      <c r="W41"/>
      <c r="X41"/>
      <c r="Y41"/>
    </row>
    <row r="42" spans="1:25" x14ac:dyDescent="0.3">
      <c r="A42" s="28">
        <v>45950</v>
      </c>
      <c r="B42" s="29" t="s">
        <v>21</v>
      </c>
      <c r="C42" s="29">
        <v>993</v>
      </c>
      <c r="D42" s="29" t="s">
        <v>87</v>
      </c>
      <c r="E42" s="11">
        <v>1829</v>
      </c>
      <c r="F42" s="11">
        <v>20054</v>
      </c>
      <c r="G42" s="11">
        <v>1563</v>
      </c>
      <c r="H42" s="32">
        <f>_xlfn.XLOOKUP(Table1[[#This Row],[Shipment Number]], 'pivot '!A:A,'pivot '!G:G, "NF")</f>
        <v>3.1966287950113212</v>
      </c>
      <c r="I42" s="121">
        <f>Table1[[#This Row],[Tiyaar/gaz]]/1.0936</f>
        <v>1429.2245793708853</v>
      </c>
      <c r="J42" s="121" cm="1">
        <f t="array" ref="J4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17150.694952450624</v>
      </c>
      <c r="K42" s="29"/>
      <c r="P42"/>
      <c r="Q42"/>
      <c r="R42"/>
      <c r="S42"/>
      <c r="T42"/>
      <c r="U42"/>
      <c r="V42"/>
      <c r="W42"/>
      <c r="X42"/>
      <c r="Y42"/>
    </row>
    <row r="43" spans="1:25" x14ac:dyDescent="0.3">
      <c r="A43" s="28">
        <v>45950</v>
      </c>
      <c r="B43" s="29" t="s">
        <v>227</v>
      </c>
      <c r="C43" s="29">
        <v>994</v>
      </c>
      <c r="D43" s="29" t="s">
        <v>87</v>
      </c>
      <c r="E43" s="11">
        <v>1813</v>
      </c>
      <c r="F43" s="11">
        <v>7734</v>
      </c>
      <c r="G43" s="11">
        <v>8274</v>
      </c>
      <c r="H43" s="32">
        <f>_xlfn.XLOOKUP(Table1[[#This Row],[Shipment Number]], 'pivot '!A:A,'pivot '!G:G, "NF")</f>
        <v>2.1743263436097209</v>
      </c>
      <c r="I43" s="121">
        <f>Table1[[#This Row],[Tiyaar/gaz]]/1.0936</f>
        <v>7565.8376005852242</v>
      </c>
      <c r="J43" s="121" cm="1">
        <f t="array" ref="J4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98355.888807607917</v>
      </c>
      <c r="K43" s="29"/>
      <c r="P43"/>
      <c r="Q43"/>
      <c r="R43"/>
      <c r="S43"/>
      <c r="T43"/>
      <c r="U43"/>
      <c r="V43"/>
      <c r="W43"/>
      <c r="X43"/>
      <c r="Y43"/>
    </row>
    <row r="44" spans="1:25" x14ac:dyDescent="0.3">
      <c r="A44" s="28">
        <v>45951</v>
      </c>
      <c r="B44" s="29" t="s">
        <v>21</v>
      </c>
      <c r="C44" s="29">
        <v>995</v>
      </c>
      <c r="D44" s="29" t="s">
        <v>87</v>
      </c>
      <c r="E44" s="11">
        <v>1829</v>
      </c>
      <c r="F44" s="11">
        <v>20054</v>
      </c>
      <c r="G44" s="11">
        <v>19667</v>
      </c>
      <c r="H44" s="32">
        <f>_xlfn.XLOOKUP(Table1[[#This Row],[Shipment Number]], 'pivot '!A:A,'pivot '!G:G, "NF")</f>
        <v>3.1966287950113212</v>
      </c>
      <c r="I44" s="121">
        <f>Table1[[#This Row],[Tiyaar/gaz]]/1.0936</f>
        <v>17983.723482077545</v>
      </c>
      <c r="J44" s="121" cm="1">
        <f t="array" ref="J4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215804.68178493052</v>
      </c>
      <c r="K44" s="29"/>
      <c r="P44"/>
      <c r="Q44"/>
      <c r="R44"/>
      <c r="S44"/>
      <c r="T44"/>
      <c r="U44"/>
      <c r="V44"/>
      <c r="W44"/>
      <c r="X44"/>
      <c r="Y44"/>
    </row>
    <row r="45" spans="1:25" x14ac:dyDescent="0.3">
      <c r="A45" s="28">
        <v>45951</v>
      </c>
      <c r="B45" s="29" t="s">
        <v>22</v>
      </c>
      <c r="C45" s="29">
        <v>996</v>
      </c>
      <c r="D45" s="29" t="s">
        <v>87</v>
      </c>
      <c r="E45" s="11">
        <v>1827</v>
      </c>
      <c r="F45" s="11">
        <v>25039</v>
      </c>
      <c r="G45" s="11">
        <v>17569</v>
      </c>
      <c r="H45" s="32">
        <f>_xlfn.XLOOKUP(Table1[[#This Row],[Shipment Number]], 'pivot '!A:A,'pivot '!G:G, "NF")</f>
        <v>2.0072943705989843</v>
      </c>
      <c r="I45" s="121">
        <f>Table1[[#This Row],[Tiyaar/gaz]]/1.0936</f>
        <v>16065.288953913681</v>
      </c>
      <c r="J45" s="121" cm="1">
        <f t="array" ref="J4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192783.46744696418</v>
      </c>
      <c r="K45" s="29"/>
      <c r="P45"/>
      <c r="Q45"/>
      <c r="R45"/>
      <c r="S45"/>
      <c r="T45"/>
      <c r="U45"/>
      <c r="V45"/>
      <c r="W45"/>
      <c r="X45"/>
      <c r="Y45"/>
    </row>
    <row r="46" spans="1:25" x14ac:dyDescent="0.3">
      <c r="A46" s="28">
        <v>45951</v>
      </c>
      <c r="B46" s="29" t="s">
        <v>22</v>
      </c>
      <c r="C46" s="29">
        <v>997</v>
      </c>
      <c r="D46" s="29" t="s">
        <v>87</v>
      </c>
      <c r="E46" s="11">
        <v>1827</v>
      </c>
      <c r="F46" s="11">
        <v>25039</v>
      </c>
      <c r="G46" s="11">
        <v>9264</v>
      </c>
      <c r="H46" s="32">
        <f>_xlfn.XLOOKUP(Table1[[#This Row],[Shipment Number]], 'pivot '!A:A,'pivot '!G:G, "NF")</f>
        <v>2.0072943705989843</v>
      </c>
      <c r="I46" s="121">
        <f>Table1[[#This Row],[Tiyaar/gaz]]/1.0936</f>
        <v>8471.1046086320421</v>
      </c>
      <c r="J46" s="121" cm="1">
        <f t="array" ref="J4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Row],[tiyar/meters]]*12,
  Table1[[#This Row],[Quality]]="Crinkle",Table1[[#This Row],[tiyar/meters]]*10
)</f>
        <v>101653.2553035845</v>
      </c>
      <c r="K46" s="29"/>
      <c r="P46"/>
      <c r="Q46"/>
      <c r="R46"/>
      <c r="S46"/>
      <c r="T46"/>
      <c r="U46"/>
      <c r="V46"/>
      <c r="W46"/>
      <c r="X46"/>
      <c r="Y46"/>
    </row>
    <row r="47" spans="1:25" x14ac:dyDescent="0.3">
      <c r="A47" s="28">
        <v>45951</v>
      </c>
      <c r="B47" s="29" t="s">
        <v>9</v>
      </c>
      <c r="C47" s="29">
        <v>998</v>
      </c>
      <c r="D47" s="29" t="s">
        <v>85</v>
      </c>
      <c r="E47" s="11">
        <v>1761</v>
      </c>
      <c r="F47" s="11">
        <v>35598</v>
      </c>
      <c r="G47" s="11">
        <v>38020</v>
      </c>
      <c r="H47" s="32">
        <f>_xlfn.XLOOKUP(Table1[[#This Row],[Shipment Number]], 'pivot '!A:A,'pivot '!G:G, "NF")</f>
        <v>2.3374606621867287</v>
      </c>
      <c r="I47" s="121">
        <f>Table1[[#This Row],[Tiyaar/gaz]]/1.0936</f>
        <v>34765.910753474767</v>
      </c>
      <c r="J47" s="121" cm="1">
        <f t="array" ref="J4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347659.10753474769</v>
      </c>
      <c r="K47" s="29"/>
      <c r="P47"/>
      <c r="Q47"/>
      <c r="R47"/>
      <c r="S47"/>
      <c r="T47"/>
      <c r="U47"/>
      <c r="V47"/>
      <c r="W47"/>
      <c r="X47"/>
      <c r="Y47"/>
    </row>
    <row r="48" spans="1:25" x14ac:dyDescent="0.3">
      <c r="A48" s="28">
        <v>45952</v>
      </c>
      <c r="B48" s="29" t="s">
        <v>9</v>
      </c>
      <c r="C48" s="29">
        <v>999</v>
      </c>
      <c r="D48" s="29" t="s">
        <v>85</v>
      </c>
      <c r="E48" s="11">
        <v>1786</v>
      </c>
      <c r="F48" s="11">
        <v>34719</v>
      </c>
      <c r="G48" s="11">
        <v>37349</v>
      </c>
      <c r="H48" s="32">
        <f>_xlfn.XLOOKUP(Table1[[#This Row],[Shipment Number]], 'pivot '!A:A,'pivot '!G:G, "NF")</f>
        <v>1.6321296913354217</v>
      </c>
      <c r="I48" s="121">
        <f>Table1[[#This Row],[Tiyaar/gaz]]/1.0936</f>
        <v>34152.340892465254</v>
      </c>
      <c r="J48" s="121" cm="1">
        <f t="array" ref="J4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341523.40892465255</v>
      </c>
      <c r="K48" s="29"/>
      <c r="P48"/>
      <c r="Q48"/>
      <c r="R48"/>
      <c r="S48"/>
      <c r="T48"/>
      <c r="U48"/>
      <c r="V48"/>
      <c r="W48"/>
      <c r="X48"/>
      <c r="Y48"/>
    </row>
    <row r="49" spans="1:25" x14ac:dyDescent="0.3">
      <c r="A49" s="28">
        <v>45952</v>
      </c>
      <c r="B49" s="29" t="s">
        <v>249</v>
      </c>
      <c r="C49" s="29">
        <v>1000</v>
      </c>
      <c r="D49" s="29" t="s">
        <v>87</v>
      </c>
      <c r="E49" s="11">
        <v>1834</v>
      </c>
      <c r="F49" s="11">
        <v>18060</v>
      </c>
      <c r="G49" s="11">
        <v>1662</v>
      </c>
      <c r="H49" s="32">
        <f>_xlfn.XLOOKUP(Table1[[#This Row],[Shipment Number]], 'pivot '!A:A,'pivot '!G:G, "NF")</f>
        <v>91.584987374443145</v>
      </c>
      <c r="I49" s="121">
        <f>Table1[[#This Row],[Tiyaar/gaz]]/1.0936</f>
        <v>1519.751280175567</v>
      </c>
      <c r="J49" s="121" cm="1">
        <f t="array" ref="J4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19756.766642282371</v>
      </c>
      <c r="K49" s="29"/>
      <c r="P49"/>
      <c r="Q49"/>
      <c r="R49"/>
      <c r="S49"/>
      <c r="T49"/>
      <c r="U49"/>
      <c r="V49"/>
      <c r="W49"/>
      <c r="X49"/>
      <c r="Y49"/>
    </row>
    <row r="50" spans="1:25" x14ac:dyDescent="0.3">
      <c r="A50" s="28">
        <v>45952</v>
      </c>
      <c r="B50" s="29" t="s">
        <v>25</v>
      </c>
      <c r="C50" s="29">
        <v>1001</v>
      </c>
      <c r="D50" s="29" t="s">
        <v>85</v>
      </c>
      <c r="E50" s="11">
        <v>1796</v>
      </c>
      <c r="F50" s="11">
        <v>42632</v>
      </c>
      <c r="G50" s="11">
        <v>45331</v>
      </c>
      <c r="H50" s="32">
        <f>_xlfn.XLOOKUP(Table1[[#This Row],[Shipment Number]], 'pivot '!A:A,'pivot '!G:G, "NF")</f>
        <v>2.7698197451852451</v>
      </c>
      <c r="I50" s="121">
        <f>Table1[[#This Row],[Tiyaar/gaz]]/1.0936</f>
        <v>41451.170446232631</v>
      </c>
      <c r="J50" s="121" cm="1">
        <f t="array" ref="J5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414511.70446232631</v>
      </c>
      <c r="K50" s="29"/>
      <c r="P50"/>
      <c r="Q50"/>
      <c r="R50"/>
      <c r="S50"/>
      <c r="T50"/>
      <c r="U50"/>
      <c r="V50"/>
      <c r="W50"/>
      <c r="X50"/>
      <c r="Y50"/>
    </row>
    <row r="51" spans="1:25" x14ac:dyDescent="0.3">
      <c r="A51" s="28">
        <v>45953</v>
      </c>
      <c r="B51" s="29" t="s">
        <v>21</v>
      </c>
      <c r="C51" s="29">
        <v>1002</v>
      </c>
      <c r="D51" s="29" t="s">
        <v>85</v>
      </c>
      <c r="E51" s="11">
        <v>1836</v>
      </c>
      <c r="F51" s="11">
        <v>9527</v>
      </c>
      <c r="G51" s="11">
        <v>10153</v>
      </c>
      <c r="H51" s="32">
        <f>_xlfn.XLOOKUP(Table1[[#This Row],[Shipment Number]], 'pivot '!A:A,'pivot '!G:G, "NF")</f>
        <v>2.5504766071617553</v>
      </c>
      <c r="I51" s="121">
        <f>Table1[[#This Row],[Tiyaar/gaz]]/1.0936</f>
        <v>9284.0160936356988</v>
      </c>
      <c r="J51" s="121" cm="1">
        <f t="array" ref="J5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92840.160936356988</v>
      </c>
      <c r="K51" s="29"/>
      <c r="P51"/>
      <c r="Q51"/>
      <c r="R51"/>
      <c r="S51"/>
      <c r="T51"/>
      <c r="U51"/>
      <c r="V51"/>
      <c r="W51"/>
      <c r="X51"/>
      <c r="Y51"/>
    </row>
    <row r="52" spans="1:25" x14ac:dyDescent="0.3">
      <c r="A52" s="28">
        <v>45953</v>
      </c>
      <c r="B52" s="29" t="s">
        <v>21</v>
      </c>
      <c r="C52" s="29">
        <v>1003</v>
      </c>
      <c r="D52" s="29" t="s">
        <v>85</v>
      </c>
      <c r="E52" s="11">
        <v>1828</v>
      </c>
      <c r="F52" s="11">
        <v>31302</v>
      </c>
      <c r="G52" s="11">
        <v>31733</v>
      </c>
      <c r="H52" s="32">
        <f>_xlfn.XLOOKUP(Table1[[#This Row],[Shipment Number]], 'pivot '!A:A,'pivot '!G:G, "NF")</f>
        <v>0.87306718693977814</v>
      </c>
      <c r="I52" s="121">
        <f>Table1[[#This Row],[Tiyaar/gaz]]/1.0936</f>
        <v>29017.008046817853</v>
      </c>
      <c r="J52" s="121" cm="1">
        <f t="array" ref="J5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290170.08046817855</v>
      </c>
      <c r="K52" s="29"/>
      <c r="P52"/>
      <c r="Q52"/>
      <c r="R52"/>
      <c r="S52"/>
      <c r="T52"/>
      <c r="U52"/>
      <c r="V52"/>
      <c r="W52"/>
      <c r="X52"/>
      <c r="Y52"/>
    </row>
    <row r="53" spans="1:25" x14ac:dyDescent="0.3">
      <c r="A53" s="28">
        <v>45953</v>
      </c>
      <c r="B53" s="29" t="s">
        <v>21</v>
      </c>
      <c r="C53" s="29">
        <v>1004</v>
      </c>
      <c r="D53" s="29" t="s">
        <v>85</v>
      </c>
      <c r="E53" s="11">
        <v>1837</v>
      </c>
      <c r="F53" s="11">
        <v>11233</v>
      </c>
      <c r="G53" s="11">
        <v>3227</v>
      </c>
      <c r="H53" s="32">
        <f>_xlfn.XLOOKUP(Table1[[#This Row],[Shipment Number]], 'pivot '!A:A,'pivot '!G:G, "NF")</f>
        <v>-8.9429716796790615</v>
      </c>
      <c r="I53" s="121">
        <f>Table1[[#This Row],[Tiyaar/gaz]]/1.0936</f>
        <v>2950.8046817849308</v>
      </c>
      <c r="J53" s="121" cm="1">
        <f t="array" ref="J53">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29508.04681784931</v>
      </c>
      <c r="K53" s="29"/>
      <c r="P53"/>
      <c r="Q53"/>
      <c r="R53"/>
      <c r="S53"/>
      <c r="T53"/>
      <c r="U53"/>
      <c r="V53"/>
      <c r="W53"/>
      <c r="X53"/>
      <c r="Y53"/>
    </row>
    <row r="54" spans="1:25" x14ac:dyDescent="0.3">
      <c r="A54" s="28">
        <v>45954</v>
      </c>
      <c r="B54" s="29" t="s">
        <v>21</v>
      </c>
      <c r="C54" s="29">
        <v>1005</v>
      </c>
      <c r="D54" s="29" t="s">
        <v>85</v>
      </c>
      <c r="E54" s="11">
        <v>1840</v>
      </c>
      <c r="F54" s="11">
        <v>8913</v>
      </c>
      <c r="G54" s="11">
        <v>7126</v>
      </c>
      <c r="H54" s="32">
        <f>_xlfn.XLOOKUP(Table1[[#This Row],[Shipment Number]], 'pivot '!A:A,'pivot '!G:G, "NF")</f>
        <v>2.5571994779084832</v>
      </c>
      <c r="I54" s="121">
        <f>Table1[[#This Row],[Tiyaar/gaz]]/1.0936</f>
        <v>6516.0936356986103</v>
      </c>
      <c r="J54" s="121" cm="1">
        <f t="array" ref="J54">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65160.936356986102</v>
      </c>
      <c r="K54" s="29"/>
      <c r="P54"/>
      <c r="Q54"/>
      <c r="R54"/>
      <c r="S54"/>
      <c r="T54"/>
      <c r="U54"/>
      <c r="V54"/>
      <c r="W54"/>
      <c r="X54"/>
      <c r="Y54"/>
    </row>
    <row r="55" spans="1:25" x14ac:dyDescent="0.3">
      <c r="A55" s="28">
        <v>45954</v>
      </c>
      <c r="B55" s="29" t="s">
        <v>21</v>
      </c>
      <c r="C55" s="29">
        <v>1006</v>
      </c>
      <c r="D55" s="29" t="s">
        <v>85</v>
      </c>
      <c r="E55" s="11">
        <v>1828</v>
      </c>
      <c r="F55" s="11">
        <v>31302</v>
      </c>
      <c r="G55" s="11">
        <v>2200</v>
      </c>
      <c r="H55" s="32">
        <f>_xlfn.XLOOKUP(Table1[[#This Row],[Shipment Number]], 'pivot '!A:A,'pivot '!G:G, "NF")</f>
        <v>0.87306718693977814</v>
      </c>
      <c r="I55" s="121">
        <f>Table1[[#This Row],[Tiyaar/gaz]]/1.0936</f>
        <v>2011.704462326262</v>
      </c>
      <c r="J55" s="121" cm="1">
        <f t="array" ref="J55">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20117.04462326262</v>
      </c>
      <c r="K55" s="29"/>
      <c r="P55"/>
      <c r="Q55"/>
      <c r="R55"/>
      <c r="S55"/>
      <c r="T55"/>
      <c r="U55"/>
      <c r="V55"/>
      <c r="W55"/>
      <c r="X55"/>
      <c r="Y55"/>
    </row>
    <row r="56" spans="1:25" x14ac:dyDescent="0.3">
      <c r="A56" s="28">
        <v>45954</v>
      </c>
      <c r="B56" s="29" t="s">
        <v>21</v>
      </c>
      <c r="C56" s="29">
        <v>1007</v>
      </c>
      <c r="D56" s="29" t="s">
        <v>85</v>
      </c>
      <c r="E56" s="11">
        <v>1840</v>
      </c>
      <c r="F56" s="11">
        <v>8913</v>
      </c>
      <c r="G56" s="11">
        <v>2372</v>
      </c>
      <c r="H56" s="32">
        <f>_xlfn.XLOOKUP(Table1[[#This Row],[Shipment Number]], 'pivot '!A:A,'pivot '!G:G, "NF")</f>
        <v>2.5571994779084832</v>
      </c>
      <c r="I56" s="121">
        <f>Table1[[#This Row],[Tiyaar/gaz]]/1.0936</f>
        <v>2168.9831748354063</v>
      </c>
      <c r="J56" s="121" cm="1">
        <f t="array" ref="J56">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21689.831748354063</v>
      </c>
      <c r="K56" s="29"/>
      <c r="P56"/>
      <c r="Q56"/>
      <c r="R56"/>
      <c r="S56"/>
      <c r="T56"/>
      <c r="U56"/>
      <c r="V56"/>
      <c r="W56"/>
      <c r="X56"/>
      <c r="Y56"/>
    </row>
    <row r="57" spans="1:25" x14ac:dyDescent="0.3">
      <c r="A57" s="28">
        <v>45954</v>
      </c>
      <c r="B57" s="29" t="s">
        <v>21</v>
      </c>
      <c r="C57" s="29">
        <v>1008</v>
      </c>
      <c r="D57" s="29" t="s">
        <v>85</v>
      </c>
      <c r="E57" s="11">
        <v>1837</v>
      </c>
      <c r="F57" s="11">
        <v>11233</v>
      </c>
      <c r="G57" s="11">
        <v>10156</v>
      </c>
      <c r="H57" s="32">
        <f>_xlfn.XLOOKUP(Table1[[#This Row],[Shipment Number]], 'pivot '!A:A,'pivot '!G:G, "NF")</f>
        <v>-8.9429716796790615</v>
      </c>
      <c r="I57" s="121">
        <f>Table1[[#This Row],[Tiyaar/gaz]]/1.0936</f>
        <v>9286.7593269934168</v>
      </c>
      <c r="J57" s="121" cm="1">
        <f t="array" ref="J57">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92867.593269934165</v>
      </c>
      <c r="K57" s="29"/>
      <c r="P57"/>
      <c r="Q57"/>
      <c r="R57"/>
      <c r="S57"/>
      <c r="T57"/>
      <c r="U57"/>
      <c r="V57"/>
      <c r="W57"/>
      <c r="X57"/>
      <c r="Y57"/>
    </row>
    <row r="58" spans="1:25" x14ac:dyDescent="0.3">
      <c r="A58" s="28">
        <v>45954</v>
      </c>
      <c r="B58" s="29" t="s">
        <v>21</v>
      </c>
      <c r="C58" s="29">
        <v>1009</v>
      </c>
      <c r="D58" s="29" t="s">
        <v>85</v>
      </c>
      <c r="E58" s="11">
        <v>1825</v>
      </c>
      <c r="F58" s="11">
        <v>25262</v>
      </c>
      <c r="G58" s="11">
        <v>27090</v>
      </c>
      <c r="H58" s="32">
        <f>_xlfn.XLOOKUP(Table1[[#This Row],[Shipment Number]], 'pivot '!A:A,'pivot '!G:G, "NF")</f>
        <v>1.942058347754724</v>
      </c>
      <c r="I58" s="121">
        <f>Table1[[#This Row],[Tiyaar/gaz]]/1.0936</f>
        <v>24771.3972201902</v>
      </c>
      <c r="J58" s="121" cm="1">
        <f t="array" ref="J58">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247713.97220190201</v>
      </c>
      <c r="K58" s="29"/>
      <c r="P58"/>
      <c r="Q58"/>
      <c r="R58"/>
      <c r="S58"/>
      <c r="T58"/>
      <c r="U58"/>
      <c r="V58"/>
      <c r="W58"/>
    </row>
    <row r="59" spans="1:25" x14ac:dyDescent="0.3">
      <c r="A59" s="28">
        <v>45955</v>
      </c>
      <c r="B59" s="29" t="s">
        <v>21</v>
      </c>
      <c r="C59" s="29">
        <v>1010</v>
      </c>
      <c r="D59" s="29" t="s">
        <v>85</v>
      </c>
      <c r="E59" s="11">
        <v>1838</v>
      </c>
      <c r="F59" s="11">
        <v>10092</v>
      </c>
      <c r="G59" s="11">
        <v>10885</v>
      </c>
      <c r="H59" s="32">
        <f>_xlfn.XLOOKUP(Table1[[#This Row],[Shipment Number]], 'pivot '!A:A,'pivot '!G:G, "NF")</f>
        <v>1.3737115247839853</v>
      </c>
      <c r="I59" s="121">
        <f>Table1[[#This Row],[Tiyaar/gaz]]/1.0936</f>
        <v>9953.3650329188004</v>
      </c>
      <c r="J59" s="121" cm="1">
        <f t="array" ref="J59">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99533.650329188007</v>
      </c>
      <c r="K59" s="29"/>
      <c r="P59"/>
      <c r="Q59"/>
      <c r="R59"/>
      <c r="S59"/>
      <c r="T59"/>
      <c r="U59"/>
    </row>
    <row r="60" spans="1:25" x14ac:dyDescent="0.3">
      <c r="A60" s="28">
        <v>45955</v>
      </c>
      <c r="B60" s="29" t="s">
        <v>21</v>
      </c>
      <c r="C60" s="29">
        <v>1011</v>
      </c>
      <c r="D60" s="29" t="s">
        <v>85</v>
      </c>
      <c r="E60" s="11">
        <v>1845</v>
      </c>
      <c r="F60" s="11">
        <v>14494</v>
      </c>
      <c r="G60" s="11">
        <v>15623</v>
      </c>
      <c r="H60" s="32">
        <f>_xlfn.XLOOKUP(Table1[[#This Row],[Shipment Number]], 'pivot '!A:A,'pivot '!G:G, "NF")</f>
        <v>1.4361465718629773</v>
      </c>
      <c r="I60" s="121">
        <f>Table1[[#This Row],[Tiyaar/gaz]]/1.0936</f>
        <v>14285.844915874179</v>
      </c>
      <c r="J60" s="121" cm="1">
        <f t="array" ref="J60">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142858.4491587418</v>
      </c>
      <c r="K60" s="29"/>
      <c r="M60"/>
      <c r="P60"/>
      <c r="Q60"/>
      <c r="R60"/>
      <c r="S60"/>
      <c r="T60"/>
      <c r="U60"/>
    </row>
    <row r="61" spans="1:25" x14ac:dyDescent="0.3">
      <c r="A61" s="28">
        <v>45955</v>
      </c>
      <c r="B61" s="29" t="s">
        <v>21</v>
      </c>
      <c r="C61" s="29">
        <v>1012</v>
      </c>
      <c r="D61" s="29" t="s">
        <v>85</v>
      </c>
      <c r="E61" s="11">
        <v>1807</v>
      </c>
      <c r="F61" s="11">
        <v>14854</v>
      </c>
      <c r="G61" s="11">
        <v>15938</v>
      </c>
      <c r="H61" s="32">
        <f>_xlfn.XLOOKUP(Table1[[#This Row],[Shipment Number]], 'pivot '!A:A,'pivot '!G:G, "NF")</f>
        <v>1.8857922550523085</v>
      </c>
      <c r="I61" s="121">
        <f>Table1[[#This Row],[Tiyaar/gaz]]/1.0936</f>
        <v>14573.884418434529</v>
      </c>
      <c r="J61" s="121" cm="1">
        <f t="array" ref="J61">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145738.84418434527</v>
      </c>
      <c r="K61" s="29"/>
      <c r="M61"/>
      <c r="P61"/>
      <c r="Q61"/>
      <c r="R61"/>
      <c r="S61"/>
    </row>
    <row r="62" spans="1:25" x14ac:dyDescent="0.3">
      <c r="A62" s="28">
        <v>45955</v>
      </c>
      <c r="B62" s="29" t="s">
        <v>21</v>
      </c>
      <c r="C62" s="29">
        <v>1013</v>
      </c>
      <c r="D62" s="29" t="s">
        <v>85</v>
      </c>
      <c r="E62" s="11" t="s">
        <v>290</v>
      </c>
      <c r="F62" s="11">
        <v>12811</v>
      </c>
      <c r="G62" s="11">
        <v>3756</v>
      </c>
      <c r="H62" s="32">
        <f>_xlfn.XLOOKUP(Table1[[#This Row],[Shipment Number]], 'pivot '!A:A,'pivot '!G:G, "NF")</f>
        <v>-0.34896515013701901</v>
      </c>
      <c r="I62" s="121">
        <f>Table1[[#This Row],[Tiyaar/gaz]]/1.0936</f>
        <v>3434.5281638624729</v>
      </c>
      <c r="J62" s="121" cm="1">
        <f t="array" ref="J62">_xlfn.IFS(
  AND(Table1[[#This Row],[Party Name]]="Sufi Nawaz Sahab",Table1[[#This Row],[Quality]]="Chamki"),Table1[[#This Row],[tiyar/meters]]*10,
  AND(Table1[[#This Row],[Party Name]]="Sufi Nawaz Sahab",Table1[[#This Row],[Quality]]="Silky"),Table1[[#This Row],[tiyar/meters]]*12,
  AND(Table1[[#This Row],[Party Name]]="Shehzad Kamoki",Table1[[#This Row],[Quality]]="Chamki"),Table1[[#This Row],[tiyar/meters]]*10.5,
  AND(Table1[[#This Row],[Party Name]]="Faizan",Table1[[#This Row],[Quality]]="Silky"),Table1[[#This Row],[tiyar/meters]]*13,
  Table1[[#This Row],[Quality]]="Chamki",Table1[[#This Row],[tiyar/meters]]*10,
  Table1[[#This Row],[Quality]]="Silky",Table1[[#This Row],[tiyar/meters]]*13,
  Table1[[#This Row],[Quality]]="Crinkle",Table1[[#This Row],[tiyar/meters]]*10
)</f>
        <v>34345.281638624729</v>
      </c>
      <c r="K62" s="29"/>
      <c r="M62"/>
      <c r="P62"/>
      <c r="Q62"/>
      <c r="R62"/>
      <c r="S62"/>
    </row>
    <row r="63" spans="1:25" x14ac:dyDescent="0.3">
      <c r="A63" s="28">
        <v>45955</v>
      </c>
      <c r="B63" s="29" t="s">
        <v>21</v>
      </c>
      <c r="C63" s="29">
        <v>1014</v>
      </c>
      <c r="D63" s="29" t="s">
        <v>85</v>
      </c>
      <c r="E63" s="11" t="s">
        <v>290</v>
      </c>
      <c r="F63" s="11">
        <v>12811</v>
      </c>
      <c r="G63" s="11">
        <f>4620+333</f>
        <v>4953</v>
      </c>
      <c r="H63" s="32">
        <f>_xlfn.XLOOKUP(Table1[[#This Row],[Shipment Number]], 'pivot '!A:A,'pivot '!G:G, "NF")</f>
        <v>-0.34896515013701901</v>
      </c>
      <c r="I63" s="121">
        <f>Table1[[#This Row],[Tiyaar/gaz]]/1.0936</f>
        <v>4529.0782735918074</v>
      </c>
      <c r="J63" s="121" cm="1">
        <f t="array" ref="J6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45290.782735918074</v>
      </c>
      <c r="K63" s="29"/>
      <c r="S63"/>
    </row>
    <row r="64" spans="1:25" x14ac:dyDescent="0.3">
      <c r="A64" s="28">
        <v>45956</v>
      </c>
      <c r="B64" s="29" t="s">
        <v>170</v>
      </c>
      <c r="C64" s="29">
        <v>1015</v>
      </c>
      <c r="D64" s="29" t="s">
        <v>85</v>
      </c>
      <c r="E64" s="11">
        <v>1791</v>
      </c>
      <c r="F64" s="11">
        <v>100849</v>
      </c>
      <c r="G64" s="11">
        <v>39419</v>
      </c>
      <c r="H64" s="32">
        <f>_xlfn.XLOOKUP(Table1[[#This Row],[Shipment Number]], 'pivot '!A:A,'pivot '!G:G, "NF")</f>
        <v>31.542252363752141</v>
      </c>
      <c r="I64" s="121">
        <f>Table1[[#This Row],[Tiyaar/gaz]]/1.0936</f>
        <v>36045.171909290417</v>
      </c>
      <c r="J64" s="121" cm="1">
        <f t="array" ref="J6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360451.71909290418</v>
      </c>
      <c r="K64" s="29"/>
      <c r="S64"/>
    </row>
    <row r="65" spans="1:19" x14ac:dyDescent="0.3">
      <c r="A65" s="28">
        <v>45956</v>
      </c>
      <c r="B65" s="29" t="s">
        <v>25</v>
      </c>
      <c r="C65" s="29">
        <v>1016</v>
      </c>
      <c r="D65" s="29" t="s">
        <v>313</v>
      </c>
      <c r="E65" s="11">
        <v>1850</v>
      </c>
      <c r="F65" s="11">
        <v>5511</v>
      </c>
      <c r="G65" s="11">
        <v>837</v>
      </c>
      <c r="H65" s="32">
        <f>_xlfn.XLOOKUP(Table1[[#This Row],[Shipment Number]], 'pivot '!A:A,'pivot '!G:G, "NF")</f>
        <v>0.39539196528799891</v>
      </c>
      <c r="I65" s="121">
        <f>Table1[[#This Row],[Tiyaar/gaz]]/1.0936</f>
        <v>765.36210680321881</v>
      </c>
      <c r="J65" s="121" cm="1">
        <f t="array" ref="J6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9949.7073884418442</v>
      </c>
      <c r="K65" s="29"/>
      <c r="S65"/>
    </row>
    <row r="66" spans="1:19" x14ac:dyDescent="0.3">
      <c r="A66" s="28">
        <v>45956</v>
      </c>
      <c r="B66" s="29" t="s">
        <v>21</v>
      </c>
      <c r="C66" s="29">
        <v>1017</v>
      </c>
      <c r="D66" s="29" t="s">
        <v>85</v>
      </c>
      <c r="E66" s="11" t="s">
        <v>290</v>
      </c>
      <c r="F66" s="11">
        <v>12811</v>
      </c>
      <c r="G66" s="11">
        <f>5683-333</f>
        <v>5350</v>
      </c>
      <c r="H66" s="32">
        <f>_xlfn.XLOOKUP(Table1[[#This Row],[Shipment Number]], 'pivot '!A:A,'pivot '!G:G, "NF")</f>
        <v>-0.34896515013701901</v>
      </c>
      <c r="I66" s="121">
        <f>Table1[[#This Row],[Tiyaar/gaz]]/1.0936</f>
        <v>4892.0994879297732</v>
      </c>
      <c r="J66" s="121" cm="1">
        <f t="array" ref="J6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48920.99487929773</v>
      </c>
      <c r="K66" s="29"/>
      <c r="S66"/>
    </row>
    <row r="67" spans="1:19" x14ac:dyDescent="0.3">
      <c r="A67" s="28">
        <v>45957</v>
      </c>
      <c r="B67" s="29" t="s">
        <v>198</v>
      </c>
      <c r="C67" s="29">
        <v>1018</v>
      </c>
      <c r="D67" s="29" t="s">
        <v>313</v>
      </c>
      <c r="E67" s="11">
        <v>1801</v>
      </c>
      <c r="F67" s="11">
        <v>3023</v>
      </c>
      <c r="G67" s="11">
        <v>3248</v>
      </c>
      <c r="H67" s="32">
        <f>_xlfn.XLOOKUP(Table1[[#This Row],[Shipment Number]], 'pivot '!A:A,'pivot '!G:G, "NF")</f>
        <v>1.7529832851817986</v>
      </c>
      <c r="I67" s="121">
        <f>Table1[[#This Row],[Tiyaar/gaz]]/1.0936</f>
        <v>2970.007315288954</v>
      </c>
      <c r="J67" s="121" cm="1">
        <f t="array" ref="J67">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44550.109729334312</v>
      </c>
      <c r="K67" s="29"/>
      <c r="S67"/>
    </row>
    <row r="68" spans="1:19" x14ac:dyDescent="0.3">
      <c r="A68" s="28">
        <v>45957</v>
      </c>
      <c r="B68" s="29" t="s">
        <v>25</v>
      </c>
      <c r="C68" s="29">
        <v>1019</v>
      </c>
      <c r="D68" s="29" t="s">
        <v>313</v>
      </c>
      <c r="E68" s="11">
        <v>1850</v>
      </c>
      <c r="F68" s="11">
        <v>5511</v>
      </c>
      <c r="G68" s="11">
        <v>5166</v>
      </c>
      <c r="H68" s="32">
        <f>_xlfn.XLOOKUP(Table1[[#This Row],[Shipment Number]], 'pivot '!A:A,'pivot '!G:G, "NF")</f>
        <v>0.39539196528799891</v>
      </c>
      <c r="I68" s="121">
        <f>Table1[[#This Row],[Tiyaar/gaz]]/1.0936</f>
        <v>4723.8478419897592</v>
      </c>
      <c r="J68" s="121" cm="1">
        <f t="array" ref="J68">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61410.021945866873</v>
      </c>
      <c r="K68" s="29"/>
      <c r="S68"/>
    </row>
    <row r="69" spans="1:19" x14ac:dyDescent="0.3">
      <c r="A69" s="28">
        <v>45957</v>
      </c>
      <c r="B69" s="29" t="s">
        <v>170</v>
      </c>
      <c r="C69" s="29">
        <v>1020</v>
      </c>
      <c r="D69" s="29" t="s">
        <v>85</v>
      </c>
      <c r="E69" s="11">
        <v>1791</v>
      </c>
      <c r="F69" s="11">
        <v>100849</v>
      </c>
      <c r="G69" s="11">
        <v>36082</v>
      </c>
      <c r="H69" s="32">
        <f>_xlfn.XLOOKUP(Table1[[#This Row],[Shipment Number]], 'pivot '!A:A,'pivot '!G:G, "NF")</f>
        <v>31.542252363752141</v>
      </c>
      <c r="I69" s="121">
        <f>Table1[[#This Row],[Tiyaar/gaz]]/1.0936</f>
        <v>32993.782004389177</v>
      </c>
      <c r="J69" s="121" cm="1">
        <f t="array" ref="J69">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329937.82004389178</v>
      </c>
      <c r="K69" s="29"/>
      <c r="S69"/>
    </row>
    <row r="70" spans="1:19" x14ac:dyDescent="0.3">
      <c r="A70" s="28">
        <v>45958</v>
      </c>
      <c r="B70" s="29" t="s">
        <v>27</v>
      </c>
      <c r="C70" s="29">
        <v>1021</v>
      </c>
      <c r="D70" s="29" t="s">
        <v>85</v>
      </c>
      <c r="E70" s="11">
        <v>1824</v>
      </c>
      <c r="F70" s="11">
        <v>50784</v>
      </c>
      <c r="G70" s="11">
        <v>4382</v>
      </c>
      <c r="H70" s="32">
        <f>_xlfn.XLOOKUP(Table1[[#This Row],[Shipment Number]], 'pivot '!A:A,'pivot '!G:G, "NF")</f>
        <v>2.4945043142688661</v>
      </c>
      <c r="I70" s="121">
        <f>Table1[[#This Row],[Tiyaar/gaz]]/1.0936</f>
        <v>4006.9495245062185</v>
      </c>
      <c r="J70" s="121" cm="1">
        <f t="array" ref="J70">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40069.495245062186</v>
      </c>
      <c r="K70" s="29"/>
      <c r="S70"/>
    </row>
    <row r="71" spans="1:19" x14ac:dyDescent="0.3">
      <c r="A71" s="28">
        <v>45958</v>
      </c>
      <c r="B71" s="29" t="s">
        <v>27</v>
      </c>
      <c r="C71" s="29">
        <v>1022</v>
      </c>
      <c r="D71" s="29" t="s">
        <v>85</v>
      </c>
      <c r="E71" s="11">
        <v>1824</v>
      </c>
      <c r="F71" s="11">
        <v>50784</v>
      </c>
      <c r="G71" s="11">
        <v>45820</v>
      </c>
      <c r="H71" s="32">
        <f>_xlfn.XLOOKUP(Table1[[#This Row],[Shipment Number]], 'pivot '!A:A,'pivot '!G:G, "NF")</f>
        <v>2.4945043142688661</v>
      </c>
      <c r="I71" s="121">
        <f>Table1[[#This Row],[Tiyaar/gaz]]/1.0936</f>
        <v>41898.317483540603</v>
      </c>
      <c r="J71" s="121" cm="1">
        <f t="array" ref="J71">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418983.17483540601</v>
      </c>
      <c r="K71" s="29"/>
      <c r="S71"/>
    </row>
    <row r="72" spans="1:19" x14ac:dyDescent="0.3">
      <c r="A72" s="28">
        <v>45958</v>
      </c>
      <c r="B72" s="29" t="s">
        <v>227</v>
      </c>
      <c r="C72" s="29">
        <v>1023</v>
      </c>
      <c r="D72" s="29" t="s">
        <v>314</v>
      </c>
      <c r="E72" s="11">
        <v>1814</v>
      </c>
      <c r="F72" s="11">
        <v>3702</v>
      </c>
      <c r="G72" s="11">
        <v>3697</v>
      </c>
      <c r="H72" s="32">
        <f>_xlfn.XLOOKUP(Table1[[#This Row],[Shipment Number]], 'pivot '!A:A,'pivot '!G:G, "NF")</f>
        <v>8.682390388239881</v>
      </c>
      <c r="I72" s="121">
        <f>Table1[[#This Row],[Tiyaar/gaz]]/1.0936</f>
        <v>3380.5779078273595</v>
      </c>
      <c r="J72" s="121" cm="1">
        <f t="array" ref="J72">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94656.181419166067</v>
      </c>
      <c r="K72" s="29"/>
      <c r="S72"/>
    </row>
    <row r="73" spans="1:19" x14ac:dyDescent="0.3">
      <c r="A73" s="28">
        <v>45958</v>
      </c>
      <c r="B73" s="29" t="s">
        <v>227</v>
      </c>
      <c r="C73" s="29">
        <v>1024</v>
      </c>
      <c r="D73" s="29" t="s">
        <v>85</v>
      </c>
      <c r="E73" s="11">
        <v>1815</v>
      </c>
      <c r="F73" s="11">
        <v>65932</v>
      </c>
      <c r="G73" s="11">
        <v>46732</v>
      </c>
      <c r="H73" s="32">
        <f>_xlfn.XLOOKUP(Table1[[#This Row],[Shipment Number]], 'pivot '!A:A,'pivot '!G:G, "NF")</f>
        <v>2.4745563705302374</v>
      </c>
      <c r="I73" s="121">
        <f>Table1[[#This Row],[Tiyaar/gaz]]/1.0936</f>
        <v>42732.26042428676</v>
      </c>
      <c r="J73" s="121" cm="1">
        <f t="array" ref="J73">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427322.60424286762</v>
      </c>
      <c r="K73" s="29"/>
    </row>
    <row r="74" spans="1:19" x14ac:dyDescent="0.3">
      <c r="A74" s="28">
        <v>45959</v>
      </c>
      <c r="B74" s="29" t="s">
        <v>27</v>
      </c>
      <c r="C74" s="29">
        <v>1025</v>
      </c>
      <c r="D74" s="29" t="s">
        <v>85</v>
      </c>
      <c r="E74" s="11">
        <v>1824</v>
      </c>
      <c r="F74" s="11">
        <v>50784</v>
      </c>
      <c r="G74" s="11">
        <v>3950</v>
      </c>
      <c r="H74" s="32">
        <f>_xlfn.XLOOKUP(Table1[[#This Row],[Shipment Number]], 'pivot '!A:A,'pivot '!G:G, "NF")</f>
        <v>2.4945043142688661</v>
      </c>
      <c r="I74" s="121">
        <f>Table1[[#This Row],[Tiyaar/gaz]]/1.0936</f>
        <v>3611.9239209948796</v>
      </c>
      <c r="J74" s="121" cm="1">
        <f t="array" ref="J74">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36119.239209948799</v>
      </c>
      <c r="K74" s="29"/>
    </row>
    <row r="75" spans="1:19" x14ac:dyDescent="0.3">
      <c r="A75" s="28">
        <v>45959</v>
      </c>
      <c r="B75" s="29" t="s">
        <v>227</v>
      </c>
      <c r="C75" s="29">
        <v>1026</v>
      </c>
      <c r="D75" s="29" t="s">
        <v>85</v>
      </c>
      <c r="E75" s="11">
        <v>1815</v>
      </c>
      <c r="F75" s="11">
        <v>65932</v>
      </c>
      <c r="G75" s="11">
        <v>23587</v>
      </c>
      <c r="H75" s="32">
        <f>_xlfn.XLOOKUP(Table1[[#This Row],[Shipment Number]], 'pivot '!A:A,'pivot '!G:G, "NF")</f>
        <v>2.4745563705302374</v>
      </c>
      <c r="I75" s="121">
        <f>Table1[[#This Row],[Tiyaar/gaz]]/1.0936</f>
        <v>21568.215069495247</v>
      </c>
      <c r="J75" s="121" cm="1">
        <f t="array" ref="J75">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215682.15069495246</v>
      </c>
      <c r="K75" s="29"/>
    </row>
    <row r="76" spans="1:19" x14ac:dyDescent="0.3">
      <c r="A76" s="28">
        <v>45959</v>
      </c>
      <c r="B76" s="29" t="s">
        <v>9</v>
      </c>
      <c r="C76" s="29">
        <v>1027</v>
      </c>
      <c r="D76" s="29" t="s">
        <v>85</v>
      </c>
      <c r="E76" s="11">
        <v>1833</v>
      </c>
      <c r="F76" s="11">
        <v>50678</v>
      </c>
      <c r="G76" s="11">
        <v>17191</v>
      </c>
      <c r="H76" s="32">
        <f>_xlfn.XLOOKUP(Table1[[#This Row],[Shipment Number]], 'pivot '!A:A,'pivot '!G:G, "NF")</f>
        <v>68.981330062667709</v>
      </c>
      <c r="I76" s="121">
        <f>Table1[[#This Row],[Tiyaar/gaz]]/1.0936</f>
        <v>15719.641550841259</v>
      </c>
      <c r="J76" s="121" cm="1">
        <f t="array" ref="J76">_xlfn.IFS(
  AND(Table1[[#This Row],[Party Name]]="Faizan",Table1[[#This Row],[Quality]]="Silky"),Table1[[#This Row],[tiyar/meters]]*13,
  AND(Table1[[#This Row],[Party Name]]="Sajad Khan",Table1[[#This Row],[Quality]]="Slub"),Table1[[#This Row],[tiyar/meters]]*13,
  AND(Table1[[#This Row],[Party Name]]="Faizan",Table1[[#This Row],[Quality]]="Slub"),Table1[[#This Row],[tiyar/meters]]*15,
  AND(Table1[[#This Row],[Party Name]]="Shafique Ansari",Table1[[#This Row],[Quality]]="Satin"),Table1[[#This Row],[tiyar/meters]]*28,
  Table1[[#This Row],[Quality]]="Chamki",Table1[[#This Row],[tiyar/meters]]*10,
  Table1[[#This Row],[Quality]]="Silky",Table1[[#This Row],[tiyar/meters]]*13,
  Table1[[#This Row],[Quality]]="Crinkle",Table1[[#This Row],[tiyar/meters]]*10
)</f>
        <v>157196.41550841258</v>
      </c>
      <c r="K76" s="29"/>
    </row>
    <row r="77" spans="1:19" x14ac:dyDescent="0.3">
      <c r="A77"/>
      <c r="B77"/>
      <c r="C77"/>
      <c r="D77"/>
      <c r="E77" s="14"/>
      <c r="F77" s="14"/>
      <c r="G77" s="14"/>
      <c r="H77" s="48"/>
      <c r="I77" s="103" cm="1">
        <f t="array" aca="1" ref="I77" ca="1">SUMPRODUCT( SUBTOTAL(109, OFFSET(Table1[tiyar/meters], ROW(Table1[tiyar/meters])-MIN(ROW(Table1[tiyar/meters])), 0, 1)), --(Table1[Bill Number]&lt;&gt;"September Closing CF") )</f>
        <v>601928.4930504756</v>
      </c>
      <c r="J77" s="48" cm="1">
        <f t="array" aca="1" ref="J77" ca="1">SUMPRODUCT( SUBTOTAL(109, OFFSET(Table1[billing], ROW(Table1[billing])-MIN(ROW(Table1[billing])), 0, 1)), --(Table1[Bill Number]&lt;&gt;"September Closing CF") )</f>
        <v>6439441.2948061451</v>
      </c>
      <c r="K77" s="14">
        <f>SUMIFS(Table1[billing], Table1[Bill Number], "&lt;&gt;September Closing CF")</f>
        <v>6439441.2948061451</v>
      </c>
    </row>
    <row r="96" spans="15:17" x14ac:dyDescent="0.3">
      <c r="O96"/>
      <c r="P96"/>
      <c r="Q96"/>
    </row>
    <row r="97" spans="12:18" x14ac:dyDescent="0.3">
      <c r="O97"/>
      <c r="P97"/>
      <c r="Q97"/>
    </row>
    <row r="98" spans="12:18" x14ac:dyDescent="0.3">
      <c r="L98"/>
      <c r="M98"/>
      <c r="O98"/>
      <c r="P98"/>
      <c r="Q98"/>
    </row>
    <row r="99" spans="12:18" x14ac:dyDescent="0.3">
      <c r="M99"/>
      <c r="P99"/>
      <c r="Q99"/>
      <c r="R99"/>
    </row>
    <row r="100" spans="12:18" x14ac:dyDescent="0.3">
      <c r="M100"/>
      <c r="P100"/>
      <c r="Q100"/>
      <c r="R100"/>
    </row>
    <row r="101" spans="12:18" x14ac:dyDescent="0.3">
      <c r="M101"/>
      <c r="P101"/>
      <c r="Q101"/>
      <c r="R101"/>
    </row>
    <row r="102" spans="12:18" x14ac:dyDescent="0.3">
      <c r="M102"/>
      <c r="P102"/>
      <c r="Q102"/>
      <c r="R102"/>
    </row>
    <row r="103" spans="12:18" x14ac:dyDescent="0.3">
      <c r="M103"/>
      <c r="P103"/>
      <c r="Q103"/>
      <c r="R103"/>
    </row>
    <row r="104" spans="12:18" x14ac:dyDescent="0.3">
      <c r="M104"/>
      <c r="P104"/>
      <c r="Q104"/>
      <c r="R104"/>
    </row>
    <row r="105" spans="12:18" x14ac:dyDescent="0.3">
      <c r="M105"/>
      <c r="P105"/>
      <c r="Q105"/>
      <c r="R105"/>
    </row>
    <row r="106" spans="12:18" x14ac:dyDescent="0.3">
      <c r="P106"/>
      <c r="Q106"/>
      <c r="R106"/>
    </row>
    <row r="107" spans="12:18" x14ac:dyDescent="0.3">
      <c r="L107"/>
      <c r="P107"/>
      <c r="Q107"/>
      <c r="R107"/>
    </row>
    <row r="108" spans="12:18" x14ac:dyDescent="0.3">
      <c r="L108"/>
      <c r="P108"/>
      <c r="Q108"/>
      <c r="R108"/>
    </row>
    <row r="109" spans="12:18" x14ac:dyDescent="0.3">
      <c r="L109"/>
      <c r="O109"/>
      <c r="P109"/>
      <c r="Q109"/>
    </row>
    <row r="110" spans="12:18" x14ac:dyDescent="0.3">
      <c r="L110"/>
      <c r="O110"/>
      <c r="P110"/>
      <c r="Q110"/>
    </row>
    <row r="111" spans="12:18" x14ac:dyDescent="0.3">
      <c r="L111"/>
      <c r="O111"/>
      <c r="P111"/>
      <c r="Q111"/>
    </row>
    <row r="112" spans="12:18" x14ac:dyDescent="0.3">
      <c r="L112"/>
      <c r="O112"/>
      <c r="P112"/>
      <c r="Q112"/>
    </row>
    <row r="113" spans="4:17" x14ac:dyDescent="0.3">
      <c r="O113"/>
      <c r="P113"/>
      <c r="Q113"/>
    </row>
    <row r="114" spans="4:17" x14ac:dyDescent="0.3">
      <c r="D114"/>
      <c r="E114"/>
      <c r="F114"/>
      <c r="G114"/>
      <c r="O114"/>
      <c r="P114"/>
      <c r="Q114"/>
    </row>
    <row r="115" spans="4:17" x14ac:dyDescent="0.3">
      <c r="D115"/>
      <c r="E115"/>
      <c r="F115"/>
      <c r="G115"/>
      <c r="O115"/>
      <c r="P115"/>
      <c r="Q115"/>
    </row>
    <row r="116" spans="4:17" x14ac:dyDescent="0.3">
      <c r="D116"/>
      <c r="E116"/>
      <c r="F116"/>
      <c r="G116"/>
      <c r="O116"/>
      <c r="P116"/>
      <c r="Q116"/>
    </row>
    <row r="117" spans="4:17" x14ac:dyDescent="0.3">
      <c r="O117"/>
      <c r="P117"/>
      <c r="Q117"/>
    </row>
    <row r="118" spans="4:17" x14ac:dyDescent="0.3">
      <c r="D118" s="3" t="s">
        <v>2</v>
      </c>
      <c r="E118" t="s">
        <v>88</v>
      </c>
      <c r="O118"/>
      <c r="P118"/>
      <c r="Q118"/>
    </row>
    <row r="119" spans="4:17" x14ac:dyDescent="0.3">
      <c r="D119" s="3" t="s">
        <v>75</v>
      </c>
      <c r="E119" t="s">
        <v>88</v>
      </c>
      <c r="O119"/>
      <c r="P119"/>
      <c r="Q119"/>
    </row>
    <row r="120" spans="4:17" x14ac:dyDescent="0.3">
      <c r="D120" s="3" t="s">
        <v>79</v>
      </c>
      <c r="E120" t="s">
        <v>88</v>
      </c>
      <c r="P120"/>
      <c r="Q120"/>
    </row>
    <row r="121" spans="4:17" x14ac:dyDescent="0.3">
      <c r="P121"/>
      <c r="Q121"/>
    </row>
    <row r="122" spans="4:17" x14ac:dyDescent="0.3">
      <c r="D122" s="3" t="s">
        <v>6</v>
      </c>
      <c r="E122" t="s">
        <v>89</v>
      </c>
      <c r="F122" t="s">
        <v>90</v>
      </c>
      <c r="G122" t="s">
        <v>91</v>
      </c>
      <c r="I122" s="3" t="s">
        <v>6</v>
      </c>
      <c r="J122" t="s">
        <v>90</v>
      </c>
      <c r="K122" t="s">
        <v>91</v>
      </c>
      <c r="P122"/>
      <c r="Q122"/>
    </row>
    <row r="123" spans="4:17" x14ac:dyDescent="0.3">
      <c r="D123" s="16" t="s">
        <v>184</v>
      </c>
      <c r="E123"/>
      <c r="F123" s="33">
        <v>4247868.5076810541</v>
      </c>
      <c r="G123">
        <v>43223034.582516462</v>
      </c>
      <c r="I123" s="27">
        <v>45947</v>
      </c>
      <c r="J123" s="48">
        <v>4247868.5076810541</v>
      </c>
      <c r="K123" s="14">
        <v>43223034.582516462</v>
      </c>
      <c r="P123"/>
      <c r="Q123"/>
    </row>
    <row r="124" spans="4:17" x14ac:dyDescent="0.3">
      <c r="D124" s="16">
        <v>985</v>
      </c>
      <c r="E124">
        <v>3532</v>
      </c>
      <c r="F124" s="33">
        <v>3229.7000731528897</v>
      </c>
      <c r="G124">
        <v>38756.400877834676</v>
      </c>
      <c r="I124" s="27">
        <v>45948</v>
      </c>
      <c r="J124" s="48">
        <v>52326.261887344546</v>
      </c>
      <c r="K124" s="14">
        <v>659882.95537673729</v>
      </c>
      <c r="P124"/>
      <c r="Q124"/>
    </row>
    <row r="125" spans="4:17" x14ac:dyDescent="0.3">
      <c r="D125" s="16">
        <v>986</v>
      </c>
      <c r="E125">
        <v>4356</v>
      </c>
      <c r="F125" s="33">
        <v>3983.1748354059987</v>
      </c>
      <c r="G125">
        <v>47798.098024871986</v>
      </c>
      <c r="I125" s="27">
        <v>45950</v>
      </c>
      <c r="J125" s="48">
        <v>47101.316752011713</v>
      </c>
      <c r="K125" s="14">
        <v>572781.63862472575</v>
      </c>
      <c r="P125"/>
      <c r="Q125"/>
    </row>
    <row r="126" spans="4:17" x14ac:dyDescent="0.3">
      <c r="D126" s="16">
        <v>987</v>
      </c>
      <c r="E126">
        <v>7867</v>
      </c>
      <c r="F126" s="33">
        <v>7193.6722750548652</v>
      </c>
      <c r="G126">
        <v>86324.067300658382</v>
      </c>
      <c r="I126" s="27">
        <v>45951</v>
      </c>
      <c r="J126" s="48">
        <v>77286.027798098046</v>
      </c>
      <c r="K126" s="14">
        <v>857900.51207022695</v>
      </c>
      <c r="P126"/>
      <c r="Q126"/>
    </row>
    <row r="127" spans="4:17" x14ac:dyDescent="0.3">
      <c r="D127" s="16">
        <v>988</v>
      </c>
      <c r="E127">
        <v>3112</v>
      </c>
      <c r="F127" s="33">
        <v>2845.6474030724216</v>
      </c>
      <c r="G127">
        <v>34147.768836869058</v>
      </c>
      <c r="I127" s="27">
        <v>45952</v>
      </c>
      <c r="J127" s="48">
        <v>77123.262618873443</v>
      </c>
      <c r="K127" s="14">
        <v>775791.88002926123</v>
      </c>
      <c r="P127"/>
      <c r="Q127"/>
    </row>
    <row r="128" spans="4:17" x14ac:dyDescent="0.3">
      <c r="D128" s="16">
        <v>989</v>
      </c>
      <c r="E128">
        <v>34960</v>
      </c>
      <c r="F128" s="33">
        <v>31967.812728602781</v>
      </c>
      <c r="G128">
        <v>415581.56547183613</v>
      </c>
      <c r="I128" s="27">
        <v>45953</v>
      </c>
      <c r="J128" s="48">
        <v>41251.82882223848</v>
      </c>
      <c r="K128" s="14">
        <v>412518.28822238487</v>
      </c>
      <c r="P128"/>
      <c r="Q128"/>
    </row>
    <row r="129" spans="4:17" x14ac:dyDescent="0.3">
      <c r="D129" s="16">
        <v>990</v>
      </c>
      <c r="E129">
        <v>3397</v>
      </c>
      <c r="F129" s="33">
        <v>3106.2545720555963</v>
      </c>
      <c r="G129">
        <v>37275.054864667152</v>
      </c>
      <c r="I129" s="27">
        <v>45954</v>
      </c>
      <c r="J129" s="48">
        <v>44754.937820043895</v>
      </c>
      <c r="K129" s="14">
        <v>447549.37820043892</v>
      </c>
      <c r="P129"/>
      <c r="Q129"/>
    </row>
    <row r="130" spans="4:17" x14ac:dyDescent="0.3">
      <c r="D130" s="16">
        <v>991</v>
      </c>
      <c r="E130">
        <v>20118</v>
      </c>
      <c r="F130" s="33">
        <v>18396.122896854427</v>
      </c>
      <c r="G130">
        <v>220753.47476225311</v>
      </c>
      <c r="I130" s="27">
        <v>45955</v>
      </c>
      <c r="J130" s="48">
        <v>46776.700804681794</v>
      </c>
      <c r="K130" s="14">
        <v>467767.00804681785</v>
      </c>
      <c r="P130"/>
      <c r="Q130"/>
    </row>
    <row r="131" spans="4:17" x14ac:dyDescent="0.3">
      <c r="D131" s="16">
        <v>992</v>
      </c>
      <c r="E131">
        <v>21555</v>
      </c>
      <c r="F131" s="33">
        <v>19710.131675201173</v>
      </c>
      <c r="G131">
        <v>236521.58010241407</v>
      </c>
      <c r="I131" s="27">
        <v>45956</v>
      </c>
      <c r="J131" s="48">
        <v>41702.633504023404</v>
      </c>
      <c r="K131" s="14">
        <v>419322.42136064376</v>
      </c>
      <c r="O131"/>
      <c r="P131"/>
      <c r="Q131"/>
    </row>
    <row r="132" spans="4:17" x14ac:dyDescent="0.3">
      <c r="D132" s="16">
        <v>993</v>
      </c>
      <c r="E132">
        <v>1563</v>
      </c>
      <c r="F132" s="33">
        <v>1429.2245793708853</v>
      </c>
      <c r="G132">
        <v>17150.694952450624</v>
      </c>
      <c r="I132" s="27">
        <v>45957</v>
      </c>
      <c r="J132" s="48">
        <v>40687.637161667888</v>
      </c>
      <c r="K132" s="14">
        <v>435897.95171909296</v>
      </c>
      <c r="L132"/>
      <c r="M132"/>
      <c r="N132"/>
    </row>
    <row r="133" spans="4:17" x14ac:dyDescent="0.3">
      <c r="D133" s="16">
        <v>994</v>
      </c>
      <c r="E133">
        <v>8274</v>
      </c>
      <c r="F133" s="33">
        <v>7565.8376005852242</v>
      </c>
      <c r="G133">
        <v>98355.888807607917</v>
      </c>
      <c r="I133" s="27">
        <v>45958</v>
      </c>
      <c r="J133" s="48">
        <v>92018.105340160953</v>
      </c>
      <c r="K133" s="14">
        <v>981031.45574250189</v>
      </c>
    </row>
    <row r="134" spans="4:17" x14ac:dyDescent="0.3">
      <c r="D134" s="16">
        <v>995</v>
      </c>
      <c r="E134">
        <v>19667</v>
      </c>
      <c r="F134" s="33">
        <v>17983.723482077545</v>
      </c>
      <c r="G134">
        <v>215804.68178493052</v>
      </c>
      <c r="I134" s="27">
        <v>45959</v>
      </c>
      <c r="J134" s="48">
        <v>40899.780541331384</v>
      </c>
      <c r="K134" s="14">
        <v>408997.80541331385</v>
      </c>
    </row>
    <row r="135" spans="4:17" x14ac:dyDescent="0.3">
      <c r="D135" s="16">
        <v>996</v>
      </c>
      <c r="E135">
        <v>17569</v>
      </c>
      <c r="F135" s="33">
        <v>16065.288953913681</v>
      </c>
      <c r="G135">
        <v>192783.46744696418</v>
      </c>
      <c r="I135" s="27" t="s">
        <v>28</v>
      </c>
      <c r="J135" s="48">
        <v>4849797.0007315306</v>
      </c>
      <c r="K135" s="14">
        <v>49662475.877322607</v>
      </c>
    </row>
    <row r="136" spans="4:17" x14ac:dyDescent="0.3">
      <c r="D136" s="16">
        <v>997</v>
      </c>
      <c r="E136">
        <v>9264</v>
      </c>
      <c r="F136" s="33">
        <v>8471.1046086320421</v>
      </c>
      <c r="G136">
        <v>101653.2553035845</v>
      </c>
      <c r="I136"/>
      <c r="J136"/>
      <c r="K136"/>
    </row>
    <row r="137" spans="4:17" x14ac:dyDescent="0.3">
      <c r="D137" s="16">
        <v>998</v>
      </c>
      <c r="E137">
        <v>38020</v>
      </c>
      <c r="F137" s="33">
        <v>34765.910753474767</v>
      </c>
      <c r="G137">
        <v>347659.10753474769</v>
      </c>
      <c r="I137"/>
      <c r="J137"/>
      <c r="K137"/>
    </row>
    <row r="138" spans="4:17" x14ac:dyDescent="0.3">
      <c r="D138" s="16">
        <v>999</v>
      </c>
      <c r="E138">
        <v>37349</v>
      </c>
      <c r="F138" s="33">
        <v>34152.340892465254</v>
      </c>
      <c r="G138">
        <v>341523.40892465255</v>
      </c>
      <c r="I138"/>
      <c r="J138"/>
      <c r="K138"/>
    </row>
    <row r="139" spans="4:17" x14ac:dyDescent="0.3">
      <c r="D139" s="16">
        <v>1000</v>
      </c>
      <c r="E139">
        <v>1662</v>
      </c>
      <c r="F139" s="33">
        <v>1519.751280175567</v>
      </c>
      <c r="G139">
        <v>19756.766642282371</v>
      </c>
      <c r="I139"/>
      <c r="J139"/>
      <c r="K139"/>
    </row>
    <row r="140" spans="4:17" x14ac:dyDescent="0.3">
      <c r="D140" s="16">
        <v>1001</v>
      </c>
      <c r="E140">
        <v>45331</v>
      </c>
      <c r="F140" s="33">
        <v>41451.170446232631</v>
      </c>
      <c r="G140">
        <v>414511.70446232631</v>
      </c>
      <c r="I140"/>
      <c r="J140"/>
      <c r="K140"/>
    </row>
    <row r="141" spans="4:17" x14ac:dyDescent="0.3">
      <c r="D141" s="16">
        <v>1002</v>
      </c>
      <c r="E141">
        <v>10153</v>
      </c>
      <c r="F141" s="33">
        <v>9284.0160936356988</v>
      </c>
      <c r="G141">
        <v>92840.160936356988</v>
      </c>
      <c r="I141"/>
      <c r="J141"/>
      <c r="K141"/>
    </row>
    <row r="142" spans="4:17" x14ac:dyDescent="0.3">
      <c r="D142" s="16">
        <v>1003</v>
      </c>
      <c r="E142">
        <v>31733</v>
      </c>
      <c r="F142" s="33">
        <v>29017.008046817853</v>
      </c>
      <c r="G142">
        <v>290170.08046817855</v>
      </c>
      <c r="I142"/>
      <c r="J142"/>
      <c r="K142"/>
    </row>
    <row r="143" spans="4:17" x14ac:dyDescent="0.3">
      <c r="D143" s="16">
        <v>1004</v>
      </c>
      <c r="E143">
        <v>3227</v>
      </c>
      <c r="F143" s="33">
        <v>2950.8046817849308</v>
      </c>
      <c r="G143">
        <v>29508.04681784931</v>
      </c>
      <c r="I143"/>
      <c r="J143"/>
      <c r="K143"/>
    </row>
    <row r="144" spans="4:17" x14ac:dyDescent="0.3">
      <c r="D144" s="16">
        <v>1005</v>
      </c>
      <c r="E144">
        <v>7126</v>
      </c>
      <c r="F144" s="33">
        <v>6516.0936356986103</v>
      </c>
      <c r="G144">
        <v>65160.936356986102</v>
      </c>
      <c r="I144"/>
      <c r="J144"/>
      <c r="K144"/>
    </row>
    <row r="145" spans="4:11" x14ac:dyDescent="0.3">
      <c r="D145" s="16">
        <v>1006</v>
      </c>
      <c r="E145">
        <v>2200</v>
      </c>
      <c r="F145" s="33">
        <v>2011.704462326262</v>
      </c>
      <c r="G145">
        <v>20117.04462326262</v>
      </c>
      <c r="I145"/>
      <c r="J145"/>
      <c r="K145"/>
    </row>
    <row r="146" spans="4:11" x14ac:dyDescent="0.3">
      <c r="D146" s="16">
        <v>1007</v>
      </c>
      <c r="E146">
        <v>2372</v>
      </c>
      <c r="F146" s="33">
        <v>2168.9831748354063</v>
      </c>
      <c r="G146">
        <v>21689.831748354063</v>
      </c>
      <c r="I146"/>
      <c r="J146"/>
      <c r="K146"/>
    </row>
    <row r="147" spans="4:11" x14ac:dyDescent="0.3">
      <c r="D147" s="16">
        <v>1008</v>
      </c>
      <c r="E147">
        <v>10156</v>
      </c>
      <c r="F147" s="33">
        <v>9286.7593269934168</v>
      </c>
      <c r="G147">
        <v>92867.593269934165</v>
      </c>
      <c r="I147"/>
      <c r="J147"/>
      <c r="K147"/>
    </row>
    <row r="148" spans="4:11" x14ac:dyDescent="0.3">
      <c r="D148" s="16">
        <v>1009</v>
      </c>
      <c r="E148">
        <v>27090</v>
      </c>
      <c r="F148" s="33">
        <v>24771.3972201902</v>
      </c>
      <c r="G148">
        <v>247713.97220190201</v>
      </c>
      <c r="I148"/>
      <c r="J148"/>
      <c r="K148"/>
    </row>
    <row r="149" spans="4:11" x14ac:dyDescent="0.3">
      <c r="D149" s="16">
        <v>1010</v>
      </c>
      <c r="E149">
        <v>10885</v>
      </c>
      <c r="F149" s="33">
        <v>9953.3650329188004</v>
      </c>
      <c r="G149">
        <v>99533.650329188007</v>
      </c>
    </row>
    <row r="150" spans="4:11" x14ac:dyDescent="0.3">
      <c r="D150" s="16">
        <v>1011</v>
      </c>
      <c r="E150">
        <v>15623</v>
      </c>
      <c r="F150" s="33">
        <v>14285.844915874179</v>
      </c>
      <c r="G150">
        <v>142858.4491587418</v>
      </c>
    </row>
    <row r="151" spans="4:11" x14ac:dyDescent="0.3">
      <c r="D151" s="16">
        <v>1012</v>
      </c>
      <c r="E151">
        <v>15938</v>
      </c>
      <c r="F151" s="33">
        <v>14573.884418434529</v>
      </c>
      <c r="G151">
        <v>145738.84418434527</v>
      </c>
    </row>
    <row r="152" spans="4:11" x14ac:dyDescent="0.3">
      <c r="D152" s="16">
        <v>1013</v>
      </c>
      <c r="E152">
        <v>3756</v>
      </c>
      <c r="F152" s="33">
        <v>3434.5281638624729</v>
      </c>
      <c r="G152">
        <v>34345.281638624729</v>
      </c>
    </row>
    <row r="153" spans="4:11" x14ac:dyDescent="0.3">
      <c r="D153" s="16">
        <v>1014</v>
      </c>
      <c r="E153">
        <v>4953</v>
      </c>
      <c r="F153" s="33">
        <v>4529.0782735918074</v>
      </c>
      <c r="G153">
        <v>45290.782735918074</v>
      </c>
    </row>
    <row r="154" spans="4:11" x14ac:dyDescent="0.3">
      <c r="D154" s="16">
        <v>1015</v>
      </c>
      <c r="E154">
        <v>39419</v>
      </c>
      <c r="F154" s="33">
        <v>36045.171909290417</v>
      </c>
      <c r="G154">
        <v>360451.71909290418</v>
      </c>
    </row>
    <row r="155" spans="4:11" x14ac:dyDescent="0.3">
      <c r="D155" s="16">
        <v>1016</v>
      </c>
      <c r="E155">
        <v>837</v>
      </c>
      <c r="F155" s="33">
        <v>765.36210680321881</v>
      </c>
      <c r="G155">
        <v>9949.7073884418442</v>
      </c>
    </row>
    <row r="156" spans="4:11" x14ac:dyDescent="0.3">
      <c r="D156" s="16">
        <v>1017</v>
      </c>
      <c r="E156">
        <v>5350</v>
      </c>
      <c r="F156" s="33">
        <v>4892.0994879297732</v>
      </c>
      <c r="G156">
        <v>48920.99487929773</v>
      </c>
    </row>
    <row r="157" spans="4:11" x14ac:dyDescent="0.3">
      <c r="D157" s="16">
        <v>1018</v>
      </c>
      <c r="E157">
        <v>3248</v>
      </c>
      <c r="F157" s="33">
        <v>2970.007315288954</v>
      </c>
      <c r="G157">
        <v>44550.109729334312</v>
      </c>
    </row>
    <row r="158" spans="4:11" x14ac:dyDescent="0.3">
      <c r="D158" s="16">
        <v>1019</v>
      </c>
      <c r="E158">
        <v>5166</v>
      </c>
      <c r="F158" s="33">
        <v>4723.8478419897592</v>
      </c>
      <c r="G158">
        <v>61410.021945866873</v>
      </c>
    </row>
    <row r="159" spans="4:11" x14ac:dyDescent="0.3">
      <c r="D159" s="16">
        <v>1020</v>
      </c>
      <c r="E159">
        <v>36082</v>
      </c>
      <c r="F159" s="33">
        <v>32993.782004389177</v>
      </c>
      <c r="G159">
        <v>329937.82004389178</v>
      </c>
    </row>
    <row r="160" spans="4:11" x14ac:dyDescent="0.3">
      <c r="D160" s="16">
        <v>1021</v>
      </c>
      <c r="E160">
        <v>4382</v>
      </c>
      <c r="F160" s="33">
        <v>4006.9495245062185</v>
      </c>
      <c r="G160">
        <v>40069.495245062186</v>
      </c>
    </row>
    <row r="161" spans="4:7" x14ac:dyDescent="0.3">
      <c r="D161" s="16">
        <v>1022</v>
      </c>
      <c r="E161">
        <v>45820</v>
      </c>
      <c r="F161" s="33">
        <v>41898.317483540603</v>
      </c>
      <c r="G161">
        <v>418983.17483540601</v>
      </c>
    </row>
    <row r="162" spans="4:7" x14ac:dyDescent="0.3">
      <c r="D162" s="16">
        <v>1023</v>
      </c>
      <c r="E162">
        <v>3697</v>
      </c>
      <c r="F162" s="33">
        <v>3380.5779078273595</v>
      </c>
      <c r="G162">
        <v>94656.181419166067</v>
      </c>
    </row>
    <row r="163" spans="4:7" x14ac:dyDescent="0.3">
      <c r="D163" s="16">
        <v>1024</v>
      </c>
      <c r="E163">
        <v>46732</v>
      </c>
      <c r="F163" s="33">
        <v>42732.26042428676</v>
      </c>
      <c r="G163">
        <v>427322.60424286762</v>
      </c>
    </row>
    <row r="164" spans="4:7" x14ac:dyDescent="0.3">
      <c r="D164" s="16">
        <v>1025</v>
      </c>
      <c r="E164">
        <v>3950</v>
      </c>
      <c r="F164" s="33">
        <v>3611.9239209948796</v>
      </c>
      <c r="G164">
        <v>36119.239209948799</v>
      </c>
    </row>
    <row r="165" spans="4:7" x14ac:dyDescent="0.3">
      <c r="D165" s="16">
        <v>1026</v>
      </c>
      <c r="E165">
        <v>23587</v>
      </c>
      <c r="F165" s="33">
        <v>21568.215069495247</v>
      </c>
      <c r="G165">
        <v>215682.15069495246</v>
      </c>
    </row>
    <row r="166" spans="4:7" x14ac:dyDescent="0.3">
      <c r="D166" s="16">
        <v>1027</v>
      </c>
      <c r="E166">
        <v>17191</v>
      </c>
      <c r="F166" s="33">
        <v>15719.641550841259</v>
      </c>
      <c r="G166">
        <v>157196.41550841258</v>
      </c>
    </row>
    <row r="167" spans="4:7" x14ac:dyDescent="0.3">
      <c r="D167" s="16" t="s">
        <v>28</v>
      </c>
      <c r="E167">
        <v>658269</v>
      </c>
      <c r="F167" s="33">
        <v>4849797.0007315287</v>
      </c>
      <c r="G167">
        <v>49662475.877322592</v>
      </c>
    </row>
    <row r="168" spans="4:7" x14ac:dyDescent="0.3">
      <c r="D168"/>
      <c r="E168"/>
      <c r="F168"/>
      <c r="G168"/>
    </row>
    <row r="169" spans="4:7" x14ac:dyDescent="0.3">
      <c r="D169"/>
      <c r="E169"/>
      <c r="F169"/>
      <c r="G169"/>
    </row>
    <row r="170" spans="4:7" x14ac:dyDescent="0.3">
      <c r="D170"/>
      <c r="E170"/>
      <c r="F170"/>
      <c r="G170"/>
    </row>
    <row r="171" spans="4:7" x14ac:dyDescent="0.3">
      <c r="D171"/>
      <c r="E171"/>
      <c r="F171"/>
      <c r="G171"/>
    </row>
    <row r="172" spans="4:7" x14ac:dyDescent="0.3">
      <c r="D172"/>
      <c r="E172"/>
      <c r="F172"/>
      <c r="G172"/>
    </row>
    <row r="173" spans="4:7" x14ac:dyDescent="0.3">
      <c r="D173"/>
      <c r="E173"/>
      <c r="F173"/>
      <c r="G173"/>
    </row>
    <row r="174" spans="4:7" x14ac:dyDescent="0.3">
      <c r="D174"/>
      <c r="E174"/>
      <c r="F174"/>
      <c r="G174"/>
    </row>
    <row r="175" spans="4:7" x14ac:dyDescent="0.3">
      <c r="D175"/>
      <c r="E175"/>
      <c r="F175"/>
      <c r="G175"/>
    </row>
    <row r="176" spans="4:7" x14ac:dyDescent="0.3">
      <c r="D176"/>
      <c r="E176"/>
      <c r="F176"/>
      <c r="G176"/>
    </row>
    <row r="177" spans="4:7" x14ac:dyDescent="0.3">
      <c r="D177"/>
      <c r="E177"/>
      <c r="F177"/>
      <c r="G177"/>
    </row>
    <row r="178" spans="4:7" x14ac:dyDescent="0.3">
      <c r="D178"/>
      <c r="E178"/>
      <c r="F178"/>
      <c r="G178"/>
    </row>
    <row r="179" spans="4:7" x14ac:dyDescent="0.3">
      <c r="D179"/>
      <c r="E179"/>
      <c r="F179"/>
      <c r="G179"/>
    </row>
    <row r="180" spans="4:7" x14ac:dyDescent="0.3">
      <c r="D180"/>
      <c r="E180"/>
      <c r="F180"/>
      <c r="G180"/>
    </row>
    <row r="181" spans="4:7" x14ac:dyDescent="0.3">
      <c r="D181"/>
      <c r="E181"/>
      <c r="F181"/>
      <c r="G181"/>
    </row>
    <row r="182" spans="4:7" x14ac:dyDescent="0.3">
      <c r="D182"/>
      <c r="E182"/>
      <c r="F182"/>
      <c r="G182"/>
    </row>
    <row r="183" spans="4:7" x14ac:dyDescent="0.3">
      <c r="D183"/>
      <c r="E183"/>
      <c r="F183"/>
      <c r="G183"/>
    </row>
    <row r="184" spans="4:7" x14ac:dyDescent="0.3">
      <c r="D184"/>
      <c r="E184"/>
      <c r="F184"/>
      <c r="G184"/>
    </row>
    <row r="185" spans="4:7" x14ac:dyDescent="0.3">
      <c r="D185"/>
      <c r="E185"/>
      <c r="F185"/>
      <c r="G185"/>
    </row>
    <row r="186" spans="4:7" x14ac:dyDescent="0.3">
      <c r="D186"/>
      <c r="E186"/>
      <c r="F186"/>
      <c r="G186"/>
    </row>
    <row r="187" spans="4:7" x14ac:dyDescent="0.3">
      <c r="D187"/>
      <c r="E187"/>
      <c r="F187"/>
      <c r="G187"/>
    </row>
    <row r="188" spans="4:7" x14ac:dyDescent="0.3">
      <c r="D188"/>
      <c r="E188"/>
      <c r="F188"/>
      <c r="G188"/>
    </row>
    <row r="189" spans="4:7" x14ac:dyDescent="0.3">
      <c r="D189"/>
      <c r="E189"/>
      <c r="F189"/>
      <c r="G189"/>
    </row>
    <row r="190" spans="4:7" x14ac:dyDescent="0.3">
      <c r="D190"/>
      <c r="E190"/>
      <c r="F190"/>
      <c r="G190"/>
    </row>
    <row r="191" spans="4:7" x14ac:dyDescent="0.3">
      <c r="D191"/>
      <c r="E191"/>
      <c r="F191"/>
      <c r="G191"/>
    </row>
    <row r="192" spans="4:7" x14ac:dyDescent="0.3">
      <c r="D192"/>
      <c r="E192"/>
      <c r="F192"/>
      <c r="G192"/>
    </row>
    <row r="193" spans="4:7" x14ac:dyDescent="0.3">
      <c r="D193"/>
      <c r="E193"/>
      <c r="F193"/>
      <c r="G193"/>
    </row>
    <row r="194" spans="4:7" x14ac:dyDescent="0.3">
      <c r="D194"/>
      <c r="E194"/>
      <c r="F194"/>
      <c r="G194"/>
    </row>
    <row r="195" spans="4:7" x14ac:dyDescent="0.3">
      <c r="D195"/>
      <c r="E195"/>
      <c r="F195"/>
      <c r="G195"/>
    </row>
    <row r="196" spans="4:7" x14ac:dyDescent="0.3">
      <c r="D196"/>
      <c r="E196"/>
      <c r="F196"/>
      <c r="G196"/>
    </row>
    <row r="197" spans="4:7" x14ac:dyDescent="0.3">
      <c r="D197"/>
      <c r="E197"/>
      <c r="F197"/>
      <c r="G197"/>
    </row>
    <row r="198" spans="4:7" x14ac:dyDescent="0.3">
      <c r="D198"/>
      <c r="E198"/>
      <c r="F198"/>
      <c r="G198"/>
    </row>
    <row r="199" spans="4:7" x14ac:dyDescent="0.3">
      <c r="D199"/>
      <c r="E199"/>
      <c r="F199"/>
      <c r="G199"/>
    </row>
    <row r="200" spans="4:7" x14ac:dyDescent="0.3">
      <c r="D200"/>
      <c r="E200"/>
      <c r="F200"/>
      <c r="G200"/>
    </row>
    <row r="201" spans="4:7" x14ac:dyDescent="0.3">
      <c r="D201"/>
      <c r="E201"/>
      <c r="F201"/>
      <c r="G201"/>
    </row>
    <row r="202" spans="4:7" x14ac:dyDescent="0.3">
      <c r="D202"/>
      <c r="E202"/>
      <c r="F202"/>
      <c r="G202"/>
    </row>
    <row r="203" spans="4:7" x14ac:dyDescent="0.3">
      <c r="D203"/>
      <c r="E203"/>
      <c r="F203"/>
      <c r="G203"/>
    </row>
    <row r="204" spans="4:7" x14ac:dyDescent="0.3">
      <c r="D204"/>
      <c r="E204"/>
      <c r="F204"/>
      <c r="G204"/>
    </row>
    <row r="205" spans="4:7" x14ac:dyDescent="0.3">
      <c r="D205"/>
      <c r="E205"/>
      <c r="F205"/>
      <c r="G205"/>
    </row>
    <row r="206" spans="4:7" x14ac:dyDescent="0.3">
      <c r="D206"/>
      <c r="E206"/>
      <c r="F206"/>
      <c r="G206"/>
    </row>
    <row r="207" spans="4:7" x14ac:dyDescent="0.3">
      <c r="D207"/>
      <c r="E207"/>
      <c r="F207"/>
      <c r="G207"/>
    </row>
    <row r="208" spans="4:7" x14ac:dyDescent="0.3">
      <c r="D208"/>
      <c r="E208"/>
      <c r="F208"/>
      <c r="G208"/>
    </row>
    <row r="209" spans="4:7" x14ac:dyDescent="0.3">
      <c r="D209"/>
      <c r="E209"/>
      <c r="F209"/>
      <c r="G209"/>
    </row>
    <row r="210" spans="4:7" x14ac:dyDescent="0.3">
      <c r="D210"/>
      <c r="E210"/>
      <c r="F210"/>
      <c r="G210"/>
    </row>
    <row r="211" spans="4:7" x14ac:dyDescent="0.3">
      <c r="D211"/>
      <c r="E211"/>
      <c r="F211"/>
      <c r="G211"/>
    </row>
    <row r="212" spans="4:7" x14ac:dyDescent="0.3">
      <c r="D212"/>
      <c r="E212"/>
      <c r="F212"/>
      <c r="G212"/>
    </row>
    <row r="213" spans="4:7" x14ac:dyDescent="0.3">
      <c r="D213"/>
      <c r="E213"/>
      <c r="F213"/>
      <c r="G213"/>
    </row>
    <row r="214" spans="4:7" x14ac:dyDescent="0.3">
      <c r="D214"/>
      <c r="E214"/>
      <c r="F214"/>
      <c r="G214"/>
    </row>
    <row r="215" spans="4:7" x14ac:dyDescent="0.3">
      <c r="D215"/>
      <c r="E215"/>
      <c r="F215"/>
      <c r="G215"/>
    </row>
    <row r="216" spans="4:7" x14ac:dyDescent="0.3">
      <c r="D216"/>
      <c r="E216"/>
      <c r="F216"/>
      <c r="G216"/>
    </row>
    <row r="217" spans="4:7" x14ac:dyDescent="0.3">
      <c r="D217"/>
      <c r="E217"/>
      <c r="F217"/>
      <c r="G217"/>
    </row>
    <row r="218" spans="4:7" x14ac:dyDescent="0.3">
      <c r="D218"/>
      <c r="E218"/>
      <c r="F218"/>
      <c r="G218"/>
    </row>
    <row r="219" spans="4:7" x14ac:dyDescent="0.3">
      <c r="D219"/>
      <c r="E219"/>
      <c r="F219"/>
      <c r="G219"/>
    </row>
    <row r="220" spans="4:7" x14ac:dyDescent="0.3">
      <c r="D220"/>
      <c r="E220"/>
      <c r="F220"/>
      <c r="G220"/>
    </row>
    <row r="221" spans="4:7" x14ac:dyDescent="0.3">
      <c r="D221"/>
      <c r="E221"/>
      <c r="F221"/>
      <c r="G221"/>
    </row>
    <row r="222" spans="4:7" x14ac:dyDescent="0.3">
      <c r="D222"/>
      <c r="E222"/>
      <c r="F222"/>
      <c r="G222"/>
    </row>
    <row r="223" spans="4:7" x14ac:dyDescent="0.3">
      <c r="D223"/>
      <c r="E223"/>
      <c r="F223"/>
      <c r="G223"/>
    </row>
    <row r="224" spans="4:7" x14ac:dyDescent="0.3">
      <c r="D224"/>
      <c r="E224"/>
      <c r="F224"/>
      <c r="G224"/>
    </row>
    <row r="225" spans="4:7" x14ac:dyDescent="0.3">
      <c r="D225"/>
      <c r="E225"/>
      <c r="F225"/>
      <c r="G225"/>
    </row>
    <row r="226" spans="4:7" x14ac:dyDescent="0.3">
      <c r="D226"/>
      <c r="E226"/>
      <c r="F226"/>
      <c r="G226"/>
    </row>
    <row r="227" spans="4:7" x14ac:dyDescent="0.3">
      <c r="D227"/>
      <c r="E227"/>
      <c r="F227"/>
      <c r="G227"/>
    </row>
    <row r="228" spans="4:7" x14ac:dyDescent="0.3">
      <c r="D228"/>
      <c r="E228"/>
      <c r="F228"/>
      <c r="G228"/>
    </row>
    <row r="229" spans="4:7" x14ac:dyDescent="0.3">
      <c r="D229"/>
      <c r="E229"/>
      <c r="F229"/>
      <c r="G229"/>
    </row>
    <row r="230" spans="4:7" x14ac:dyDescent="0.3">
      <c r="D230"/>
      <c r="E230"/>
      <c r="F230"/>
      <c r="G230"/>
    </row>
    <row r="231" spans="4:7" x14ac:dyDescent="0.3">
      <c r="D231"/>
      <c r="E231"/>
      <c r="F231"/>
      <c r="G231"/>
    </row>
    <row r="232" spans="4:7" x14ac:dyDescent="0.3">
      <c r="D232"/>
      <c r="E232"/>
      <c r="F232"/>
      <c r="G232"/>
    </row>
    <row r="233" spans="4:7" x14ac:dyDescent="0.3">
      <c r="D233"/>
      <c r="E233"/>
      <c r="F233"/>
      <c r="G233"/>
    </row>
    <row r="234" spans="4:7" x14ac:dyDescent="0.3">
      <c r="D234"/>
      <c r="E234"/>
      <c r="F234"/>
      <c r="G234"/>
    </row>
    <row r="235" spans="4:7" x14ac:dyDescent="0.3">
      <c r="D235"/>
      <c r="E235"/>
      <c r="F235"/>
      <c r="G235"/>
    </row>
    <row r="236" spans="4:7" x14ac:dyDescent="0.3">
      <c r="D236"/>
      <c r="E236"/>
      <c r="F236"/>
      <c r="G236"/>
    </row>
    <row r="237" spans="4:7" x14ac:dyDescent="0.3">
      <c r="D237"/>
      <c r="E237"/>
      <c r="F237"/>
      <c r="G237"/>
    </row>
    <row r="238" spans="4:7" x14ac:dyDescent="0.3">
      <c r="D238"/>
      <c r="E238"/>
      <c r="F238"/>
      <c r="G238"/>
    </row>
    <row r="239" spans="4:7" x14ac:dyDescent="0.3">
      <c r="D239"/>
      <c r="E239"/>
      <c r="F239"/>
      <c r="G239"/>
    </row>
    <row r="240" spans="4:7" x14ac:dyDescent="0.3">
      <c r="D240"/>
      <c r="E240"/>
      <c r="F240"/>
      <c r="G240"/>
    </row>
    <row r="241" spans="4:7" x14ac:dyDescent="0.3">
      <c r="D241"/>
      <c r="E241"/>
      <c r="F241"/>
      <c r="G241"/>
    </row>
  </sheetData>
  <phoneticPr fontId="7" alignment="center"/>
  <pageMargins left="0.7" right="0.7" top="0.75" bottom="0.75" header="0.3" footer="0.3"/>
  <pageSetup scale="47" fitToHeight="0" orientation="landscape" r:id="rId3"/>
  <drawing r:id="rId4"/>
  <tableParts count="1">
    <tablePart r:id="rId5"/>
  </tableParts>
  <extLst>
    <ext xmlns:x15="http://schemas.microsoft.com/office/spreadsheetml/2010/11/main" uri="{3A4CF648-6AED-40f4-86FF-DC5316D8AED3}">
      <x14:slicerList xmlns:x14="http://schemas.microsoft.com/office/spreadsheetml/2009/9/main">
        <x14:slicer r:id="rId6"/>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90A4BE-4176-4481-B8C4-81155CC199DF}">
  <sheetPr>
    <pageSetUpPr fitToPage="1"/>
  </sheetPr>
  <dimension ref="A1:P42"/>
  <sheetViews>
    <sheetView topLeftCell="A17" zoomScale="122" zoomScaleNormal="165" workbookViewId="0">
      <selection activeCell="H31" sqref="H31"/>
    </sheetView>
  </sheetViews>
  <sheetFormatPr defaultRowHeight="14.4" x14ac:dyDescent="0.3"/>
  <cols>
    <col min="1" max="1" width="19.77734375" bestFit="1" customWidth="1"/>
    <col min="2" max="2" width="17.21875" bestFit="1" customWidth="1"/>
    <col min="3" max="3" width="18.77734375" customWidth="1"/>
    <col min="4" max="4" width="10.77734375" bestFit="1" customWidth="1"/>
    <col min="5" max="5" width="20" bestFit="1" customWidth="1"/>
    <col min="6" max="6" width="13" bestFit="1" customWidth="1"/>
    <col min="7" max="7" width="10.88671875" bestFit="1" customWidth="1"/>
    <col min="8" max="8" width="10.77734375" bestFit="1" customWidth="1"/>
    <col min="9" max="9" width="13.88671875" bestFit="1" customWidth="1"/>
    <col min="10" max="10" width="12.88671875" customWidth="1"/>
    <col min="11" max="12" width="20" bestFit="1" customWidth="1"/>
    <col min="13" max="13" width="13" bestFit="1" customWidth="1"/>
    <col min="14" max="14" width="10.88671875" bestFit="1" customWidth="1"/>
    <col min="15" max="15" width="10.77734375" bestFit="1" customWidth="1"/>
    <col min="16" max="16" width="13.88671875" bestFit="1" customWidth="1"/>
  </cols>
  <sheetData>
    <row r="1" spans="1:16" x14ac:dyDescent="0.3">
      <c r="A1" s="8" t="s">
        <v>75</v>
      </c>
      <c r="B1" s="8" t="s">
        <v>2</v>
      </c>
      <c r="C1" s="8" t="s">
        <v>92</v>
      </c>
      <c r="D1" s="12" t="s">
        <v>93</v>
      </c>
      <c r="E1" s="12" t="s">
        <v>4</v>
      </c>
      <c r="F1" s="12" t="s">
        <v>94</v>
      </c>
      <c r="G1" s="12" t="s">
        <v>5</v>
      </c>
      <c r="H1" s="12" t="s">
        <v>95</v>
      </c>
      <c r="I1" s="13" t="s">
        <v>96</v>
      </c>
    </row>
    <row r="2" spans="1:16" x14ac:dyDescent="0.3">
      <c r="A2" s="90">
        <v>45947</v>
      </c>
      <c r="B2" s="87" t="s">
        <v>97</v>
      </c>
      <c r="C2" s="87" t="s">
        <v>98</v>
      </c>
      <c r="D2" s="88"/>
      <c r="E2" s="88"/>
      <c r="F2" s="88"/>
      <c r="G2" s="88">
        <f>D2*E2</f>
        <v>0</v>
      </c>
      <c r="H2" s="11"/>
      <c r="I2" s="89">
        <v>1972281</v>
      </c>
    </row>
    <row r="3" spans="1:16" x14ac:dyDescent="0.3">
      <c r="A3" s="90">
        <v>45947</v>
      </c>
      <c r="B3" s="87" t="s">
        <v>99</v>
      </c>
      <c r="C3" s="87" t="s">
        <v>98</v>
      </c>
      <c r="D3" s="88"/>
      <c r="E3" s="88"/>
      <c r="F3" s="88"/>
      <c r="G3" s="88">
        <f>D3*E3</f>
        <v>0</v>
      </c>
      <c r="H3" s="11">
        <v>0</v>
      </c>
      <c r="I3" s="89">
        <v>0</v>
      </c>
    </row>
    <row r="4" spans="1:16" x14ac:dyDescent="0.3">
      <c r="A4" s="90">
        <v>45947</v>
      </c>
      <c r="B4" s="87" t="s">
        <v>152</v>
      </c>
      <c r="C4" s="87" t="s">
        <v>98</v>
      </c>
      <c r="D4" s="11"/>
      <c r="E4" s="11"/>
      <c r="F4" s="11"/>
      <c r="G4" s="11">
        <f>D4*E4</f>
        <v>0</v>
      </c>
      <c r="H4" s="11">
        <v>0</v>
      </c>
      <c r="I4" s="92">
        <v>87620</v>
      </c>
    </row>
    <row r="5" spans="1:16" ht="15" thickBot="1" x14ac:dyDescent="0.35">
      <c r="A5" s="90">
        <v>45947</v>
      </c>
      <c r="B5" s="87" t="s">
        <v>174</v>
      </c>
      <c r="C5" s="87" t="s">
        <v>98</v>
      </c>
      <c r="D5" s="11"/>
      <c r="E5" s="11"/>
      <c r="F5" s="11"/>
      <c r="G5" s="11">
        <f t="shared" ref="G5:G12" si="0">D5*E5</f>
        <v>0</v>
      </c>
      <c r="H5" s="11"/>
      <c r="I5" s="92">
        <v>456400</v>
      </c>
    </row>
    <row r="6" spans="1:16" ht="15" thickTop="1" x14ac:dyDescent="0.3">
      <c r="A6" s="90">
        <v>45947</v>
      </c>
      <c r="B6" s="104" t="s">
        <v>182</v>
      </c>
      <c r="C6" s="87" t="s">
        <v>98</v>
      </c>
      <c r="D6" s="11"/>
      <c r="E6" s="11"/>
      <c r="F6" s="11"/>
      <c r="G6" s="11">
        <f t="shared" si="0"/>
        <v>0</v>
      </c>
      <c r="H6" s="11"/>
      <c r="I6" s="11">
        <v>0</v>
      </c>
      <c r="K6" s="17">
        <f>SUM(Table3[Total])</f>
        <v>4286390</v>
      </c>
      <c r="L6" s="3" t="s">
        <v>2</v>
      </c>
      <c r="M6" t="s">
        <v>88</v>
      </c>
    </row>
    <row r="7" spans="1:16" x14ac:dyDescent="0.3">
      <c r="A7" s="1">
        <v>45947</v>
      </c>
      <c r="B7" t="s">
        <v>152</v>
      </c>
      <c r="C7" s="87"/>
      <c r="D7" s="11">
        <v>203</v>
      </c>
      <c r="E7" s="11">
        <v>580</v>
      </c>
      <c r="F7" s="11"/>
      <c r="G7" s="11">
        <f t="shared" si="0"/>
        <v>117740</v>
      </c>
      <c r="H7" s="11">
        <f>SUMIFS(Table14[Debit], Table14[Date], Table3[[#This Row],[Date]], Table14[Party], Table3[[#This Row],[Party Name]])</f>
        <v>0</v>
      </c>
      <c r="I7" s="11">
        <f>(D7*E7)-Table3[[#This Row],[Paid]]</f>
        <v>117740</v>
      </c>
    </row>
    <row r="8" spans="1:16" x14ac:dyDescent="0.3">
      <c r="A8" s="1">
        <v>45947</v>
      </c>
      <c r="B8" t="s">
        <v>174</v>
      </c>
      <c r="C8" t="s">
        <v>208</v>
      </c>
      <c r="D8" s="11">
        <v>225</v>
      </c>
      <c r="E8" s="11">
        <v>775</v>
      </c>
      <c r="F8" s="11"/>
      <c r="G8" s="11">
        <f t="shared" si="0"/>
        <v>174375</v>
      </c>
      <c r="H8" s="11"/>
      <c r="I8" s="11">
        <f>(D8*E8)-Table3[[#This Row],[Paid]]</f>
        <v>174375</v>
      </c>
      <c r="K8" s="11"/>
      <c r="L8" s="3" t="s">
        <v>101</v>
      </c>
      <c r="M8" t="s">
        <v>102</v>
      </c>
      <c r="N8" t="s">
        <v>103</v>
      </c>
      <c r="O8" t="s">
        <v>104</v>
      </c>
      <c r="P8" t="s">
        <v>105</v>
      </c>
    </row>
    <row r="9" spans="1:16" x14ac:dyDescent="0.3">
      <c r="A9" s="1">
        <v>45948</v>
      </c>
      <c r="B9" t="s">
        <v>97</v>
      </c>
      <c r="C9" t="s">
        <v>189</v>
      </c>
      <c r="D9" s="11">
        <v>445</v>
      </c>
      <c r="E9" s="11">
        <v>810</v>
      </c>
      <c r="F9" s="11">
        <v>76105</v>
      </c>
      <c r="G9" s="11">
        <f t="shared" si="0"/>
        <v>360450</v>
      </c>
      <c r="H9" s="11"/>
      <c r="I9" s="11">
        <f>(D9*E9)-Table3[[#This Row],[Paid]]</f>
        <v>360450</v>
      </c>
      <c r="K9" s="11"/>
      <c r="L9" s="27">
        <v>45947</v>
      </c>
      <c r="M9" s="14">
        <v>428</v>
      </c>
      <c r="N9" s="14">
        <v>292115</v>
      </c>
      <c r="O9" s="14">
        <v>0</v>
      </c>
      <c r="P9" s="14">
        <v>2808416</v>
      </c>
    </row>
    <row r="10" spans="1:16" x14ac:dyDescent="0.3">
      <c r="A10" s="1">
        <v>45948</v>
      </c>
      <c r="B10" t="s">
        <v>97</v>
      </c>
      <c r="C10" t="s">
        <v>190</v>
      </c>
      <c r="D10" s="11">
        <v>243</v>
      </c>
      <c r="E10" s="11">
        <v>810</v>
      </c>
      <c r="F10" s="11">
        <v>44000</v>
      </c>
      <c r="G10" s="11">
        <f t="shared" si="0"/>
        <v>196830</v>
      </c>
      <c r="H10" s="11">
        <f>SUMIFS(Table14[Debit], Table14[Date], Table3[[#This Row],[Date]], Table14[Party], Table3[[#This Row],[Party Name]])</f>
        <v>437100</v>
      </c>
      <c r="I10" s="11">
        <f>(D10*E10)-Table3[[#This Row],[Paid]]</f>
        <v>-240270</v>
      </c>
      <c r="K10" s="11"/>
      <c r="L10" s="47" t="s">
        <v>106</v>
      </c>
      <c r="M10" s="14">
        <v>203</v>
      </c>
      <c r="N10" s="14">
        <v>117740</v>
      </c>
      <c r="O10" s="14">
        <v>0</v>
      </c>
      <c r="P10" s="14">
        <v>117740</v>
      </c>
    </row>
    <row r="11" spans="1:16" x14ac:dyDescent="0.3">
      <c r="A11" s="1">
        <v>45948</v>
      </c>
      <c r="B11" t="s">
        <v>174</v>
      </c>
      <c r="D11" s="11"/>
      <c r="E11" s="11"/>
      <c r="F11" s="11"/>
      <c r="G11" s="11">
        <f t="shared" si="0"/>
        <v>0</v>
      </c>
      <c r="H11" s="11">
        <f>SUMIFS(Table14[Debit], Table14[Date], Table3[[#This Row],[Date]], Table14[Party], Table3[[#This Row],[Party Name]])</f>
        <v>212475</v>
      </c>
      <c r="I11" s="11">
        <f>(D11*E11)-Table3[[#This Row],[Paid]]</f>
        <v>-212475</v>
      </c>
      <c r="K11" s="11"/>
      <c r="L11" s="47" t="s">
        <v>98</v>
      </c>
      <c r="M11" s="14"/>
      <c r="N11" s="14">
        <v>0</v>
      </c>
      <c r="O11" s="14">
        <v>0</v>
      </c>
      <c r="P11" s="14">
        <v>2516301</v>
      </c>
    </row>
    <row r="12" spans="1:16" x14ac:dyDescent="0.3">
      <c r="A12" s="1">
        <v>45948</v>
      </c>
      <c r="B12" t="s">
        <v>182</v>
      </c>
      <c r="D12" s="11"/>
      <c r="E12" s="11"/>
      <c r="F12" s="11"/>
      <c r="G12" s="11">
        <f t="shared" si="0"/>
        <v>0</v>
      </c>
      <c r="H12" s="11">
        <f>SUMIFS(Table14[Debit], Table14[Date], Table3[[#This Row],[Date]], Table14[Party], Table3[[#This Row],[Party Name]])</f>
        <v>1000</v>
      </c>
      <c r="I12" s="11">
        <f>(D12*E12)-Table3[[#This Row],[Paid]]</f>
        <v>-1000</v>
      </c>
      <c r="K12" s="11"/>
      <c r="L12" s="47" t="s">
        <v>208</v>
      </c>
      <c r="M12" s="14">
        <v>225</v>
      </c>
      <c r="N12" s="14">
        <v>174375</v>
      </c>
      <c r="O12" s="14"/>
      <c r="P12" s="14">
        <v>174375</v>
      </c>
    </row>
    <row r="13" spans="1:16" x14ac:dyDescent="0.3">
      <c r="A13" s="1">
        <v>45948</v>
      </c>
      <c r="B13" t="s">
        <v>152</v>
      </c>
      <c r="D13" s="11">
        <v>157</v>
      </c>
      <c r="E13" s="11">
        <v>580</v>
      </c>
      <c r="F13" s="11"/>
      <c r="G13" s="11">
        <f t="shared" ref="G13:G15" si="1">D13*E13</f>
        <v>91060</v>
      </c>
      <c r="H13" s="11"/>
      <c r="I13" s="11">
        <f>(D13*E13)-Table3[[#This Row],[Paid]]</f>
        <v>91060</v>
      </c>
      <c r="K13" s="11"/>
      <c r="L13" s="27">
        <v>45948</v>
      </c>
      <c r="M13" s="14">
        <v>845</v>
      </c>
      <c r="N13" s="14">
        <v>648340</v>
      </c>
      <c r="O13" s="14">
        <v>650575</v>
      </c>
      <c r="P13" s="14">
        <v>-2235</v>
      </c>
    </row>
    <row r="14" spans="1:16" x14ac:dyDescent="0.3">
      <c r="A14" s="1">
        <v>45950</v>
      </c>
      <c r="B14" t="s">
        <v>97</v>
      </c>
      <c r="D14" s="11">
        <v>302</v>
      </c>
      <c r="E14" s="11">
        <v>810</v>
      </c>
      <c r="F14" s="11">
        <v>48800</v>
      </c>
      <c r="G14" s="11">
        <f t="shared" si="1"/>
        <v>244620</v>
      </c>
      <c r="H14" s="11"/>
      <c r="I14" s="11">
        <f>(D14*E14)-Table3[[#This Row],[Paid]]</f>
        <v>244620</v>
      </c>
      <c r="K14" s="11"/>
      <c r="L14" s="47" t="s">
        <v>106</v>
      </c>
      <c r="M14" s="14">
        <v>157</v>
      </c>
      <c r="N14" s="14">
        <v>91060</v>
      </c>
      <c r="O14" s="14">
        <v>213475</v>
      </c>
      <c r="P14" s="14">
        <v>-122415</v>
      </c>
    </row>
    <row r="15" spans="1:16" x14ac:dyDescent="0.3">
      <c r="A15" s="1">
        <v>45950</v>
      </c>
      <c r="B15" t="s">
        <v>97</v>
      </c>
      <c r="D15" s="11">
        <v>309</v>
      </c>
      <c r="E15" s="11">
        <v>810</v>
      </c>
      <c r="F15" s="11">
        <v>51500</v>
      </c>
      <c r="G15" s="11">
        <f t="shared" si="1"/>
        <v>250290</v>
      </c>
      <c r="H15" s="11">
        <f>SUMIFS(Table14[Debit], Table14[Date], Table3[[#This Row],[Date]], Table14[Party], Table3[[#This Row],[Party Name]])</f>
        <v>100300</v>
      </c>
      <c r="I15" s="11">
        <f>(D15*E15)-Table3[[#This Row],[Paid]]</f>
        <v>149990</v>
      </c>
      <c r="K15" s="11"/>
      <c r="L15" s="47" t="s">
        <v>189</v>
      </c>
      <c r="M15" s="14">
        <v>445</v>
      </c>
      <c r="N15" s="14">
        <v>360450</v>
      </c>
      <c r="O15" s="14"/>
      <c r="P15" s="14">
        <v>360450</v>
      </c>
    </row>
    <row r="16" spans="1:16" x14ac:dyDescent="0.3">
      <c r="A16" s="1">
        <v>45950</v>
      </c>
      <c r="B16" t="s">
        <v>174</v>
      </c>
      <c r="D16" s="11">
        <v>248</v>
      </c>
      <c r="E16" s="11">
        <v>775</v>
      </c>
      <c r="F16" s="11"/>
      <c r="G16" s="11">
        <f t="shared" ref="G16:G17" si="2">D16*E16</f>
        <v>192200</v>
      </c>
      <c r="H16" s="11">
        <f>SUMIFS(Table14[Debit], Table14[Date], Table3[[#This Row],[Date]], Table14[Party], Table3[[#This Row],[Party Name]])</f>
        <v>0</v>
      </c>
      <c r="I16" s="11">
        <f>(D16*E16)-Table3[[#This Row],[Paid]]</f>
        <v>192200</v>
      </c>
      <c r="K16" s="11"/>
      <c r="L16" s="47" t="s">
        <v>190</v>
      </c>
      <c r="M16" s="14">
        <v>243</v>
      </c>
      <c r="N16" s="14">
        <v>196830</v>
      </c>
      <c r="O16" s="14">
        <v>437100</v>
      </c>
      <c r="P16" s="14">
        <v>-240270</v>
      </c>
    </row>
    <row r="17" spans="1:16" x14ac:dyDescent="0.3">
      <c r="A17" s="1">
        <v>45951</v>
      </c>
      <c r="B17" t="s">
        <v>174</v>
      </c>
      <c r="D17" s="11">
        <v>243</v>
      </c>
      <c r="E17" s="11">
        <v>775</v>
      </c>
      <c r="F17" s="11"/>
      <c r="G17" s="11">
        <f t="shared" si="2"/>
        <v>188325</v>
      </c>
      <c r="H17" s="11">
        <f>SUMIFS(Table14[Debit], Table14[Date], Table3[[#This Row],[Date]], Table14[Party], Table3[[#This Row],[Party Name]])</f>
        <v>0</v>
      </c>
      <c r="I17" s="11">
        <f>(D17*E17)-Table3[[#This Row],[Paid]]</f>
        <v>188325</v>
      </c>
      <c r="K17" s="11"/>
      <c r="L17" s="27">
        <v>45950</v>
      </c>
      <c r="M17" s="14">
        <v>859</v>
      </c>
      <c r="N17" s="14">
        <v>687110</v>
      </c>
      <c r="O17" s="14">
        <v>100300</v>
      </c>
      <c r="P17" s="14">
        <v>586810</v>
      </c>
    </row>
    <row r="18" spans="1:16" x14ac:dyDescent="0.3">
      <c r="A18" s="1">
        <v>45952</v>
      </c>
      <c r="B18" t="s">
        <v>97</v>
      </c>
      <c r="D18" s="11"/>
      <c r="E18" s="11"/>
      <c r="F18" s="11"/>
      <c r="G18" s="11">
        <f t="shared" ref="G18:G19" si="3">D18*E18</f>
        <v>0</v>
      </c>
      <c r="H18" s="11">
        <f>SUMIFS(Table14[Debit], Table14[Date], Table3[[#This Row],[Date]], Table14[Party], Table3[[#This Row],[Party Name]])</f>
        <v>150000</v>
      </c>
      <c r="I18" s="11">
        <f>(D18*E18)-Table3[[#This Row],[Paid]]</f>
        <v>-150000</v>
      </c>
      <c r="L18" s="47" t="s">
        <v>106</v>
      </c>
      <c r="M18" s="14">
        <v>859</v>
      </c>
      <c r="N18" s="14">
        <v>687110</v>
      </c>
      <c r="O18" s="14">
        <v>100300</v>
      </c>
      <c r="P18" s="14">
        <v>586810</v>
      </c>
    </row>
    <row r="19" spans="1:16" x14ac:dyDescent="0.3">
      <c r="A19" s="1">
        <v>45952</v>
      </c>
      <c r="B19" t="s">
        <v>174</v>
      </c>
      <c r="D19" s="11"/>
      <c r="E19" s="11"/>
      <c r="F19" s="11"/>
      <c r="G19" s="11">
        <f t="shared" si="3"/>
        <v>0</v>
      </c>
      <c r="H19" s="11">
        <f>SUMIFS(Table14[Debit], Table14[Date], Table3[[#This Row],[Date]], Table14[Party], Table3[[#This Row],[Party Name]])</f>
        <v>244675</v>
      </c>
      <c r="I19" s="11">
        <f>(D19*E19)-Table3[[#This Row],[Paid]]</f>
        <v>-244675</v>
      </c>
      <c r="L19" s="27">
        <v>45951</v>
      </c>
      <c r="M19" s="14">
        <v>243</v>
      </c>
      <c r="N19" s="14">
        <v>188325</v>
      </c>
      <c r="O19" s="14">
        <v>403200</v>
      </c>
      <c r="P19" s="14">
        <v>-214875</v>
      </c>
    </row>
    <row r="20" spans="1:16" x14ac:dyDescent="0.3">
      <c r="A20" s="1">
        <v>45953</v>
      </c>
      <c r="B20" t="s">
        <v>97</v>
      </c>
      <c r="C20" t="s">
        <v>258</v>
      </c>
      <c r="D20" s="11">
        <v>262</v>
      </c>
      <c r="E20" s="11">
        <v>810</v>
      </c>
      <c r="F20" s="11">
        <v>45250</v>
      </c>
      <c r="G20" s="11">
        <f t="shared" ref="G20:G21" si="4">D20*E20</f>
        <v>212220</v>
      </c>
      <c r="H20" s="11">
        <f>SUMIFS(Table14[Debit], Table14[Date], Table3[[#This Row],[Date]], Table14[Party], Table3[[#This Row],[Party Name]])</f>
        <v>295250</v>
      </c>
      <c r="I20" s="11">
        <f>(D20*E20)-Table3[[#This Row],[Paid]]</f>
        <v>-83030</v>
      </c>
      <c r="L20" s="47" t="s">
        <v>106</v>
      </c>
      <c r="M20" s="14">
        <v>243</v>
      </c>
      <c r="N20" s="14">
        <v>188325</v>
      </c>
      <c r="O20" s="14">
        <v>403200</v>
      </c>
      <c r="P20" s="14">
        <v>-214875</v>
      </c>
    </row>
    <row r="21" spans="1:16" x14ac:dyDescent="0.3">
      <c r="A21" s="1">
        <v>45951</v>
      </c>
      <c r="B21" t="s">
        <v>97</v>
      </c>
      <c r="D21" s="11"/>
      <c r="E21" s="11"/>
      <c r="F21" s="11"/>
      <c r="G21" s="11">
        <f t="shared" si="4"/>
        <v>0</v>
      </c>
      <c r="H21" s="11">
        <f>SUMIFS(Table14[Debit], Table14[Date], Table3[[#This Row],[Date]], Table14[Party], Table3[[#This Row],[Party Name]])</f>
        <v>403200</v>
      </c>
      <c r="I21" s="11">
        <f>(D21*E21)-Table3[[#This Row],[Paid]]</f>
        <v>-403200</v>
      </c>
      <c r="L21" s="27">
        <v>45952</v>
      </c>
      <c r="M21" s="14"/>
      <c r="N21" s="14">
        <v>0</v>
      </c>
      <c r="O21" s="14">
        <v>394675</v>
      </c>
      <c r="P21" s="14">
        <v>-394675</v>
      </c>
    </row>
    <row r="22" spans="1:16" x14ac:dyDescent="0.3">
      <c r="A22" s="1">
        <v>45954</v>
      </c>
      <c r="B22" t="s">
        <v>97</v>
      </c>
      <c r="C22" t="s">
        <v>280</v>
      </c>
      <c r="D22" s="11">
        <v>311</v>
      </c>
      <c r="E22" s="11">
        <v>810</v>
      </c>
      <c r="F22" s="11">
        <v>52060</v>
      </c>
      <c r="G22" s="11">
        <f t="shared" ref="G22:G25" si="5">D22*E22</f>
        <v>251910</v>
      </c>
      <c r="H22" s="11">
        <f>SUMIFS(Table14[Debit], Table14[Date], Table3[[#This Row],[Date]], Table14[Party], Table3[[#This Row],[Party Name]])</f>
        <v>252060</v>
      </c>
      <c r="I22" s="11">
        <f>(D22*E22)-Table3[[#This Row],[Paid]]</f>
        <v>-150</v>
      </c>
      <c r="L22" s="47" t="s">
        <v>106</v>
      </c>
      <c r="M22" s="14"/>
      <c r="N22" s="14">
        <v>0</v>
      </c>
      <c r="O22" s="14">
        <v>394675</v>
      </c>
      <c r="P22" s="14">
        <v>-394675</v>
      </c>
    </row>
    <row r="23" spans="1:16" x14ac:dyDescent="0.3">
      <c r="A23" s="1">
        <v>45955</v>
      </c>
      <c r="B23" t="s">
        <v>97</v>
      </c>
      <c r="C23" t="s">
        <v>289</v>
      </c>
      <c r="D23" s="11">
        <v>266</v>
      </c>
      <c r="E23" s="11">
        <v>810</v>
      </c>
      <c r="F23" s="11">
        <v>50000</v>
      </c>
      <c r="G23" s="11">
        <f t="shared" si="5"/>
        <v>215460</v>
      </c>
      <c r="H23" s="11"/>
      <c r="I23" s="11">
        <f>(D23*E23)-Table3[[#This Row],[Paid]]</f>
        <v>215460</v>
      </c>
      <c r="L23" s="27">
        <v>45953</v>
      </c>
      <c r="M23" s="14">
        <v>262</v>
      </c>
      <c r="N23" s="14">
        <v>212220</v>
      </c>
      <c r="O23" s="14">
        <v>295250</v>
      </c>
      <c r="P23" s="14">
        <v>-83030</v>
      </c>
    </row>
    <row r="24" spans="1:16" x14ac:dyDescent="0.3">
      <c r="A24" s="1">
        <v>45955</v>
      </c>
      <c r="B24" t="s">
        <v>97</v>
      </c>
      <c r="C24" t="s">
        <v>284</v>
      </c>
      <c r="D24" s="11">
        <v>417</v>
      </c>
      <c r="E24" s="11">
        <v>810</v>
      </c>
      <c r="F24" s="11">
        <v>72900</v>
      </c>
      <c r="G24" s="11">
        <f t="shared" si="5"/>
        <v>337770</v>
      </c>
      <c r="H24" s="11">
        <f>SUMIFS(Table14[Debit], Table14[Date], Table3[[#This Row],[Date]], Table14[Party], Table3[[#This Row],[Party Name]])</f>
        <v>326921</v>
      </c>
      <c r="I24" s="11">
        <f>(D24*E24)-Table3[[#This Row],[Paid]]</f>
        <v>10849</v>
      </c>
      <c r="L24" s="47" t="s">
        <v>258</v>
      </c>
      <c r="M24" s="14">
        <v>262</v>
      </c>
      <c r="N24" s="14">
        <v>212220</v>
      </c>
      <c r="O24" s="14">
        <v>295250</v>
      </c>
      <c r="P24" s="14">
        <v>-83030</v>
      </c>
    </row>
    <row r="25" spans="1:16" x14ac:dyDescent="0.3">
      <c r="A25" s="1">
        <v>45955</v>
      </c>
      <c r="B25" t="s">
        <v>152</v>
      </c>
      <c r="D25" s="11"/>
      <c r="E25" s="11"/>
      <c r="F25" s="11"/>
      <c r="G25" s="11">
        <f t="shared" si="5"/>
        <v>0</v>
      </c>
      <c r="H25" s="11">
        <f>SUMIFS(Table14[Debit], Table14[Date], Table3[[#This Row],[Date]], Table14[Party], Table3[[#This Row],[Party Name]])</f>
        <v>100000</v>
      </c>
      <c r="I25" s="11">
        <f>(D25*E25)-Table3[[#This Row],[Paid]]</f>
        <v>-100000</v>
      </c>
      <c r="L25" s="27">
        <v>45954</v>
      </c>
      <c r="M25" s="14">
        <v>311</v>
      </c>
      <c r="N25" s="14">
        <v>251910</v>
      </c>
      <c r="O25" s="14">
        <v>252060</v>
      </c>
      <c r="P25" s="14">
        <v>-150</v>
      </c>
    </row>
    <row r="26" spans="1:16" x14ac:dyDescent="0.3">
      <c r="A26" s="1">
        <v>45956</v>
      </c>
      <c r="B26" t="s">
        <v>97</v>
      </c>
      <c r="C26" t="s">
        <v>291</v>
      </c>
      <c r="D26" s="11">
        <v>333</v>
      </c>
      <c r="E26" s="11">
        <v>810</v>
      </c>
      <c r="F26" s="11">
        <v>53700</v>
      </c>
      <c r="G26" s="11">
        <f t="shared" ref="G26:G30" si="6">D26*E26</f>
        <v>269730</v>
      </c>
      <c r="H26" s="11"/>
      <c r="I26" s="11">
        <f>(D26*E26)-Table3[[#This Row],[Paid]]</f>
        <v>269730</v>
      </c>
      <c r="L26" s="47" t="s">
        <v>280</v>
      </c>
      <c r="M26" s="14">
        <v>311</v>
      </c>
      <c r="N26" s="14">
        <v>251910</v>
      </c>
      <c r="O26" s="14">
        <v>252060</v>
      </c>
      <c r="P26" s="14">
        <v>-150</v>
      </c>
    </row>
    <row r="27" spans="1:16" x14ac:dyDescent="0.3">
      <c r="A27" s="1">
        <v>45956</v>
      </c>
      <c r="B27" t="s">
        <v>97</v>
      </c>
      <c r="C27" t="s">
        <v>189</v>
      </c>
      <c r="D27" s="11">
        <v>439</v>
      </c>
      <c r="E27" s="11">
        <v>810</v>
      </c>
      <c r="F27" s="11">
        <v>76850</v>
      </c>
      <c r="G27" s="11">
        <f t="shared" si="6"/>
        <v>355590</v>
      </c>
      <c r="H27" s="11">
        <f>SUMIFS(Table14[Debit], Table14[Date], Table3[[#This Row],[Date]], Table14[Party], Table3[[#This Row],[Party Name]])</f>
        <v>130550</v>
      </c>
      <c r="I27" s="11">
        <f>(D27*E27)-Table3[[#This Row],[Paid]]</f>
        <v>225040</v>
      </c>
      <c r="L27" s="27">
        <v>45955</v>
      </c>
      <c r="M27" s="14">
        <v>683</v>
      </c>
      <c r="N27" s="14">
        <v>553230</v>
      </c>
      <c r="O27" s="14">
        <v>426921</v>
      </c>
      <c r="P27" s="14">
        <v>126309</v>
      </c>
    </row>
    <row r="28" spans="1:16" x14ac:dyDescent="0.3">
      <c r="A28" s="1">
        <v>45957</v>
      </c>
      <c r="B28" t="s">
        <v>97</v>
      </c>
      <c r="C28" t="s">
        <v>300</v>
      </c>
      <c r="D28" s="11">
        <v>277</v>
      </c>
      <c r="E28" s="11">
        <v>810</v>
      </c>
      <c r="F28" s="11">
        <v>45335</v>
      </c>
      <c r="G28" s="11">
        <f t="shared" si="6"/>
        <v>224370</v>
      </c>
      <c r="H28" s="11">
        <f>SUMIFS(Table14[Debit], Table14[Date], Table3[[#This Row],[Date]], Table14[Party], Table3[[#This Row],[Party Name]])</f>
        <v>45335</v>
      </c>
      <c r="I28" s="11">
        <f>(D28*E28)-Table3[[#This Row],[Paid]]</f>
        <v>179035</v>
      </c>
      <c r="L28" s="47" t="s">
        <v>106</v>
      </c>
      <c r="M28" s="14"/>
      <c r="N28" s="14">
        <v>0</v>
      </c>
      <c r="O28" s="14">
        <v>100000</v>
      </c>
      <c r="P28" s="14">
        <v>-100000</v>
      </c>
    </row>
    <row r="29" spans="1:16" x14ac:dyDescent="0.3">
      <c r="A29" s="1">
        <v>45958</v>
      </c>
      <c r="B29" t="s">
        <v>97</v>
      </c>
      <c r="C29" t="s">
        <v>219</v>
      </c>
      <c r="D29" s="11">
        <v>307</v>
      </c>
      <c r="E29" s="11">
        <v>810</v>
      </c>
      <c r="F29" s="11">
        <v>49850</v>
      </c>
      <c r="G29" s="11">
        <f t="shared" si="6"/>
        <v>248670</v>
      </c>
      <c r="H29" s="11">
        <f>SUMIFS(Table14[Debit], Table14[Date], Table3[[#This Row],[Date]], Table14[Party], Table3[[#This Row],[Party Name]])</f>
        <v>399850</v>
      </c>
      <c r="I29" s="11">
        <f>(D29*E29)-Table3[[#This Row],[Paid]]</f>
        <v>-151180</v>
      </c>
      <c r="K29" s="14"/>
      <c r="L29" s="47" t="s">
        <v>289</v>
      </c>
      <c r="M29" s="14">
        <v>266</v>
      </c>
      <c r="N29" s="14">
        <v>215460</v>
      </c>
      <c r="O29" s="14"/>
      <c r="P29" s="14">
        <v>215460</v>
      </c>
    </row>
    <row r="30" spans="1:16" x14ac:dyDescent="0.3">
      <c r="A30" s="1">
        <v>45959</v>
      </c>
      <c r="B30" t="s">
        <v>97</v>
      </c>
      <c r="C30" t="s">
        <v>329</v>
      </c>
      <c r="D30" s="11">
        <v>301</v>
      </c>
      <c r="E30" s="11">
        <v>810</v>
      </c>
      <c r="F30" s="11">
        <v>48850</v>
      </c>
      <c r="G30" s="11">
        <f t="shared" si="6"/>
        <v>243810</v>
      </c>
      <c r="H30" s="11"/>
      <c r="I30" s="11">
        <f>(D30*E30)-Table3[[#This Row],[Paid]]</f>
        <v>243810</v>
      </c>
      <c r="L30" s="47" t="s">
        <v>284</v>
      </c>
      <c r="M30" s="14">
        <v>417</v>
      </c>
      <c r="N30" s="14">
        <v>337770</v>
      </c>
      <c r="O30" s="14">
        <v>326921</v>
      </c>
      <c r="P30" s="14">
        <v>10849</v>
      </c>
    </row>
    <row r="31" spans="1:16" x14ac:dyDescent="0.3">
      <c r="A31" s="1">
        <v>45959</v>
      </c>
      <c r="B31" t="s">
        <v>97</v>
      </c>
      <c r="C31" t="s">
        <v>320</v>
      </c>
      <c r="D31" s="11">
        <v>137</v>
      </c>
      <c r="E31" s="11">
        <v>810</v>
      </c>
      <c r="F31" s="11">
        <v>35000</v>
      </c>
      <c r="G31" s="11">
        <f>D31*E31</f>
        <v>110970</v>
      </c>
      <c r="H31" s="11">
        <f>SUMIFS(Table14[Debit], Table14[Date], Table3[[#This Row],[Date]], Table14[Party], Table3[[#This Row],[Party Name]])</f>
        <v>83850</v>
      </c>
      <c r="I31" s="11">
        <f>(D31*E31)-Table3[[#This Row],[Paid]]</f>
        <v>27120</v>
      </c>
      <c r="L31" s="27">
        <v>45956</v>
      </c>
      <c r="M31" s="14">
        <v>772</v>
      </c>
      <c r="N31" s="14">
        <v>625320</v>
      </c>
      <c r="O31" s="14">
        <v>130550</v>
      </c>
      <c r="P31" s="14">
        <v>494770</v>
      </c>
    </row>
    <row r="32" spans="1:16" x14ac:dyDescent="0.3">
      <c r="A32" s="1"/>
      <c r="D32" s="14"/>
      <c r="E32" s="14"/>
      <c r="F32" s="14"/>
      <c r="G32" s="14">
        <f>SUBTOTAL(109,Table3[Total])</f>
        <v>4286390</v>
      </c>
      <c r="H32" s="14">
        <f>SUBTOTAL(109,Table3[Paid])</f>
        <v>3182566</v>
      </c>
      <c r="I32" s="14">
        <f>SUBTOTAL(109,Table3[balance])</f>
        <v>3620125</v>
      </c>
      <c r="L32" s="47" t="s">
        <v>189</v>
      </c>
      <c r="M32" s="14">
        <v>439</v>
      </c>
      <c r="N32" s="14">
        <v>355590</v>
      </c>
      <c r="O32" s="14">
        <v>130550</v>
      </c>
      <c r="P32" s="14">
        <v>225040</v>
      </c>
    </row>
    <row r="33" spans="12:16" x14ac:dyDescent="0.3">
      <c r="L33" s="47" t="s">
        <v>291</v>
      </c>
      <c r="M33" s="14">
        <v>333</v>
      </c>
      <c r="N33" s="14">
        <v>269730</v>
      </c>
      <c r="O33" s="14"/>
      <c r="P33" s="14">
        <v>269730</v>
      </c>
    </row>
    <row r="34" spans="12:16" x14ac:dyDescent="0.3">
      <c r="L34" s="27">
        <v>45957</v>
      </c>
      <c r="M34" s="14">
        <v>277</v>
      </c>
      <c r="N34" s="14">
        <v>224370</v>
      </c>
      <c r="O34" s="14">
        <v>45335</v>
      </c>
      <c r="P34" s="14">
        <v>179035</v>
      </c>
    </row>
    <row r="35" spans="12:16" x14ac:dyDescent="0.3">
      <c r="L35" s="47" t="s">
        <v>300</v>
      </c>
      <c r="M35" s="14">
        <v>277</v>
      </c>
      <c r="N35" s="14">
        <v>224370</v>
      </c>
      <c r="O35" s="14">
        <v>45335</v>
      </c>
      <c r="P35" s="14">
        <v>179035</v>
      </c>
    </row>
    <row r="36" spans="12:16" x14ac:dyDescent="0.3">
      <c r="L36" s="27">
        <v>45958</v>
      </c>
      <c r="M36" s="14">
        <v>307</v>
      </c>
      <c r="N36" s="14">
        <v>248670</v>
      </c>
      <c r="O36" s="14">
        <v>399850</v>
      </c>
      <c r="P36" s="14">
        <v>-151180</v>
      </c>
    </row>
    <row r="37" spans="12:16" x14ac:dyDescent="0.3">
      <c r="L37" s="47" t="s">
        <v>219</v>
      </c>
      <c r="M37" s="14">
        <v>307</v>
      </c>
      <c r="N37" s="14">
        <v>248670</v>
      </c>
      <c r="O37" s="14">
        <v>399850</v>
      </c>
      <c r="P37" s="14">
        <v>-151180</v>
      </c>
    </row>
    <row r="38" spans="12:16" x14ac:dyDescent="0.3">
      <c r="L38" s="27">
        <v>45959</v>
      </c>
      <c r="M38" s="14">
        <v>438</v>
      </c>
      <c r="N38" s="14">
        <v>354780</v>
      </c>
      <c r="O38" s="14">
        <v>83850</v>
      </c>
      <c r="P38" s="14">
        <v>270930</v>
      </c>
    </row>
    <row r="39" spans="12:16" x14ac:dyDescent="0.3">
      <c r="L39" s="47" t="s">
        <v>329</v>
      </c>
      <c r="M39" s="14">
        <v>301</v>
      </c>
      <c r="N39" s="14">
        <v>243810</v>
      </c>
      <c r="O39" s="14"/>
      <c r="P39" s="14">
        <v>243810</v>
      </c>
    </row>
    <row r="40" spans="12:16" x14ac:dyDescent="0.3">
      <c r="L40" s="47" t="s">
        <v>320</v>
      </c>
      <c r="M40" s="14">
        <v>137</v>
      </c>
      <c r="N40" s="14">
        <v>110970</v>
      </c>
      <c r="O40" s="14">
        <v>83850</v>
      </c>
      <c r="P40" s="14">
        <v>27120</v>
      </c>
    </row>
    <row r="41" spans="12:16" x14ac:dyDescent="0.3">
      <c r="L41" s="27" t="s">
        <v>28</v>
      </c>
      <c r="M41" s="14">
        <v>5425</v>
      </c>
      <c r="N41" s="14">
        <v>4286390</v>
      </c>
      <c r="O41" s="14">
        <v>3182566</v>
      </c>
      <c r="P41" s="14">
        <v>3620125</v>
      </c>
    </row>
    <row r="42" spans="12:16" x14ac:dyDescent="0.3">
      <c r="L42" s="14">
        <f>I2-Table3[[#Totals],[balance]]</f>
        <v>-1647844</v>
      </c>
    </row>
  </sheetData>
  <phoneticPr fontId="4" type="noConversion"/>
  <pageMargins left="0.7" right="0.7" top="0.75" bottom="0.75" header="0.3" footer="0.3"/>
  <pageSetup scale="53" firstPageNumber="0" fitToHeight="0" orientation="portrait" r:id="rId2"/>
  <drawing r:id="rId3"/>
  <tableParts count="1">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BC7D8-36BA-4EBA-8685-891B9162141F}">
  <dimension ref="A1:P200"/>
  <sheetViews>
    <sheetView tabSelected="1" topLeftCell="A171" zoomScale="132" workbookViewId="0">
      <selection activeCell="E183" sqref="E183"/>
    </sheetView>
  </sheetViews>
  <sheetFormatPr defaultRowHeight="14.4" x14ac:dyDescent="0.3"/>
  <cols>
    <col min="1" max="1" width="12.109375" customWidth="1"/>
    <col min="2" max="2" width="19.6640625" bestFit="1" customWidth="1"/>
    <col min="3" max="3" width="13.5546875" bestFit="1" customWidth="1"/>
    <col min="4" max="4" width="12.6640625" bestFit="1" customWidth="1"/>
    <col min="5" max="5" width="14.88671875" customWidth="1"/>
    <col min="6" max="6" width="13.33203125" bestFit="1" customWidth="1"/>
    <col min="7" max="7" width="14.6640625" bestFit="1" customWidth="1"/>
    <col min="8" max="8" width="16.109375" customWidth="1"/>
    <col min="9" max="9" width="14.44140625" bestFit="1" customWidth="1"/>
    <col min="10" max="10" width="18.77734375" bestFit="1" customWidth="1"/>
    <col min="11" max="11" width="12.21875" bestFit="1" customWidth="1"/>
    <col min="12" max="12" width="11.5546875" bestFit="1" customWidth="1"/>
    <col min="13" max="13" width="11.109375" customWidth="1"/>
    <col min="14" max="14" width="10.88671875" customWidth="1"/>
    <col min="15" max="15" width="12.5546875" customWidth="1"/>
    <col min="16" max="16" width="13.6640625" customWidth="1"/>
    <col min="18" max="18" width="11.5546875" customWidth="1"/>
  </cols>
  <sheetData>
    <row r="1" spans="1:16" x14ac:dyDescent="0.3">
      <c r="A1" t="s">
        <v>75</v>
      </c>
      <c r="B1" t="s">
        <v>113</v>
      </c>
      <c r="C1" t="s">
        <v>70</v>
      </c>
      <c r="D1" t="s">
        <v>69</v>
      </c>
      <c r="E1" t="s">
        <v>36</v>
      </c>
      <c r="F1" t="s">
        <v>114</v>
      </c>
      <c r="G1" t="s">
        <v>115</v>
      </c>
    </row>
    <row r="2" spans="1:16" x14ac:dyDescent="0.3">
      <c r="A2" s="91">
        <v>45947</v>
      </c>
      <c r="B2" s="86" t="s">
        <v>187</v>
      </c>
      <c r="C2" s="11"/>
      <c r="D2" s="92">
        <f>[1]Cashbook!$N$5</f>
        <v>-789504</v>
      </c>
      <c r="E2" s="86"/>
      <c r="F2" s="93" t="s">
        <v>111</v>
      </c>
    </row>
    <row r="3" spans="1:16" x14ac:dyDescent="0.3">
      <c r="A3" s="91">
        <v>45947</v>
      </c>
      <c r="B3" s="86" t="s">
        <v>187</v>
      </c>
      <c r="C3" s="11"/>
      <c r="D3" s="92">
        <f>[1]Cashbook!$N$6</f>
        <v>-442715</v>
      </c>
      <c r="E3" s="86"/>
      <c r="F3" s="93" t="s">
        <v>112</v>
      </c>
      <c r="J3" s="52" t="s">
        <v>45</v>
      </c>
      <c r="K3" s="40" t="s">
        <v>46</v>
      </c>
      <c r="M3" s="52" t="s">
        <v>45</v>
      </c>
      <c r="N3" s="55" t="s">
        <v>107</v>
      </c>
      <c r="O3" s="94" t="s">
        <v>108</v>
      </c>
      <c r="P3" t="s">
        <v>109</v>
      </c>
    </row>
    <row r="4" spans="1:16" x14ac:dyDescent="0.3">
      <c r="A4" s="115">
        <v>45948</v>
      </c>
      <c r="B4" t="s">
        <v>21</v>
      </c>
      <c r="C4" s="11"/>
      <c r="D4" s="11">
        <v>150000</v>
      </c>
      <c r="F4" s="116" t="s">
        <v>111</v>
      </c>
      <c r="J4" s="50" t="s">
        <v>70</v>
      </c>
      <c r="K4" s="51">
        <f>Table14[[#Totals],[Debit]]</f>
        <v>8258319</v>
      </c>
      <c r="M4" s="50" t="s">
        <v>110</v>
      </c>
      <c r="N4" s="56">
        <f>SUMIFS(Table14[Withdrawal],Table14[Party],"Cash",Table14[Mode],"Transfer")</f>
        <v>0</v>
      </c>
    </row>
    <row r="5" spans="1:16" x14ac:dyDescent="0.3">
      <c r="A5" s="115">
        <v>45948</v>
      </c>
      <c r="B5" t="s">
        <v>97</v>
      </c>
      <c r="C5" s="11">
        <v>76100</v>
      </c>
      <c r="D5" s="11"/>
      <c r="E5" t="s">
        <v>189</v>
      </c>
      <c r="F5" s="116" t="s">
        <v>111</v>
      </c>
      <c r="J5" s="50" t="s">
        <v>69</v>
      </c>
      <c r="K5" s="51">
        <f>Table14[[#Totals],[Credit]]</f>
        <v>8389930</v>
      </c>
      <c r="M5" s="50" t="s">
        <v>111</v>
      </c>
      <c r="N5" s="51">
        <f>(SUMIFS(Table14[Credit],Table14[Mode],"Bank")-SUMIFS(Table14[Debit],Table14[Mode],"Bank")-SUMIFS(Table14[Withdrawal],Table14[Mode],"Transfer"))</f>
        <v>593417</v>
      </c>
      <c r="O5">
        <v>360000</v>
      </c>
    </row>
    <row r="6" spans="1:16" x14ac:dyDescent="0.3">
      <c r="A6" s="115">
        <v>45948</v>
      </c>
      <c r="B6" t="s">
        <v>97</v>
      </c>
      <c r="C6" s="11">
        <v>44000</v>
      </c>
      <c r="D6" s="11"/>
      <c r="E6" t="s">
        <v>190</v>
      </c>
      <c r="F6" s="116" t="s">
        <v>111</v>
      </c>
      <c r="J6" s="57" t="s">
        <v>43</v>
      </c>
      <c r="K6" s="58">
        <f>(K5-K4)</f>
        <v>131611</v>
      </c>
      <c r="M6" s="50" t="s">
        <v>112</v>
      </c>
      <c r="N6" s="51">
        <f>((SUMIFS(Table14[Credit],Table14[Mode],"Cash")-SUMIFS(Table14[Debit],Table14[Mode],"Cash"))+SUMIFS(Table14[Withdrawal],Table14[Party],"Cash",Table14[Mode],"Transfer"))</f>
        <v>-461806</v>
      </c>
      <c r="O6">
        <v>50000</v>
      </c>
    </row>
    <row r="7" spans="1:16" x14ac:dyDescent="0.3">
      <c r="A7" s="115">
        <v>45948</v>
      </c>
      <c r="B7" t="s">
        <v>191</v>
      </c>
      <c r="C7" s="11">
        <v>10000</v>
      </c>
      <c r="D7" s="11"/>
      <c r="E7" t="s">
        <v>192</v>
      </c>
      <c r="F7" s="116" t="s">
        <v>111</v>
      </c>
      <c r="M7" s="53" t="s">
        <v>5</v>
      </c>
      <c r="N7" s="54">
        <f>SUM(N5:N6)</f>
        <v>131611</v>
      </c>
      <c r="O7" s="95">
        <f>SUM(O5,O6)</f>
        <v>410000</v>
      </c>
      <c r="P7" s="14">
        <f>Table18[[#Totals],[amount]]-Table18[[#Totals],[Actual]]</f>
        <v>-278389</v>
      </c>
    </row>
    <row r="8" spans="1:16" x14ac:dyDescent="0.3">
      <c r="A8" s="115">
        <v>45948</v>
      </c>
      <c r="B8" t="s">
        <v>54</v>
      </c>
      <c r="C8" s="11">
        <v>5330</v>
      </c>
      <c r="D8" s="11"/>
      <c r="E8" t="s">
        <v>193</v>
      </c>
      <c r="F8" s="116" t="s">
        <v>111</v>
      </c>
    </row>
    <row r="9" spans="1:16" x14ac:dyDescent="0.3">
      <c r="A9" s="115">
        <v>45948</v>
      </c>
      <c r="B9" t="s">
        <v>21</v>
      </c>
      <c r="C9" s="11"/>
      <c r="D9" s="11">
        <v>5330</v>
      </c>
      <c r="E9" t="s">
        <v>193</v>
      </c>
      <c r="F9" s="116" t="s">
        <v>111</v>
      </c>
    </row>
    <row r="10" spans="1:16" x14ac:dyDescent="0.3">
      <c r="A10" s="115">
        <v>45948</v>
      </c>
      <c r="B10" t="s">
        <v>194</v>
      </c>
      <c r="C10" s="11"/>
      <c r="D10" s="11">
        <v>4000</v>
      </c>
      <c r="F10" s="116" t="s">
        <v>111</v>
      </c>
    </row>
    <row r="11" spans="1:16" x14ac:dyDescent="0.3">
      <c r="A11" s="115">
        <v>45948</v>
      </c>
      <c r="B11" t="s">
        <v>174</v>
      </c>
      <c r="C11" s="117">
        <v>207475</v>
      </c>
      <c r="D11" s="117"/>
      <c r="E11" t="s">
        <v>195</v>
      </c>
      <c r="F11" s="116" t="s">
        <v>111</v>
      </c>
    </row>
    <row r="12" spans="1:16" x14ac:dyDescent="0.3">
      <c r="A12" s="115">
        <v>45948</v>
      </c>
      <c r="B12" t="s">
        <v>50</v>
      </c>
      <c r="C12" s="11">
        <v>420</v>
      </c>
      <c r="D12" s="11"/>
      <c r="F12" s="116" t="s">
        <v>112</v>
      </c>
    </row>
    <row r="13" spans="1:16" x14ac:dyDescent="0.3">
      <c r="A13" s="115">
        <v>45948</v>
      </c>
      <c r="B13" t="s">
        <v>21</v>
      </c>
      <c r="C13" s="11"/>
      <c r="D13" s="11">
        <v>200000</v>
      </c>
      <c r="F13" s="116" t="s">
        <v>111</v>
      </c>
    </row>
    <row r="14" spans="1:16" x14ac:dyDescent="0.3">
      <c r="A14" s="115">
        <v>45948</v>
      </c>
      <c r="B14" t="s">
        <v>52</v>
      </c>
      <c r="C14" s="11">
        <v>3750</v>
      </c>
      <c r="D14" s="11"/>
      <c r="E14" t="s">
        <v>196</v>
      </c>
      <c r="F14" s="116" t="s">
        <v>112</v>
      </c>
    </row>
    <row r="15" spans="1:16" x14ac:dyDescent="0.3">
      <c r="A15" s="115">
        <v>45948</v>
      </c>
      <c r="B15" t="s">
        <v>97</v>
      </c>
      <c r="C15" s="11">
        <v>17000</v>
      </c>
      <c r="D15" s="11"/>
      <c r="E15" t="s">
        <v>197</v>
      </c>
      <c r="F15" s="116" t="s">
        <v>112</v>
      </c>
    </row>
    <row r="16" spans="1:16" x14ac:dyDescent="0.3">
      <c r="A16" s="115">
        <v>45948</v>
      </c>
      <c r="B16" t="s">
        <v>174</v>
      </c>
      <c r="C16" s="117">
        <v>5000</v>
      </c>
      <c r="D16" s="117"/>
      <c r="E16" t="s">
        <v>197</v>
      </c>
      <c r="F16" s="116" t="s">
        <v>112</v>
      </c>
    </row>
    <row r="17" spans="1:6" x14ac:dyDescent="0.3">
      <c r="A17" s="115">
        <v>45948</v>
      </c>
      <c r="B17" t="s">
        <v>182</v>
      </c>
      <c r="C17" s="11">
        <v>1000</v>
      </c>
      <c r="D17" s="11"/>
      <c r="E17" t="s">
        <v>197</v>
      </c>
      <c r="F17" s="116" t="s">
        <v>112</v>
      </c>
    </row>
    <row r="18" spans="1:6" x14ac:dyDescent="0.3">
      <c r="A18" s="115">
        <v>45948</v>
      </c>
      <c r="B18" t="s">
        <v>50</v>
      </c>
      <c r="C18" s="11">
        <v>1000</v>
      </c>
      <c r="D18" s="11"/>
      <c r="E18" t="s">
        <v>197</v>
      </c>
      <c r="F18" s="116" t="s">
        <v>112</v>
      </c>
    </row>
    <row r="19" spans="1:6" x14ac:dyDescent="0.3">
      <c r="A19" s="115">
        <v>45948</v>
      </c>
      <c r="B19" t="s">
        <v>209</v>
      </c>
      <c r="C19" s="11"/>
      <c r="D19" s="11">
        <v>3000</v>
      </c>
      <c r="E19" t="s">
        <v>210</v>
      </c>
      <c r="F19" s="116" t="s">
        <v>112</v>
      </c>
    </row>
    <row r="20" spans="1:6" x14ac:dyDescent="0.3">
      <c r="A20" s="115">
        <v>45948</v>
      </c>
      <c r="B20" t="s">
        <v>198</v>
      </c>
      <c r="C20" s="11"/>
      <c r="D20" s="11">
        <v>415571</v>
      </c>
      <c r="E20" t="s">
        <v>199</v>
      </c>
      <c r="F20" s="116" t="s">
        <v>111</v>
      </c>
    </row>
    <row r="21" spans="1:6" x14ac:dyDescent="0.3">
      <c r="A21" s="115">
        <v>45948</v>
      </c>
      <c r="B21" t="s">
        <v>97</v>
      </c>
      <c r="C21" s="11">
        <v>300000</v>
      </c>
      <c r="D21" s="11"/>
      <c r="E21" t="s">
        <v>200</v>
      </c>
      <c r="F21" s="116" t="s">
        <v>111</v>
      </c>
    </row>
    <row r="22" spans="1:6" x14ac:dyDescent="0.3">
      <c r="A22" s="115">
        <v>45948</v>
      </c>
      <c r="B22" t="s">
        <v>201</v>
      </c>
      <c r="C22" s="11"/>
      <c r="D22" s="11">
        <v>590170</v>
      </c>
      <c r="F22" s="116" t="s">
        <v>111</v>
      </c>
    </row>
    <row r="23" spans="1:6" x14ac:dyDescent="0.3">
      <c r="A23" s="115">
        <v>45948</v>
      </c>
      <c r="B23" t="s">
        <v>118</v>
      </c>
      <c r="C23" s="11">
        <v>300000</v>
      </c>
      <c r="D23" s="11"/>
      <c r="E23" t="s">
        <v>21</v>
      </c>
      <c r="F23" s="116" t="s">
        <v>111</v>
      </c>
    </row>
    <row r="24" spans="1:6" x14ac:dyDescent="0.3">
      <c r="A24" s="115">
        <v>45948</v>
      </c>
      <c r="B24" t="s">
        <v>21</v>
      </c>
      <c r="C24" s="11"/>
      <c r="D24" s="11">
        <v>1370</v>
      </c>
      <c r="E24" t="s">
        <v>202</v>
      </c>
      <c r="F24" s="116" t="s">
        <v>111</v>
      </c>
    </row>
    <row r="25" spans="1:6" x14ac:dyDescent="0.3">
      <c r="A25" s="43">
        <v>45948</v>
      </c>
      <c r="B25" t="s">
        <v>55</v>
      </c>
      <c r="C25" s="117">
        <v>1370</v>
      </c>
      <c r="D25" s="117"/>
      <c r="E25" t="s">
        <v>202</v>
      </c>
      <c r="F25" s="116" t="s">
        <v>111</v>
      </c>
    </row>
    <row r="26" spans="1:6" x14ac:dyDescent="0.3">
      <c r="A26" s="115">
        <v>45948</v>
      </c>
      <c r="B26" t="s">
        <v>21</v>
      </c>
      <c r="C26" s="11"/>
      <c r="D26" s="11">
        <v>15000</v>
      </c>
      <c r="E26" t="s">
        <v>203</v>
      </c>
      <c r="F26" s="116" t="s">
        <v>111</v>
      </c>
    </row>
    <row r="27" spans="1:6" x14ac:dyDescent="0.3">
      <c r="A27" s="43">
        <v>45948</v>
      </c>
      <c r="B27" t="s">
        <v>55</v>
      </c>
      <c r="C27" s="117">
        <v>10000</v>
      </c>
      <c r="D27" s="117"/>
      <c r="E27" t="s">
        <v>204</v>
      </c>
      <c r="F27" s="116" t="s">
        <v>111</v>
      </c>
    </row>
    <row r="28" spans="1:6" x14ac:dyDescent="0.3">
      <c r="A28" s="43">
        <v>45948</v>
      </c>
      <c r="B28" t="s">
        <v>21</v>
      </c>
      <c r="C28" s="117"/>
      <c r="D28" s="117">
        <v>10000</v>
      </c>
      <c r="E28" t="s">
        <v>205</v>
      </c>
      <c r="F28" s="116" t="s">
        <v>111</v>
      </c>
    </row>
    <row r="29" spans="1:6" x14ac:dyDescent="0.3">
      <c r="A29" s="43">
        <v>45948</v>
      </c>
      <c r="B29" t="s">
        <v>55</v>
      </c>
      <c r="C29" s="117">
        <v>10000</v>
      </c>
      <c r="D29" s="117"/>
      <c r="E29" t="s">
        <v>205</v>
      </c>
      <c r="F29" s="116" t="s">
        <v>111</v>
      </c>
    </row>
    <row r="30" spans="1:6" x14ac:dyDescent="0.3">
      <c r="A30" s="115">
        <v>45948</v>
      </c>
      <c r="B30" t="s">
        <v>206</v>
      </c>
      <c r="C30" s="11">
        <v>162250</v>
      </c>
      <c r="D30" s="11"/>
      <c r="F30" s="116" t="s">
        <v>111</v>
      </c>
    </row>
    <row r="31" spans="1:6" x14ac:dyDescent="0.3">
      <c r="A31" s="43">
        <v>45948</v>
      </c>
      <c r="B31" t="s">
        <v>21</v>
      </c>
      <c r="C31" s="117"/>
      <c r="D31" s="117">
        <v>162250</v>
      </c>
      <c r="E31" t="s">
        <v>64</v>
      </c>
      <c r="F31" s="116" t="s">
        <v>111</v>
      </c>
    </row>
    <row r="32" spans="1:6" x14ac:dyDescent="0.3">
      <c r="A32" s="115">
        <v>45948</v>
      </c>
      <c r="B32" t="s">
        <v>21</v>
      </c>
      <c r="C32" s="11"/>
      <c r="D32" s="11">
        <v>23500</v>
      </c>
      <c r="E32" t="s">
        <v>211</v>
      </c>
      <c r="F32" s="116" t="s">
        <v>111</v>
      </c>
    </row>
    <row r="33" spans="1:6" x14ac:dyDescent="0.3">
      <c r="A33" s="43">
        <v>45948</v>
      </c>
      <c r="B33" t="s">
        <v>55</v>
      </c>
      <c r="C33" s="117">
        <v>23500</v>
      </c>
      <c r="D33" s="117"/>
      <c r="F33" s="116" t="s">
        <v>111</v>
      </c>
    </row>
    <row r="34" spans="1:6" x14ac:dyDescent="0.3">
      <c r="A34" s="115">
        <v>45948</v>
      </c>
      <c r="B34" t="s">
        <v>194</v>
      </c>
      <c r="C34" s="11">
        <v>1600</v>
      </c>
      <c r="D34" s="11"/>
      <c r="F34" s="116" t="s">
        <v>112</v>
      </c>
    </row>
    <row r="35" spans="1:6" x14ac:dyDescent="0.3">
      <c r="A35" s="115">
        <v>45948</v>
      </c>
      <c r="B35" t="s">
        <v>212</v>
      </c>
      <c r="C35" s="11">
        <v>100000</v>
      </c>
      <c r="D35" s="11"/>
      <c r="E35" t="s">
        <v>213</v>
      </c>
      <c r="F35" s="116" t="s">
        <v>111</v>
      </c>
    </row>
    <row r="36" spans="1:6" x14ac:dyDescent="0.3">
      <c r="A36" s="43">
        <v>45950</v>
      </c>
      <c r="B36" t="s">
        <v>214</v>
      </c>
      <c r="C36" s="117"/>
      <c r="D36" s="117">
        <v>54825</v>
      </c>
      <c r="E36" t="s">
        <v>215</v>
      </c>
      <c r="F36" s="116" t="s">
        <v>112</v>
      </c>
    </row>
    <row r="37" spans="1:6" x14ac:dyDescent="0.3">
      <c r="A37" s="43">
        <v>45950</v>
      </c>
      <c r="B37" t="s">
        <v>214</v>
      </c>
      <c r="C37" s="117">
        <f>33695+1500</f>
        <v>35195</v>
      </c>
      <c r="D37" s="117"/>
      <c r="E37" t="s">
        <v>216</v>
      </c>
      <c r="F37" s="116" t="s">
        <v>112</v>
      </c>
    </row>
    <row r="38" spans="1:6" x14ac:dyDescent="0.3">
      <c r="A38" s="43">
        <v>45950</v>
      </c>
      <c r="B38" t="s">
        <v>54</v>
      </c>
      <c r="C38" s="11">
        <v>1000</v>
      </c>
      <c r="D38" s="11"/>
      <c r="E38" t="s">
        <v>217</v>
      </c>
      <c r="F38" s="116" t="s">
        <v>111</v>
      </c>
    </row>
    <row r="39" spans="1:6" x14ac:dyDescent="0.3">
      <c r="A39" s="43">
        <v>45950</v>
      </c>
      <c r="B39" t="s">
        <v>97</v>
      </c>
      <c r="C39" s="11">
        <v>48800</v>
      </c>
      <c r="D39" s="11"/>
      <c r="E39" t="s">
        <v>218</v>
      </c>
      <c r="F39" s="116" t="s">
        <v>111</v>
      </c>
    </row>
    <row r="40" spans="1:6" x14ac:dyDescent="0.3">
      <c r="A40" s="43">
        <v>45950</v>
      </c>
      <c r="B40" t="s">
        <v>97</v>
      </c>
      <c r="C40" s="11">
        <v>51500</v>
      </c>
      <c r="D40" s="11"/>
      <c r="E40" t="s">
        <v>219</v>
      </c>
      <c r="F40" s="116" t="s">
        <v>111</v>
      </c>
    </row>
    <row r="41" spans="1:6" x14ac:dyDescent="0.3">
      <c r="A41" s="43">
        <v>45950</v>
      </c>
      <c r="B41" t="s">
        <v>212</v>
      </c>
      <c r="C41" s="11">
        <v>2600</v>
      </c>
      <c r="D41" s="11"/>
      <c r="E41" t="s">
        <v>220</v>
      </c>
      <c r="F41" s="116" t="s">
        <v>111</v>
      </c>
    </row>
    <row r="42" spans="1:6" x14ac:dyDescent="0.3">
      <c r="A42" s="43">
        <v>45950</v>
      </c>
      <c r="B42" t="s">
        <v>212</v>
      </c>
      <c r="C42" s="11">
        <v>6600</v>
      </c>
      <c r="D42" s="11"/>
      <c r="E42" t="s">
        <v>220</v>
      </c>
      <c r="F42" s="116" t="s">
        <v>111</v>
      </c>
    </row>
    <row r="43" spans="1:6" x14ac:dyDescent="0.3">
      <c r="A43" s="43">
        <v>45950</v>
      </c>
      <c r="B43" t="s">
        <v>52</v>
      </c>
      <c r="C43" s="11">
        <v>3500</v>
      </c>
      <c r="D43" s="11"/>
      <c r="E43" t="s">
        <v>221</v>
      </c>
      <c r="F43" s="116" t="s">
        <v>112</v>
      </c>
    </row>
    <row r="44" spans="1:6" x14ac:dyDescent="0.3">
      <c r="A44" s="43">
        <v>45950</v>
      </c>
      <c r="B44" t="s">
        <v>222</v>
      </c>
      <c r="C44" s="11">
        <v>2000</v>
      </c>
      <c r="D44" s="11"/>
      <c r="E44" t="s">
        <v>223</v>
      </c>
      <c r="F44" s="116" t="s">
        <v>112</v>
      </c>
    </row>
    <row r="45" spans="1:6" x14ac:dyDescent="0.3">
      <c r="A45" s="43">
        <v>45950</v>
      </c>
      <c r="B45" t="s">
        <v>212</v>
      </c>
      <c r="C45" s="11">
        <v>2700</v>
      </c>
      <c r="D45" s="11"/>
      <c r="E45" t="s">
        <v>224</v>
      </c>
      <c r="F45" s="116" t="s">
        <v>112</v>
      </c>
    </row>
    <row r="46" spans="1:6" x14ac:dyDescent="0.3">
      <c r="A46" s="43">
        <v>45950</v>
      </c>
      <c r="B46" t="s">
        <v>52</v>
      </c>
      <c r="C46" s="11">
        <v>6600</v>
      </c>
      <c r="D46" s="11"/>
      <c r="E46" t="s">
        <v>225</v>
      </c>
      <c r="F46" s="116" t="s">
        <v>111</v>
      </c>
    </row>
    <row r="47" spans="1:6" x14ac:dyDescent="0.3">
      <c r="A47" s="43">
        <v>45950</v>
      </c>
      <c r="B47" t="s">
        <v>212</v>
      </c>
      <c r="C47" s="11">
        <v>13500</v>
      </c>
      <c r="D47" s="11"/>
      <c r="E47" t="s">
        <v>226</v>
      </c>
      <c r="F47" s="116" t="s">
        <v>111</v>
      </c>
    </row>
    <row r="48" spans="1:6" x14ac:dyDescent="0.3">
      <c r="A48" s="43">
        <v>45950</v>
      </c>
      <c r="B48" t="s">
        <v>50</v>
      </c>
      <c r="C48" s="11">
        <f>4500+720</f>
        <v>5220</v>
      </c>
      <c r="D48" s="11"/>
      <c r="E48" t="s">
        <v>230</v>
      </c>
      <c r="F48" s="116" t="s">
        <v>111</v>
      </c>
    </row>
    <row r="49" spans="1:6" x14ac:dyDescent="0.3">
      <c r="A49" s="43">
        <v>45951</v>
      </c>
      <c r="B49" t="s">
        <v>54</v>
      </c>
      <c r="C49" s="11">
        <v>5311</v>
      </c>
      <c r="D49" s="11"/>
      <c r="E49" t="s">
        <v>231</v>
      </c>
      <c r="F49" s="116" t="s">
        <v>111</v>
      </c>
    </row>
    <row r="50" spans="1:6" x14ac:dyDescent="0.3">
      <c r="A50" s="43">
        <v>45951</v>
      </c>
      <c r="B50" t="s">
        <v>55</v>
      </c>
      <c r="C50" s="11">
        <v>10000</v>
      </c>
      <c r="D50" s="11"/>
      <c r="E50" t="s">
        <v>232</v>
      </c>
      <c r="F50" s="116" t="s">
        <v>111</v>
      </c>
    </row>
    <row r="51" spans="1:6" x14ac:dyDescent="0.3">
      <c r="A51" s="43">
        <v>45951</v>
      </c>
      <c r="B51" t="s">
        <v>55</v>
      </c>
      <c r="C51" s="11">
        <v>700</v>
      </c>
      <c r="D51" s="11"/>
      <c r="E51" t="s">
        <v>233</v>
      </c>
      <c r="F51" s="116" t="s">
        <v>111</v>
      </c>
    </row>
    <row r="52" spans="1:6" x14ac:dyDescent="0.3">
      <c r="A52" s="43">
        <v>45951</v>
      </c>
      <c r="B52" t="s">
        <v>55</v>
      </c>
      <c r="C52" s="11">
        <v>4100</v>
      </c>
      <c r="D52" s="11"/>
      <c r="E52" t="s">
        <v>234</v>
      </c>
      <c r="F52" s="116" t="s">
        <v>111</v>
      </c>
    </row>
    <row r="53" spans="1:6" x14ac:dyDescent="0.3">
      <c r="A53" s="43">
        <v>45951</v>
      </c>
      <c r="B53" t="s">
        <v>50</v>
      </c>
      <c r="C53" s="11">
        <v>450</v>
      </c>
      <c r="D53" s="11"/>
      <c r="E53" t="s">
        <v>235</v>
      </c>
      <c r="F53" s="116" t="s">
        <v>111</v>
      </c>
    </row>
    <row r="54" spans="1:6" x14ac:dyDescent="0.3">
      <c r="A54" s="43">
        <v>45951</v>
      </c>
      <c r="B54" t="s">
        <v>97</v>
      </c>
      <c r="C54" s="11">
        <v>303200</v>
      </c>
      <c r="D54" s="11"/>
      <c r="E54" t="s">
        <v>236</v>
      </c>
      <c r="F54" s="116" t="s">
        <v>111</v>
      </c>
    </row>
    <row r="55" spans="1:6" x14ac:dyDescent="0.3">
      <c r="A55" s="43">
        <v>45951</v>
      </c>
      <c r="B55" t="s">
        <v>21</v>
      </c>
      <c r="C55" s="11"/>
      <c r="D55" s="11">
        <v>180000</v>
      </c>
      <c r="E55" t="s">
        <v>237</v>
      </c>
      <c r="F55" s="116" t="s">
        <v>111</v>
      </c>
    </row>
    <row r="56" spans="1:6" x14ac:dyDescent="0.3">
      <c r="A56" s="43">
        <v>45951</v>
      </c>
      <c r="B56" t="s">
        <v>21</v>
      </c>
      <c r="C56" s="11"/>
      <c r="D56" s="11">
        <v>12000</v>
      </c>
      <c r="E56" t="s">
        <v>238</v>
      </c>
      <c r="F56" s="116" t="s">
        <v>111</v>
      </c>
    </row>
    <row r="57" spans="1:6" x14ac:dyDescent="0.3">
      <c r="A57" s="43">
        <v>45951</v>
      </c>
      <c r="B57" t="s">
        <v>64</v>
      </c>
      <c r="C57" s="11">
        <v>12000</v>
      </c>
      <c r="D57" s="11"/>
      <c r="E57" t="s">
        <v>238</v>
      </c>
      <c r="F57" s="116" t="s">
        <v>111</v>
      </c>
    </row>
    <row r="58" spans="1:6" x14ac:dyDescent="0.3">
      <c r="A58" s="43">
        <v>45951</v>
      </c>
      <c r="B58" t="s">
        <v>97</v>
      </c>
      <c r="C58" s="11">
        <v>100000</v>
      </c>
      <c r="D58" s="11"/>
      <c r="E58" t="s">
        <v>243</v>
      </c>
      <c r="F58" s="116" t="s">
        <v>111</v>
      </c>
    </row>
    <row r="59" spans="1:6" x14ac:dyDescent="0.3">
      <c r="A59" s="43">
        <v>45951</v>
      </c>
      <c r="B59" t="s">
        <v>21</v>
      </c>
      <c r="C59" s="11"/>
      <c r="D59" s="11">
        <v>100000</v>
      </c>
      <c r="F59" s="116" t="s">
        <v>111</v>
      </c>
    </row>
    <row r="60" spans="1:6" x14ac:dyDescent="0.3">
      <c r="A60" s="43">
        <v>45951</v>
      </c>
      <c r="B60" t="s">
        <v>201</v>
      </c>
      <c r="C60" s="11"/>
      <c r="D60" s="11">
        <v>62000</v>
      </c>
      <c r="E60" t="s">
        <v>239</v>
      </c>
      <c r="F60" s="116" t="s">
        <v>112</v>
      </c>
    </row>
    <row r="61" spans="1:6" x14ac:dyDescent="0.3">
      <c r="A61" s="43">
        <v>45951</v>
      </c>
      <c r="B61" t="s">
        <v>212</v>
      </c>
      <c r="C61" s="11">
        <v>6000</v>
      </c>
      <c r="D61" s="11"/>
      <c r="E61" t="s">
        <v>240</v>
      </c>
      <c r="F61" s="116" t="s">
        <v>112</v>
      </c>
    </row>
    <row r="62" spans="1:6" x14ac:dyDescent="0.3">
      <c r="A62" s="43">
        <v>45951</v>
      </c>
      <c r="B62" t="s">
        <v>52</v>
      </c>
      <c r="C62" s="11">
        <v>13900</v>
      </c>
      <c r="D62" s="11"/>
      <c r="E62" t="s">
        <v>241</v>
      </c>
      <c r="F62" s="116" t="s">
        <v>111</v>
      </c>
    </row>
    <row r="63" spans="1:6" x14ac:dyDescent="0.3">
      <c r="A63" s="43">
        <v>45951</v>
      </c>
      <c r="B63" t="s">
        <v>55</v>
      </c>
      <c r="C63" s="11">
        <v>6000</v>
      </c>
      <c r="D63" s="11"/>
      <c r="E63" t="s">
        <v>242</v>
      </c>
      <c r="F63" s="116" t="s">
        <v>111</v>
      </c>
    </row>
    <row r="64" spans="1:6" x14ac:dyDescent="0.3">
      <c r="A64" s="43">
        <v>45951</v>
      </c>
      <c r="B64" t="s">
        <v>21</v>
      </c>
      <c r="C64" s="117"/>
      <c r="D64" s="117">
        <v>6000</v>
      </c>
      <c r="E64" t="s">
        <v>242</v>
      </c>
      <c r="F64" s="116" t="s">
        <v>111</v>
      </c>
    </row>
    <row r="65" spans="1:6" x14ac:dyDescent="0.3">
      <c r="A65" s="43">
        <v>45951</v>
      </c>
      <c r="B65" t="s">
        <v>244</v>
      </c>
      <c r="C65" s="11">
        <v>2503038</v>
      </c>
      <c r="D65" s="11"/>
      <c r="E65" t="s">
        <v>245</v>
      </c>
      <c r="F65" s="116" t="s">
        <v>111</v>
      </c>
    </row>
    <row r="66" spans="1:6" x14ac:dyDescent="0.3">
      <c r="A66" s="43">
        <v>45951</v>
      </c>
      <c r="B66" t="s">
        <v>21</v>
      </c>
      <c r="C66" s="11"/>
      <c r="D66" s="11">
        <v>2503038</v>
      </c>
      <c r="E66" t="s">
        <v>245</v>
      </c>
      <c r="F66" s="116" t="s">
        <v>111</v>
      </c>
    </row>
    <row r="67" spans="1:6" x14ac:dyDescent="0.3">
      <c r="A67" s="43">
        <v>45951</v>
      </c>
      <c r="B67" t="s">
        <v>212</v>
      </c>
      <c r="C67" s="11">
        <v>1500</v>
      </c>
      <c r="D67" s="11"/>
      <c r="E67" t="s">
        <v>246</v>
      </c>
      <c r="F67" s="116" t="s">
        <v>111</v>
      </c>
    </row>
    <row r="68" spans="1:6" x14ac:dyDescent="0.3">
      <c r="A68" s="43">
        <v>45950</v>
      </c>
      <c r="B68" t="s">
        <v>194</v>
      </c>
      <c r="C68" s="11">
        <v>1100</v>
      </c>
      <c r="D68" s="11"/>
      <c r="E68" t="s">
        <v>247</v>
      </c>
      <c r="F68" s="116" t="s">
        <v>111</v>
      </c>
    </row>
    <row r="69" spans="1:6" x14ac:dyDescent="0.3">
      <c r="A69" s="43">
        <v>45951</v>
      </c>
      <c r="B69" t="s">
        <v>54</v>
      </c>
      <c r="C69" s="11">
        <v>1000</v>
      </c>
      <c r="D69" s="11"/>
      <c r="E69" t="s">
        <v>248</v>
      </c>
      <c r="F69" s="116" t="s">
        <v>111</v>
      </c>
    </row>
    <row r="70" spans="1:6" x14ac:dyDescent="0.3">
      <c r="A70" s="43">
        <v>45952</v>
      </c>
      <c r="B70" t="s">
        <v>9</v>
      </c>
      <c r="C70" s="11"/>
      <c r="D70" s="11">
        <v>200000</v>
      </c>
      <c r="E70" t="s">
        <v>250</v>
      </c>
      <c r="F70" s="116" t="s">
        <v>111</v>
      </c>
    </row>
    <row r="71" spans="1:6" x14ac:dyDescent="0.3">
      <c r="A71" s="43">
        <v>45952</v>
      </c>
      <c r="B71" t="s">
        <v>50</v>
      </c>
      <c r="C71" s="11">
        <v>1000</v>
      </c>
      <c r="D71" s="11"/>
      <c r="E71" t="s">
        <v>251</v>
      </c>
      <c r="F71" s="116" t="s">
        <v>111</v>
      </c>
    </row>
    <row r="72" spans="1:6" x14ac:dyDescent="0.3">
      <c r="A72" s="43">
        <v>45952</v>
      </c>
      <c r="B72" t="s">
        <v>212</v>
      </c>
      <c r="C72" s="11">
        <v>5900</v>
      </c>
      <c r="D72" s="11"/>
      <c r="E72" t="s">
        <v>252</v>
      </c>
      <c r="F72" s="116" t="s">
        <v>111</v>
      </c>
    </row>
    <row r="73" spans="1:6" x14ac:dyDescent="0.3">
      <c r="A73" s="43">
        <v>45952</v>
      </c>
      <c r="B73" t="s">
        <v>191</v>
      </c>
      <c r="C73" s="11">
        <v>1000</v>
      </c>
      <c r="D73" s="11"/>
      <c r="E73" t="s">
        <v>253</v>
      </c>
      <c r="F73" s="116" t="s">
        <v>111</v>
      </c>
    </row>
    <row r="74" spans="1:6" x14ac:dyDescent="0.3">
      <c r="A74" s="43">
        <v>45952</v>
      </c>
      <c r="B74" t="s">
        <v>55</v>
      </c>
      <c r="C74" s="11">
        <v>25000</v>
      </c>
      <c r="D74" s="11"/>
      <c r="E74" t="s">
        <v>232</v>
      </c>
      <c r="F74" s="116" t="s">
        <v>111</v>
      </c>
    </row>
    <row r="75" spans="1:6" x14ac:dyDescent="0.3">
      <c r="A75" s="43">
        <v>45952</v>
      </c>
      <c r="B75" t="s">
        <v>52</v>
      </c>
      <c r="C75" s="11">
        <v>3000</v>
      </c>
      <c r="D75" s="11"/>
      <c r="E75" t="s">
        <v>254</v>
      </c>
      <c r="F75" s="116" t="s">
        <v>112</v>
      </c>
    </row>
    <row r="76" spans="1:6" x14ac:dyDescent="0.3">
      <c r="A76" s="43">
        <v>45952</v>
      </c>
      <c r="B76" t="s">
        <v>50</v>
      </c>
      <c r="C76" s="11">
        <v>800</v>
      </c>
      <c r="D76" s="11"/>
      <c r="E76" t="s">
        <v>255</v>
      </c>
      <c r="F76" s="116" t="s">
        <v>111</v>
      </c>
    </row>
    <row r="77" spans="1:6" x14ac:dyDescent="0.3">
      <c r="A77" s="43">
        <v>45952</v>
      </c>
      <c r="B77" t="s">
        <v>9</v>
      </c>
      <c r="C77" s="117"/>
      <c r="D77" s="117">
        <v>100000</v>
      </c>
      <c r="E77" t="s">
        <v>250</v>
      </c>
      <c r="F77" s="116" t="s">
        <v>111</v>
      </c>
    </row>
    <row r="78" spans="1:6" x14ac:dyDescent="0.3">
      <c r="A78" s="43">
        <v>45952</v>
      </c>
      <c r="B78" t="s">
        <v>9</v>
      </c>
      <c r="C78" s="11"/>
      <c r="D78" s="11">
        <v>150000</v>
      </c>
      <c r="E78" t="s">
        <v>250</v>
      </c>
      <c r="F78" s="116" t="s">
        <v>111</v>
      </c>
    </row>
    <row r="79" spans="1:6" x14ac:dyDescent="0.3">
      <c r="A79" s="43">
        <v>45952</v>
      </c>
      <c r="B79" t="s">
        <v>97</v>
      </c>
      <c r="C79" s="11">
        <v>150000</v>
      </c>
      <c r="D79" s="11"/>
      <c r="E79" t="s">
        <v>250</v>
      </c>
      <c r="F79" s="116" t="s">
        <v>111</v>
      </c>
    </row>
    <row r="80" spans="1:6" x14ac:dyDescent="0.3">
      <c r="A80" s="43">
        <v>45952</v>
      </c>
      <c r="B80" t="s">
        <v>174</v>
      </c>
      <c r="C80" s="11">
        <v>244675</v>
      </c>
      <c r="D80" s="11"/>
      <c r="E80" t="s">
        <v>250</v>
      </c>
      <c r="F80" s="116" t="s">
        <v>111</v>
      </c>
    </row>
    <row r="81" spans="1:6" x14ac:dyDescent="0.3">
      <c r="A81" s="43">
        <v>45952</v>
      </c>
      <c r="B81" t="s">
        <v>55</v>
      </c>
      <c r="C81" s="11">
        <v>3310</v>
      </c>
      <c r="D81" s="11"/>
      <c r="E81" t="s">
        <v>256</v>
      </c>
      <c r="F81" s="116" t="s">
        <v>111</v>
      </c>
    </row>
    <row r="82" spans="1:6" x14ac:dyDescent="0.3">
      <c r="A82" s="43">
        <v>45952</v>
      </c>
      <c r="B82" t="s">
        <v>21</v>
      </c>
      <c r="C82" s="11"/>
      <c r="D82" s="11">
        <v>1600</v>
      </c>
      <c r="E82" t="s">
        <v>257</v>
      </c>
      <c r="F82" s="116" t="s">
        <v>111</v>
      </c>
    </row>
    <row r="83" spans="1:6" x14ac:dyDescent="0.3">
      <c r="A83" s="115">
        <v>45952</v>
      </c>
      <c r="B83" t="s">
        <v>212</v>
      </c>
      <c r="C83" s="11">
        <v>3000</v>
      </c>
      <c r="D83" s="11"/>
      <c r="E83" t="s">
        <v>265</v>
      </c>
      <c r="F83" s="116" t="s">
        <v>112</v>
      </c>
    </row>
    <row r="84" spans="1:6" x14ac:dyDescent="0.3">
      <c r="A84" s="43">
        <v>45952</v>
      </c>
      <c r="B84" t="s">
        <v>54</v>
      </c>
      <c r="C84" s="11">
        <v>1600</v>
      </c>
      <c r="D84" s="11"/>
      <c r="E84" t="s">
        <v>257</v>
      </c>
      <c r="F84" s="116" t="s">
        <v>111</v>
      </c>
    </row>
    <row r="85" spans="1:6" x14ac:dyDescent="0.3">
      <c r="A85" s="43">
        <v>45953</v>
      </c>
      <c r="B85" t="s">
        <v>97</v>
      </c>
      <c r="C85" s="11">
        <v>45250</v>
      </c>
      <c r="D85" s="11"/>
      <c r="E85" t="s">
        <v>258</v>
      </c>
      <c r="F85" s="116" t="s">
        <v>111</v>
      </c>
    </row>
    <row r="86" spans="1:6" x14ac:dyDescent="0.3">
      <c r="A86" s="43">
        <v>45953</v>
      </c>
      <c r="B86" t="s">
        <v>54</v>
      </c>
      <c r="C86" s="11">
        <v>1000</v>
      </c>
      <c r="D86" s="11"/>
      <c r="E86" t="s">
        <v>248</v>
      </c>
      <c r="F86" s="116" t="s">
        <v>112</v>
      </c>
    </row>
    <row r="87" spans="1:6" x14ac:dyDescent="0.3">
      <c r="A87" s="43">
        <v>45953</v>
      </c>
      <c r="B87" t="s">
        <v>9</v>
      </c>
      <c r="C87" s="11"/>
      <c r="D87" s="11">
        <v>160934</v>
      </c>
      <c r="E87" t="s">
        <v>250</v>
      </c>
      <c r="F87" s="116" t="s">
        <v>111</v>
      </c>
    </row>
    <row r="88" spans="1:6" x14ac:dyDescent="0.3">
      <c r="A88" s="43">
        <v>45953</v>
      </c>
      <c r="B88" t="s">
        <v>9</v>
      </c>
      <c r="C88" s="11"/>
      <c r="D88" s="11">
        <v>176300</v>
      </c>
      <c r="E88" t="s">
        <v>259</v>
      </c>
      <c r="F88" s="116" t="s">
        <v>111</v>
      </c>
    </row>
    <row r="89" spans="1:6" x14ac:dyDescent="0.3">
      <c r="A89" s="43">
        <v>45953</v>
      </c>
      <c r="B89" t="s">
        <v>222</v>
      </c>
      <c r="C89" s="11">
        <v>25000</v>
      </c>
      <c r="D89" s="11"/>
      <c r="E89" t="s">
        <v>223</v>
      </c>
      <c r="F89" s="116" t="s">
        <v>112</v>
      </c>
    </row>
    <row r="90" spans="1:6" x14ac:dyDescent="0.3">
      <c r="A90" s="43">
        <v>45953</v>
      </c>
      <c r="B90" t="s">
        <v>191</v>
      </c>
      <c r="C90" s="11">
        <v>5000</v>
      </c>
      <c r="D90" s="11"/>
      <c r="E90" t="s">
        <v>260</v>
      </c>
      <c r="F90" s="116" t="s">
        <v>112</v>
      </c>
    </row>
    <row r="91" spans="1:6" x14ac:dyDescent="0.3">
      <c r="A91" s="43">
        <v>45953</v>
      </c>
      <c r="B91" t="s">
        <v>116</v>
      </c>
      <c r="C91" s="11">
        <v>18245</v>
      </c>
      <c r="D91" s="11"/>
      <c r="E91" t="s">
        <v>261</v>
      </c>
      <c r="F91" s="116" t="s">
        <v>111</v>
      </c>
    </row>
    <row r="92" spans="1:6" x14ac:dyDescent="0.3">
      <c r="A92" s="43">
        <v>45953</v>
      </c>
      <c r="B92" t="s">
        <v>55</v>
      </c>
      <c r="C92" s="11">
        <v>7450</v>
      </c>
      <c r="D92" s="11"/>
      <c r="E92" t="s">
        <v>262</v>
      </c>
      <c r="F92" s="116" t="s">
        <v>111</v>
      </c>
    </row>
    <row r="93" spans="1:6" x14ac:dyDescent="0.3">
      <c r="A93" s="43">
        <v>45953</v>
      </c>
      <c r="B93" t="s">
        <v>55</v>
      </c>
      <c r="C93" s="11">
        <v>2100</v>
      </c>
      <c r="D93" s="11"/>
      <c r="E93" t="s">
        <v>263</v>
      </c>
      <c r="F93" s="116" t="s">
        <v>111</v>
      </c>
    </row>
    <row r="94" spans="1:6" x14ac:dyDescent="0.3">
      <c r="A94" s="43">
        <v>45953</v>
      </c>
      <c r="B94" t="s">
        <v>97</v>
      </c>
      <c r="C94" s="11">
        <v>250000</v>
      </c>
      <c r="D94" s="11"/>
      <c r="E94" t="s">
        <v>264</v>
      </c>
      <c r="F94" s="116" t="s">
        <v>111</v>
      </c>
    </row>
    <row r="95" spans="1:6" x14ac:dyDescent="0.3">
      <c r="A95" s="43">
        <v>45953</v>
      </c>
      <c r="B95" t="s">
        <v>212</v>
      </c>
      <c r="C95" s="11">
        <v>3500</v>
      </c>
      <c r="D95" s="11"/>
      <c r="E95" t="s">
        <v>265</v>
      </c>
      <c r="F95" s="116" t="s">
        <v>112</v>
      </c>
    </row>
    <row r="96" spans="1:6" x14ac:dyDescent="0.3">
      <c r="A96" s="43">
        <v>45953</v>
      </c>
      <c r="B96" t="s">
        <v>209</v>
      </c>
      <c r="C96" s="11">
        <v>5000</v>
      </c>
      <c r="D96" s="11"/>
      <c r="E96" t="s">
        <v>266</v>
      </c>
      <c r="F96" s="116" t="s">
        <v>112</v>
      </c>
    </row>
    <row r="97" spans="1:6" x14ac:dyDescent="0.3">
      <c r="A97" s="43">
        <v>45953</v>
      </c>
      <c r="B97" t="s">
        <v>50</v>
      </c>
      <c r="C97" s="11">
        <v>300</v>
      </c>
      <c r="D97" s="11"/>
      <c r="E97" t="s">
        <v>267</v>
      </c>
      <c r="F97" s="116" t="s">
        <v>111</v>
      </c>
    </row>
    <row r="98" spans="1:6" x14ac:dyDescent="0.3">
      <c r="A98" s="43">
        <v>45954</v>
      </c>
      <c r="B98" t="s">
        <v>54</v>
      </c>
      <c r="C98" s="11">
        <v>5311</v>
      </c>
      <c r="D98" s="11"/>
      <c r="E98" t="s">
        <v>231</v>
      </c>
      <c r="F98" s="116" t="s">
        <v>112</v>
      </c>
    </row>
    <row r="99" spans="1:6" x14ac:dyDescent="0.3">
      <c r="A99" s="43">
        <v>45954</v>
      </c>
      <c r="B99" t="s">
        <v>54</v>
      </c>
      <c r="C99" s="11">
        <v>1800</v>
      </c>
      <c r="D99" s="11"/>
      <c r="E99" t="s">
        <v>268</v>
      </c>
      <c r="F99" s="116" t="s">
        <v>111</v>
      </c>
    </row>
    <row r="100" spans="1:6" x14ac:dyDescent="0.3">
      <c r="A100" s="43">
        <v>45954</v>
      </c>
      <c r="B100" t="s">
        <v>55</v>
      </c>
      <c r="C100" s="11">
        <v>30000</v>
      </c>
      <c r="D100" s="11"/>
      <c r="E100" t="s">
        <v>269</v>
      </c>
      <c r="F100" s="116" t="s">
        <v>111</v>
      </c>
    </row>
    <row r="101" spans="1:6" x14ac:dyDescent="0.3">
      <c r="A101" s="43">
        <v>45954</v>
      </c>
      <c r="B101" t="s">
        <v>21</v>
      </c>
      <c r="C101" s="11"/>
      <c r="D101" s="11">
        <v>30000</v>
      </c>
      <c r="E101" t="s">
        <v>269</v>
      </c>
      <c r="F101" s="116" t="s">
        <v>111</v>
      </c>
    </row>
    <row r="102" spans="1:6" x14ac:dyDescent="0.3">
      <c r="A102" s="43">
        <v>45954</v>
      </c>
      <c r="B102" t="s">
        <v>52</v>
      </c>
      <c r="C102" s="11">
        <v>5000</v>
      </c>
      <c r="D102" s="11"/>
      <c r="E102" t="s">
        <v>270</v>
      </c>
      <c r="F102" s="116" t="s">
        <v>111</v>
      </c>
    </row>
    <row r="103" spans="1:6" x14ac:dyDescent="0.3">
      <c r="A103" s="43">
        <v>45954</v>
      </c>
      <c r="B103" t="s">
        <v>55</v>
      </c>
      <c r="C103" s="11">
        <v>6600</v>
      </c>
      <c r="D103" s="11"/>
      <c r="E103" t="s">
        <v>271</v>
      </c>
      <c r="F103" s="116" t="s">
        <v>111</v>
      </c>
    </row>
    <row r="104" spans="1:6" x14ac:dyDescent="0.3">
      <c r="A104" s="43">
        <v>45954</v>
      </c>
      <c r="B104" t="s">
        <v>55</v>
      </c>
      <c r="C104" s="11">
        <v>3500</v>
      </c>
      <c r="D104" s="11"/>
      <c r="E104" t="s">
        <v>272</v>
      </c>
      <c r="F104" s="116" t="s">
        <v>111</v>
      </c>
    </row>
    <row r="105" spans="1:6" x14ac:dyDescent="0.3">
      <c r="A105" s="43">
        <v>45954</v>
      </c>
      <c r="B105" t="s">
        <v>55</v>
      </c>
      <c r="C105" s="11">
        <v>800</v>
      </c>
      <c r="D105" s="11"/>
      <c r="E105" t="s">
        <v>273</v>
      </c>
      <c r="F105" s="116" t="s">
        <v>111</v>
      </c>
    </row>
    <row r="106" spans="1:6" x14ac:dyDescent="0.3">
      <c r="A106" s="43">
        <v>45954</v>
      </c>
      <c r="B106" t="s">
        <v>55</v>
      </c>
      <c r="C106" s="11">
        <v>1000</v>
      </c>
      <c r="D106" s="11"/>
      <c r="E106" t="s">
        <v>274</v>
      </c>
      <c r="F106" s="116" t="s">
        <v>111</v>
      </c>
    </row>
    <row r="107" spans="1:6" x14ac:dyDescent="0.3">
      <c r="A107" s="43">
        <v>45954</v>
      </c>
      <c r="B107" t="s">
        <v>21</v>
      </c>
      <c r="C107" s="11"/>
      <c r="D107" s="11">
        <v>10500</v>
      </c>
      <c r="F107" s="116" t="s">
        <v>111</v>
      </c>
    </row>
    <row r="108" spans="1:6" x14ac:dyDescent="0.3">
      <c r="A108" s="43">
        <v>45954</v>
      </c>
      <c r="B108" t="s">
        <v>55</v>
      </c>
      <c r="C108" s="11">
        <v>10500</v>
      </c>
      <c r="D108" s="11"/>
      <c r="E108" t="s">
        <v>275</v>
      </c>
      <c r="F108" s="116" t="s">
        <v>111</v>
      </c>
    </row>
    <row r="109" spans="1:6" x14ac:dyDescent="0.3">
      <c r="A109" s="43">
        <v>45954</v>
      </c>
      <c r="B109" t="s">
        <v>227</v>
      </c>
      <c r="C109" s="11"/>
      <c r="D109" s="11">
        <v>98000</v>
      </c>
      <c r="E109" t="s">
        <v>276</v>
      </c>
      <c r="F109" s="116" t="s">
        <v>111</v>
      </c>
    </row>
    <row r="110" spans="1:6" x14ac:dyDescent="0.3">
      <c r="A110" s="43">
        <v>45954</v>
      </c>
      <c r="B110" t="s">
        <v>277</v>
      </c>
      <c r="C110" s="11">
        <v>250000</v>
      </c>
      <c r="D110" s="11"/>
      <c r="E110" t="s">
        <v>278</v>
      </c>
      <c r="F110" s="116" t="s">
        <v>111</v>
      </c>
    </row>
    <row r="111" spans="1:6" x14ac:dyDescent="0.3">
      <c r="A111" s="43">
        <v>45954</v>
      </c>
      <c r="B111" t="s">
        <v>21</v>
      </c>
      <c r="C111" s="117"/>
      <c r="D111" s="117">
        <v>250000</v>
      </c>
      <c r="E111" t="s">
        <v>279</v>
      </c>
      <c r="F111" s="116" t="s">
        <v>111</v>
      </c>
    </row>
    <row r="112" spans="1:6" x14ac:dyDescent="0.3">
      <c r="A112" s="43">
        <v>45954</v>
      </c>
      <c r="B112" t="s">
        <v>97</v>
      </c>
      <c r="C112" s="117">
        <v>52060</v>
      </c>
      <c r="D112" s="117"/>
      <c r="E112" t="s">
        <v>280</v>
      </c>
      <c r="F112" s="116" t="s">
        <v>111</v>
      </c>
    </row>
    <row r="113" spans="1:6" x14ac:dyDescent="0.3">
      <c r="A113" s="43">
        <v>45954</v>
      </c>
      <c r="B113" t="s">
        <v>21</v>
      </c>
      <c r="C113" s="117"/>
      <c r="D113" s="117">
        <v>200000</v>
      </c>
      <c r="E113" t="s">
        <v>250</v>
      </c>
      <c r="F113" s="116" t="s">
        <v>111</v>
      </c>
    </row>
    <row r="114" spans="1:6" x14ac:dyDescent="0.3">
      <c r="A114" s="43">
        <v>45954</v>
      </c>
      <c r="B114" t="s">
        <v>97</v>
      </c>
      <c r="C114" s="11">
        <v>200000</v>
      </c>
      <c r="D114" s="11"/>
      <c r="E114" t="s">
        <v>250</v>
      </c>
      <c r="F114" s="116" t="s">
        <v>111</v>
      </c>
    </row>
    <row r="115" spans="1:6" x14ac:dyDescent="0.3">
      <c r="A115" s="43">
        <v>45955</v>
      </c>
      <c r="B115" t="s">
        <v>194</v>
      </c>
      <c r="C115" s="11">
        <v>600</v>
      </c>
      <c r="D115" s="11"/>
      <c r="F115" s="116" t="s">
        <v>111</v>
      </c>
    </row>
    <row r="116" spans="1:6" x14ac:dyDescent="0.3">
      <c r="A116" s="43">
        <v>45955</v>
      </c>
      <c r="B116" t="s">
        <v>50</v>
      </c>
      <c r="C116" s="11">
        <v>1420</v>
      </c>
      <c r="D116" s="11"/>
      <c r="F116" s="116" t="s">
        <v>112</v>
      </c>
    </row>
    <row r="117" spans="1:6" x14ac:dyDescent="0.3">
      <c r="A117" s="43">
        <v>45955</v>
      </c>
      <c r="B117" t="s">
        <v>97</v>
      </c>
      <c r="C117" s="11">
        <v>50000</v>
      </c>
      <c r="D117" s="11"/>
      <c r="E117" t="s">
        <v>281</v>
      </c>
      <c r="F117" s="116" t="s">
        <v>111</v>
      </c>
    </row>
    <row r="118" spans="1:6" x14ac:dyDescent="0.3">
      <c r="A118" s="43">
        <v>45955</v>
      </c>
      <c r="C118" s="11"/>
      <c r="D118" s="11"/>
      <c r="F118" s="116"/>
    </row>
    <row r="119" spans="1:6" x14ac:dyDescent="0.3">
      <c r="A119" s="43">
        <v>45955</v>
      </c>
      <c r="B119" t="s">
        <v>21</v>
      </c>
      <c r="C119" s="11"/>
      <c r="D119" s="11">
        <v>100000</v>
      </c>
      <c r="E119" t="s">
        <v>282</v>
      </c>
      <c r="F119" s="116" t="s">
        <v>111</v>
      </c>
    </row>
    <row r="120" spans="1:6" x14ac:dyDescent="0.3">
      <c r="A120" s="43">
        <v>45955</v>
      </c>
      <c r="B120" t="s">
        <v>116</v>
      </c>
      <c r="C120" s="11">
        <v>20000</v>
      </c>
      <c r="D120" s="11"/>
      <c r="E120" t="s">
        <v>283</v>
      </c>
      <c r="F120" s="116" t="s">
        <v>111</v>
      </c>
    </row>
    <row r="121" spans="1:6" x14ac:dyDescent="0.3">
      <c r="A121" s="43">
        <v>45955</v>
      </c>
      <c r="B121" t="s">
        <v>35</v>
      </c>
      <c r="C121" s="11"/>
      <c r="D121" s="11">
        <v>179000</v>
      </c>
      <c r="F121" s="116" t="s">
        <v>111</v>
      </c>
    </row>
    <row r="122" spans="1:6" x14ac:dyDescent="0.3">
      <c r="A122" s="43">
        <v>45955</v>
      </c>
      <c r="B122" t="s">
        <v>97</v>
      </c>
      <c r="C122" s="11">
        <v>72900</v>
      </c>
      <c r="D122" s="11"/>
      <c r="E122" t="s">
        <v>284</v>
      </c>
      <c r="F122" s="116" t="s">
        <v>111</v>
      </c>
    </row>
    <row r="123" spans="1:6" x14ac:dyDescent="0.3">
      <c r="A123" s="43">
        <v>45955</v>
      </c>
      <c r="B123" t="s">
        <v>222</v>
      </c>
      <c r="C123" s="11">
        <v>15000</v>
      </c>
      <c r="D123" s="11"/>
      <c r="E123" t="s">
        <v>223</v>
      </c>
      <c r="F123" s="116" t="s">
        <v>111</v>
      </c>
    </row>
    <row r="124" spans="1:6" x14ac:dyDescent="0.3">
      <c r="A124" s="43">
        <v>45955</v>
      </c>
      <c r="B124" t="s">
        <v>152</v>
      </c>
      <c r="C124" s="11">
        <v>100000</v>
      </c>
      <c r="D124" s="11"/>
      <c r="E124" t="s">
        <v>285</v>
      </c>
      <c r="F124" s="116" t="s">
        <v>111</v>
      </c>
    </row>
    <row r="125" spans="1:6" x14ac:dyDescent="0.3">
      <c r="A125" s="43">
        <v>45955</v>
      </c>
      <c r="B125" t="s">
        <v>212</v>
      </c>
      <c r="C125" s="11">
        <v>5600</v>
      </c>
      <c r="D125" s="11"/>
      <c r="E125" t="s">
        <v>220</v>
      </c>
      <c r="F125" s="116" t="s">
        <v>112</v>
      </c>
    </row>
    <row r="126" spans="1:6" x14ac:dyDescent="0.3">
      <c r="A126" s="43">
        <v>45955</v>
      </c>
      <c r="B126" t="s">
        <v>50</v>
      </c>
      <c r="C126" s="11">
        <v>420</v>
      </c>
      <c r="D126" s="11"/>
      <c r="E126" t="s">
        <v>286</v>
      </c>
      <c r="F126" s="116" t="s">
        <v>112</v>
      </c>
    </row>
    <row r="127" spans="1:6" x14ac:dyDescent="0.3">
      <c r="A127" s="43">
        <v>45955</v>
      </c>
      <c r="B127" t="s">
        <v>52</v>
      </c>
      <c r="C127" s="11"/>
      <c r="D127" s="11"/>
      <c r="E127" t="s">
        <v>225</v>
      </c>
      <c r="F127" s="116" t="s">
        <v>112</v>
      </c>
    </row>
    <row r="128" spans="1:6" x14ac:dyDescent="0.3">
      <c r="A128" s="43">
        <v>45955</v>
      </c>
      <c r="B128" t="s">
        <v>180</v>
      </c>
      <c r="C128" s="117"/>
      <c r="D128" s="117">
        <v>400000</v>
      </c>
      <c r="F128" s="116" t="s">
        <v>111</v>
      </c>
    </row>
    <row r="129" spans="1:6" x14ac:dyDescent="0.3">
      <c r="A129" s="43">
        <v>45955</v>
      </c>
      <c r="B129" t="s">
        <v>118</v>
      </c>
      <c r="C129" s="11">
        <v>100000</v>
      </c>
      <c r="D129" s="11"/>
      <c r="F129" s="116" t="s">
        <v>111</v>
      </c>
    </row>
    <row r="130" spans="1:6" x14ac:dyDescent="0.3">
      <c r="A130" s="43">
        <v>45955</v>
      </c>
      <c r="B130" t="s">
        <v>97</v>
      </c>
      <c r="C130" s="11">
        <v>204021</v>
      </c>
      <c r="D130" s="11"/>
      <c r="E130" t="s">
        <v>287</v>
      </c>
      <c r="F130" s="116" t="s">
        <v>111</v>
      </c>
    </row>
    <row r="131" spans="1:6" x14ac:dyDescent="0.3">
      <c r="A131" s="43">
        <v>45955</v>
      </c>
      <c r="B131" t="s">
        <v>55</v>
      </c>
      <c r="C131" s="11">
        <v>20000</v>
      </c>
      <c r="D131" s="11"/>
      <c r="E131" t="s">
        <v>288</v>
      </c>
      <c r="F131" s="116" t="s">
        <v>111</v>
      </c>
    </row>
    <row r="132" spans="1:6" x14ac:dyDescent="0.3">
      <c r="A132" s="43">
        <v>45956</v>
      </c>
      <c r="B132" t="s">
        <v>201</v>
      </c>
      <c r="C132" s="11"/>
      <c r="D132" s="11">
        <v>414511</v>
      </c>
      <c r="F132" s="116" t="s">
        <v>111</v>
      </c>
    </row>
    <row r="133" spans="1:6" x14ac:dyDescent="0.3">
      <c r="A133" s="43">
        <v>45956</v>
      </c>
      <c r="B133" t="s">
        <v>97</v>
      </c>
      <c r="C133" s="11">
        <v>53700</v>
      </c>
      <c r="D133" s="11"/>
      <c r="E133" t="s">
        <v>291</v>
      </c>
      <c r="F133" s="116" t="s">
        <v>111</v>
      </c>
    </row>
    <row r="134" spans="1:6" x14ac:dyDescent="0.3">
      <c r="A134" s="43">
        <v>45956</v>
      </c>
      <c r="B134" t="s">
        <v>97</v>
      </c>
      <c r="C134" s="11">
        <v>76850</v>
      </c>
      <c r="D134" s="11"/>
      <c r="E134" t="s">
        <v>189</v>
      </c>
      <c r="F134" s="116" t="s">
        <v>111</v>
      </c>
    </row>
    <row r="135" spans="1:6" x14ac:dyDescent="0.3">
      <c r="A135" s="43">
        <v>45956</v>
      </c>
      <c r="B135" t="s">
        <v>50</v>
      </c>
      <c r="C135" s="11">
        <v>2600</v>
      </c>
      <c r="D135" s="11"/>
      <c r="E135" t="s">
        <v>292</v>
      </c>
      <c r="F135" s="116" t="s">
        <v>111</v>
      </c>
    </row>
    <row r="136" spans="1:6" x14ac:dyDescent="0.3">
      <c r="A136" s="43">
        <v>45956</v>
      </c>
      <c r="B136" t="s">
        <v>52</v>
      </c>
      <c r="C136" s="11"/>
      <c r="D136" s="11"/>
      <c r="E136" t="s">
        <v>293</v>
      </c>
      <c r="F136" s="116" t="s">
        <v>111</v>
      </c>
    </row>
    <row r="137" spans="1:6" x14ac:dyDescent="0.3">
      <c r="A137" s="43">
        <v>45956</v>
      </c>
      <c r="B137" t="s">
        <v>55</v>
      </c>
      <c r="C137" s="11">
        <v>20000</v>
      </c>
      <c r="D137" s="11"/>
      <c r="E137" t="s">
        <v>288</v>
      </c>
      <c r="F137" s="116" t="s">
        <v>111</v>
      </c>
    </row>
    <row r="138" spans="1:6" x14ac:dyDescent="0.3">
      <c r="A138" s="43">
        <v>45956</v>
      </c>
      <c r="B138" t="s">
        <v>294</v>
      </c>
      <c r="C138" s="11">
        <v>80000</v>
      </c>
      <c r="D138" s="11"/>
      <c r="E138" t="s">
        <v>295</v>
      </c>
      <c r="F138" s="116" t="s">
        <v>111</v>
      </c>
    </row>
    <row r="139" spans="1:6" x14ac:dyDescent="0.3">
      <c r="A139" s="43">
        <v>45956</v>
      </c>
      <c r="B139" t="s">
        <v>296</v>
      </c>
      <c r="C139" s="11"/>
      <c r="D139" s="11">
        <v>300000</v>
      </c>
      <c r="E139" t="s">
        <v>297</v>
      </c>
      <c r="F139" s="116" t="s">
        <v>111</v>
      </c>
    </row>
    <row r="140" spans="1:6" x14ac:dyDescent="0.3">
      <c r="A140" s="43">
        <v>45956</v>
      </c>
      <c r="B140" t="s">
        <v>294</v>
      </c>
      <c r="C140" s="11">
        <v>300000</v>
      </c>
      <c r="D140" s="11"/>
      <c r="E140" t="s">
        <v>298</v>
      </c>
      <c r="F140" s="116" t="s">
        <v>111</v>
      </c>
    </row>
    <row r="141" spans="1:6" x14ac:dyDescent="0.3">
      <c r="A141" s="43">
        <v>45957</v>
      </c>
      <c r="B141" t="s">
        <v>52</v>
      </c>
      <c r="C141" s="11"/>
      <c r="D141" s="11"/>
      <c r="E141" t="s">
        <v>299</v>
      </c>
      <c r="F141" s="116" t="s">
        <v>111</v>
      </c>
    </row>
    <row r="142" spans="1:6" x14ac:dyDescent="0.3">
      <c r="A142" s="43">
        <v>45957</v>
      </c>
      <c r="B142" t="s">
        <v>52</v>
      </c>
      <c r="C142" s="11"/>
      <c r="D142" s="11"/>
      <c r="E142" t="s">
        <v>192</v>
      </c>
      <c r="F142" s="116" t="s">
        <v>111</v>
      </c>
    </row>
    <row r="143" spans="1:6" x14ac:dyDescent="0.3">
      <c r="A143" s="43">
        <v>45957</v>
      </c>
      <c r="B143" t="s">
        <v>97</v>
      </c>
      <c r="C143" s="11">
        <v>45335</v>
      </c>
      <c r="D143" s="11"/>
      <c r="E143" t="s">
        <v>300</v>
      </c>
      <c r="F143" s="116" t="s">
        <v>111</v>
      </c>
    </row>
    <row r="144" spans="1:6" x14ac:dyDescent="0.3">
      <c r="A144" s="43">
        <v>45957</v>
      </c>
      <c r="B144" t="s">
        <v>120</v>
      </c>
      <c r="C144" s="11">
        <v>353250</v>
      </c>
      <c r="D144" s="11"/>
      <c r="E144" t="s">
        <v>301</v>
      </c>
      <c r="F144" s="116" t="s">
        <v>111</v>
      </c>
    </row>
    <row r="145" spans="1:6" x14ac:dyDescent="0.3">
      <c r="A145" s="43">
        <v>45957</v>
      </c>
      <c r="B145" t="s">
        <v>302</v>
      </c>
      <c r="C145" s="11"/>
      <c r="D145" s="11">
        <v>256200</v>
      </c>
      <c r="E145" t="s">
        <v>303</v>
      </c>
      <c r="F145" s="116" t="s">
        <v>111</v>
      </c>
    </row>
    <row r="146" spans="1:6" x14ac:dyDescent="0.3">
      <c r="A146" s="43">
        <v>45957</v>
      </c>
      <c r="B146" t="s">
        <v>304</v>
      </c>
      <c r="C146" s="11"/>
      <c r="D146" s="11">
        <v>95000</v>
      </c>
      <c r="F146" s="116" t="s">
        <v>111</v>
      </c>
    </row>
    <row r="147" spans="1:6" x14ac:dyDescent="0.3">
      <c r="A147" s="43">
        <v>45957</v>
      </c>
      <c r="B147" t="s">
        <v>212</v>
      </c>
      <c r="C147" s="11"/>
      <c r="D147" s="11">
        <v>2050</v>
      </c>
      <c r="E147" t="s">
        <v>305</v>
      </c>
      <c r="F147" s="116" t="s">
        <v>111</v>
      </c>
    </row>
    <row r="148" spans="1:6" x14ac:dyDescent="0.3">
      <c r="A148" s="43">
        <v>45956</v>
      </c>
      <c r="B148" t="s">
        <v>212</v>
      </c>
      <c r="C148" s="11">
        <v>3000</v>
      </c>
      <c r="D148" s="11"/>
      <c r="E148" t="s">
        <v>306</v>
      </c>
      <c r="F148" s="116" t="s">
        <v>111</v>
      </c>
    </row>
    <row r="149" spans="1:6" x14ac:dyDescent="0.3">
      <c r="A149" s="43">
        <v>45957</v>
      </c>
      <c r="B149" t="s">
        <v>55</v>
      </c>
      <c r="C149" s="11">
        <v>3300</v>
      </c>
      <c r="D149" s="11"/>
      <c r="F149" s="116" t="s">
        <v>111</v>
      </c>
    </row>
    <row r="150" spans="1:6" x14ac:dyDescent="0.3">
      <c r="A150" s="43">
        <v>45957</v>
      </c>
      <c r="B150" t="s">
        <v>55</v>
      </c>
      <c r="C150" s="11">
        <v>13750</v>
      </c>
      <c r="D150" s="11"/>
      <c r="F150" s="116" t="s">
        <v>111</v>
      </c>
    </row>
    <row r="151" spans="1:6" x14ac:dyDescent="0.3">
      <c r="A151" s="43">
        <v>45957</v>
      </c>
      <c r="B151" t="s">
        <v>55</v>
      </c>
      <c r="C151" s="11">
        <v>5500</v>
      </c>
      <c r="D151" s="11"/>
      <c r="F151" s="116" t="s">
        <v>111</v>
      </c>
    </row>
    <row r="152" spans="1:6" x14ac:dyDescent="0.3">
      <c r="A152" s="43">
        <v>45957</v>
      </c>
      <c r="B152" t="s">
        <v>52</v>
      </c>
      <c r="C152" s="117">
        <v>5000</v>
      </c>
      <c r="D152" s="117"/>
      <c r="E152" t="s">
        <v>270</v>
      </c>
      <c r="F152" s="116" t="s">
        <v>111</v>
      </c>
    </row>
    <row r="153" spans="1:6" x14ac:dyDescent="0.3">
      <c r="A153" s="43">
        <v>45957</v>
      </c>
      <c r="B153" t="s">
        <v>194</v>
      </c>
      <c r="C153" s="117">
        <v>500</v>
      </c>
      <c r="D153" s="117"/>
      <c r="F153" s="116" t="s">
        <v>112</v>
      </c>
    </row>
    <row r="154" spans="1:6" x14ac:dyDescent="0.3">
      <c r="A154" s="115">
        <v>45958</v>
      </c>
      <c r="B154" t="s">
        <v>24</v>
      </c>
      <c r="C154" s="11"/>
      <c r="D154" s="11">
        <v>1000000</v>
      </c>
      <c r="E154" t="s">
        <v>307</v>
      </c>
      <c r="F154" s="116" t="s">
        <v>111</v>
      </c>
    </row>
    <row r="155" spans="1:6" x14ac:dyDescent="0.3">
      <c r="A155" s="115">
        <v>45958</v>
      </c>
      <c r="B155" t="s">
        <v>97</v>
      </c>
      <c r="C155" s="11">
        <v>350000</v>
      </c>
      <c r="D155" s="11"/>
      <c r="E155" t="s">
        <v>308</v>
      </c>
      <c r="F155" s="116" t="s">
        <v>111</v>
      </c>
    </row>
    <row r="156" spans="1:6" x14ac:dyDescent="0.3">
      <c r="A156" s="115">
        <v>45958</v>
      </c>
      <c r="B156" t="s">
        <v>97</v>
      </c>
      <c r="C156" s="11">
        <v>49850</v>
      </c>
      <c r="D156" s="11"/>
      <c r="E156" t="s">
        <v>219</v>
      </c>
      <c r="F156" s="116" t="s">
        <v>111</v>
      </c>
    </row>
    <row r="157" spans="1:6" x14ac:dyDescent="0.3">
      <c r="A157" s="115">
        <v>45958</v>
      </c>
      <c r="B157" t="s">
        <v>54</v>
      </c>
      <c r="C157" s="11">
        <v>2000</v>
      </c>
      <c r="D157" s="11"/>
      <c r="E157" t="s">
        <v>309</v>
      </c>
      <c r="F157" s="116" t="s">
        <v>111</v>
      </c>
    </row>
    <row r="158" spans="1:6" x14ac:dyDescent="0.3">
      <c r="A158" s="115">
        <v>45958</v>
      </c>
      <c r="B158" t="s">
        <v>55</v>
      </c>
      <c r="C158" s="11">
        <v>1200</v>
      </c>
      <c r="D158" s="11"/>
      <c r="E158" t="s">
        <v>310</v>
      </c>
      <c r="F158" s="116" t="s">
        <v>111</v>
      </c>
    </row>
    <row r="159" spans="1:6" x14ac:dyDescent="0.3">
      <c r="A159" s="115">
        <v>45958</v>
      </c>
      <c r="B159" t="s">
        <v>50</v>
      </c>
      <c r="C159" s="117">
        <v>180</v>
      </c>
      <c r="D159" s="117"/>
      <c r="E159" t="s">
        <v>311</v>
      </c>
      <c r="F159" s="116" t="s">
        <v>111</v>
      </c>
    </row>
    <row r="160" spans="1:6" x14ac:dyDescent="0.3">
      <c r="A160" s="115">
        <v>45958</v>
      </c>
      <c r="B160" t="s">
        <v>191</v>
      </c>
      <c r="C160" s="11">
        <v>10000</v>
      </c>
      <c r="D160" s="11"/>
      <c r="E160" t="s">
        <v>312</v>
      </c>
      <c r="F160" s="116" t="s">
        <v>111</v>
      </c>
    </row>
    <row r="161" spans="1:12" x14ac:dyDescent="0.3">
      <c r="A161" s="115">
        <v>45958</v>
      </c>
      <c r="B161" t="s">
        <v>170</v>
      </c>
      <c r="C161" s="117"/>
      <c r="D161" s="117">
        <v>140000</v>
      </c>
      <c r="F161" s="116" t="s">
        <v>111</v>
      </c>
    </row>
    <row r="162" spans="1:12" x14ac:dyDescent="0.3">
      <c r="A162" s="115">
        <v>45958</v>
      </c>
      <c r="B162" t="s">
        <v>52</v>
      </c>
      <c r="C162" s="11">
        <v>25000</v>
      </c>
      <c r="D162" s="11"/>
      <c r="E162" t="s">
        <v>270</v>
      </c>
      <c r="F162" s="116" t="s">
        <v>111</v>
      </c>
    </row>
    <row r="163" spans="1:12" x14ac:dyDescent="0.3">
      <c r="A163" s="115">
        <v>45958</v>
      </c>
      <c r="B163" t="s">
        <v>191</v>
      </c>
      <c r="C163" s="11">
        <v>1500</v>
      </c>
      <c r="D163" s="11"/>
      <c r="E163" t="s">
        <v>317</v>
      </c>
      <c r="F163" s="116" t="s">
        <v>111</v>
      </c>
      <c r="J163" s="3" t="s">
        <v>6</v>
      </c>
      <c r="K163" t="s">
        <v>121</v>
      </c>
      <c r="L163" t="s">
        <v>122</v>
      </c>
    </row>
    <row r="164" spans="1:12" x14ac:dyDescent="0.3">
      <c r="A164" s="115">
        <v>45959</v>
      </c>
      <c r="B164" t="s">
        <v>54</v>
      </c>
      <c r="C164" s="11">
        <v>5303</v>
      </c>
      <c r="D164" s="11"/>
      <c r="E164" t="s">
        <v>231</v>
      </c>
      <c r="F164" s="116" t="s">
        <v>111</v>
      </c>
      <c r="J164" s="4" t="s">
        <v>191</v>
      </c>
      <c r="K164" s="14"/>
      <c r="L164" s="14">
        <v>27500</v>
      </c>
    </row>
    <row r="165" spans="1:12" x14ac:dyDescent="0.3">
      <c r="A165" s="115">
        <v>45959</v>
      </c>
      <c r="B165" t="s">
        <v>54</v>
      </c>
      <c r="C165" s="11">
        <v>1000</v>
      </c>
      <c r="D165" s="11"/>
      <c r="E165" t="s">
        <v>318</v>
      </c>
      <c r="F165" s="116" t="s">
        <v>111</v>
      </c>
      <c r="J165" s="4" t="s">
        <v>9</v>
      </c>
      <c r="K165" s="14">
        <v>787234</v>
      </c>
      <c r="L165" s="14"/>
    </row>
    <row r="166" spans="1:12" x14ac:dyDescent="0.3">
      <c r="A166" s="115">
        <v>45959</v>
      </c>
      <c r="B166" t="s">
        <v>55</v>
      </c>
      <c r="C166" s="11">
        <v>2700</v>
      </c>
      <c r="D166" s="11"/>
      <c r="E166" t="s">
        <v>319</v>
      </c>
      <c r="F166" s="116" t="s">
        <v>111</v>
      </c>
      <c r="J166" s="4" t="s">
        <v>21</v>
      </c>
      <c r="K166" s="14">
        <v>3960588</v>
      </c>
      <c r="L166" s="14"/>
    </row>
    <row r="167" spans="1:12" x14ac:dyDescent="0.3">
      <c r="A167" s="115">
        <v>45959</v>
      </c>
      <c r="B167" t="s">
        <v>54</v>
      </c>
      <c r="C167" s="11">
        <v>1000</v>
      </c>
      <c r="D167" s="11"/>
      <c r="E167" t="s">
        <v>248</v>
      </c>
      <c r="F167" s="116" t="s">
        <v>112</v>
      </c>
      <c r="J167" s="4" t="s">
        <v>120</v>
      </c>
      <c r="K167" s="14"/>
      <c r="L167" s="14">
        <v>353250</v>
      </c>
    </row>
    <row r="168" spans="1:12" x14ac:dyDescent="0.3">
      <c r="A168" s="115">
        <v>45959</v>
      </c>
      <c r="B168" t="s">
        <v>55</v>
      </c>
      <c r="C168" s="11">
        <v>2340</v>
      </c>
      <c r="D168" s="11"/>
      <c r="F168" s="116" t="s">
        <v>111</v>
      </c>
      <c r="J168" s="4" t="s">
        <v>97</v>
      </c>
      <c r="K168" s="14"/>
      <c r="L168" s="14">
        <v>2624416</v>
      </c>
    </row>
    <row r="169" spans="1:12" x14ac:dyDescent="0.3">
      <c r="A169" s="115">
        <v>45959</v>
      </c>
      <c r="B169" t="s">
        <v>97</v>
      </c>
      <c r="C169" s="11">
        <v>48850</v>
      </c>
      <c r="D169" s="11"/>
      <c r="E169" t="s">
        <v>322</v>
      </c>
      <c r="F169" s="116" t="s">
        <v>111</v>
      </c>
      <c r="J169" s="4" t="s">
        <v>50</v>
      </c>
      <c r="K169" s="14"/>
      <c r="L169" s="14">
        <v>14810</v>
      </c>
    </row>
    <row r="170" spans="1:12" x14ac:dyDescent="0.3">
      <c r="A170" s="115">
        <v>45959</v>
      </c>
      <c r="B170" t="s">
        <v>97</v>
      </c>
      <c r="C170" s="11">
        <v>35000</v>
      </c>
      <c r="D170" s="11"/>
      <c r="E170" t="s">
        <v>321</v>
      </c>
      <c r="F170" s="116" t="s">
        <v>111</v>
      </c>
      <c r="J170" s="4" t="s">
        <v>55</v>
      </c>
      <c r="K170" s="14"/>
      <c r="L170" s="14">
        <v>224720</v>
      </c>
    </row>
    <row r="171" spans="1:12" x14ac:dyDescent="0.3">
      <c r="A171" s="115">
        <v>45959</v>
      </c>
      <c r="B171" t="s">
        <v>212</v>
      </c>
      <c r="C171" s="11">
        <v>2640</v>
      </c>
      <c r="D171" s="11"/>
      <c r="E171" t="s">
        <v>323</v>
      </c>
      <c r="F171" s="116" t="s">
        <v>111</v>
      </c>
      <c r="J171" s="4" t="s">
        <v>116</v>
      </c>
      <c r="K171" s="14"/>
      <c r="L171" s="14">
        <v>38245</v>
      </c>
    </row>
    <row r="172" spans="1:12" x14ac:dyDescent="0.3">
      <c r="A172" s="115">
        <v>45959</v>
      </c>
      <c r="B172" t="s">
        <v>212</v>
      </c>
      <c r="C172" s="11">
        <v>1000</v>
      </c>
      <c r="D172" s="11"/>
      <c r="E172" t="s">
        <v>324</v>
      </c>
      <c r="F172" s="116" t="s">
        <v>111</v>
      </c>
      <c r="J172" s="4" t="s">
        <v>52</v>
      </c>
      <c r="K172" s="14"/>
      <c r="L172" s="14">
        <v>65750</v>
      </c>
    </row>
    <row r="173" spans="1:12" x14ac:dyDescent="0.3">
      <c r="A173" s="115">
        <v>45959</v>
      </c>
      <c r="B173" t="s">
        <v>50</v>
      </c>
      <c r="C173" s="11">
        <v>1000</v>
      </c>
      <c r="D173" s="11"/>
      <c r="E173" t="s">
        <v>325</v>
      </c>
      <c r="F173" s="116" t="s">
        <v>111</v>
      </c>
      <c r="J173" s="4" t="s">
        <v>54</v>
      </c>
      <c r="K173" s="14"/>
      <c r="L173" s="14">
        <v>31655</v>
      </c>
    </row>
    <row r="174" spans="1:12" x14ac:dyDescent="0.3">
      <c r="A174" s="115">
        <v>45959</v>
      </c>
      <c r="B174" t="s">
        <v>170</v>
      </c>
      <c r="C174" s="11"/>
      <c r="D174" s="11">
        <v>160000</v>
      </c>
      <c r="F174" s="116" t="s">
        <v>111</v>
      </c>
      <c r="J174" s="4" t="s">
        <v>212</v>
      </c>
      <c r="K174" s="14">
        <v>2050</v>
      </c>
      <c r="L174" s="14">
        <v>157540</v>
      </c>
    </row>
    <row r="175" spans="1:12" x14ac:dyDescent="0.3">
      <c r="A175" s="115">
        <v>45959</v>
      </c>
      <c r="B175" t="s">
        <v>24</v>
      </c>
      <c r="C175" s="11"/>
      <c r="D175" s="11">
        <v>500000</v>
      </c>
      <c r="E175" t="s">
        <v>326</v>
      </c>
      <c r="F175" s="116" t="s">
        <v>111</v>
      </c>
      <c r="J175" s="4" t="s">
        <v>209</v>
      </c>
      <c r="K175" s="14">
        <v>3000</v>
      </c>
      <c r="L175" s="14">
        <v>5000</v>
      </c>
    </row>
    <row r="176" spans="1:12" x14ac:dyDescent="0.3">
      <c r="A176" s="115">
        <v>45959</v>
      </c>
      <c r="B176" t="s">
        <v>294</v>
      </c>
      <c r="C176" s="11">
        <v>169000</v>
      </c>
      <c r="D176" s="11"/>
      <c r="E176" t="s">
        <v>327</v>
      </c>
      <c r="F176" s="116" t="s">
        <v>111</v>
      </c>
      <c r="J176" s="4" t="s">
        <v>194</v>
      </c>
      <c r="K176" s="14">
        <v>4000</v>
      </c>
      <c r="L176" s="14">
        <v>3800</v>
      </c>
    </row>
    <row r="177" spans="1:12" x14ac:dyDescent="0.3">
      <c r="A177" s="115">
        <v>45959</v>
      </c>
      <c r="B177" t="s">
        <v>170</v>
      </c>
      <c r="C177" s="11"/>
      <c r="D177" s="11">
        <v>200000</v>
      </c>
      <c r="E177" t="s">
        <v>328</v>
      </c>
      <c r="F177" s="116" t="s">
        <v>111</v>
      </c>
      <c r="J177" s="4" t="s">
        <v>106</v>
      </c>
      <c r="K177" s="14"/>
      <c r="L177" s="14"/>
    </row>
    <row r="178" spans="1:12" x14ac:dyDescent="0.3">
      <c r="A178" s="43">
        <v>45959</v>
      </c>
      <c r="B178" t="s">
        <v>294</v>
      </c>
      <c r="C178" s="117">
        <v>200000</v>
      </c>
      <c r="D178" s="117"/>
      <c r="E178" t="s">
        <v>330</v>
      </c>
      <c r="F178" s="116" t="s">
        <v>111</v>
      </c>
      <c r="J178" s="4" t="s">
        <v>201</v>
      </c>
      <c r="K178" s="14">
        <v>1066681</v>
      </c>
      <c r="L178" s="14"/>
    </row>
    <row r="179" spans="1:12" x14ac:dyDescent="0.3">
      <c r="A179" s="43"/>
      <c r="C179" s="14">
        <f>SUBTOTAL(109,Table14[Debit])</f>
        <v>8258319</v>
      </c>
      <c r="D179" s="14">
        <f>SUBTOTAL(109,Table14[Credit])</f>
        <v>8389930</v>
      </c>
      <c r="F179" s="59">
        <f>(Table14[[#Totals],[Credit]]-Table14[[#Totals],[Debit]])</f>
        <v>131611</v>
      </c>
      <c r="J179" s="4" t="s">
        <v>24</v>
      </c>
      <c r="K179" s="14">
        <v>1500000</v>
      </c>
      <c r="L179" s="14"/>
    </row>
    <row r="180" spans="1:12" x14ac:dyDescent="0.3">
      <c r="J180" s="4" t="s">
        <v>118</v>
      </c>
      <c r="K180" s="14"/>
      <c r="L180" s="14">
        <v>400000</v>
      </c>
    </row>
    <row r="181" spans="1:12" x14ac:dyDescent="0.3">
      <c r="J181" s="4" t="s">
        <v>35</v>
      </c>
      <c r="K181" s="14">
        <v>179000</v>
      </c>
      <c r="L181" s="14"/>
    </row>
    <row r="182" spans="1:12" x14ac:dyDescent="0.3">
      <c r="J182" s="4" t="s">
        <v>152</v>
      </c>
      <c r="K182" s="14"/>
      <c r="L182" s="14">
        <v>100000</v>
      </c>
    </row>
    <row r="183" spans="1:12" x14ac:dyDescent="0.3">
      <c r="J183" s="4" t="s">
        <v>64</v>
      </c>
      <c r="K183" s="14"/>
      <c r="L183" s="14">
        <v>12000</v>
      </c>
    </row>
    <row r="184" spans="1:12" x14ac:dyDescent="0.3">
      <c r="J184" s="4" t="s">
        <v>277</v>
      </c>
      <c r="K184" s="14"/>
      <c r="L184" s="14">
        <v>250000</v>
      </c>
    </row>
    <row r="185" spans="1:12" x14ac:dyDescent="0.3">
      <c r="J185" s="4" t="s">
        <v>170</v>
      </c>
      <c r="K185" s="14">
        <v>500000</v>
      </c>
      <c r="L185" s="14"/>
    </row>
    <row r="186" spans="1:12" x14ac:dyDescent="0.3">
      <c r="J186" s="4" t="s">
        <v>174</v>
      </c>
      <c r="K186" s="14"/>
      <c r="L186" s="14">
        <v>457150</v>
      </c>
    </row>
    <row r="187" spans="1:12" x14ac:dyDescent="0.3">
      <c r="J187" s="4" t="s">
        <v>182</v>
      </c>
      <c r="K187" s="14"/>
      <c r="L187" s="14">
        <v>1000</v>
      </c>
    </row>
    <row r="188" spans="1:12" x14ac:dyDescent="0.3">
      <c r="J188" s="4" t="s">
        <v>294</v>
      </c>
      <c r="K188" s="14"/>
      <c r="L188" s="14">
        <v>749000</v>
      </c>
    </row>
    <row r="189" spans="1:12" x14ac:dyDescent="0.3">
      <c r="J189" s="4" t="s">
        <v>187</v>
      </c>
      <c r="K189" s="14">
        <v>-1232219</v>
      </c>
      <c r="L189" s="14"/>
    </row>
    <row r="190" spans="1:12" x14ac:dyDescent="0.3">
      <c r="J190" s="4" t="s">
        <v>198</v>
      </c>
      <c r="K190" s="14">
        <v>415571</v>
      </c>
      <c r="L190" s="14"/>
    </row>
    <row r="191" spans="1:12" x14ac:dyDescent="0.3">
      <c r="J191" s="4" t="s">
        <v>206</v>
      </c>
      <c r="K191" s="14"/>
      <c r="L191" s="14">
        <v>162250</v>
      </c>
    </row>
    <row r="192" spans="1:12" x14ac:dyDescent="0.3">
      <c r="J192" s="4" t="s">
        <v>214</v>
      </c>
      <c r="K192" s="14">
        <v>54825</v>
      </c>
      <c r="L192" s="14">
        <v>35195</v>
      </c>
    </row>
    <row r="193" spans="10:12" x14ac:dyDescent="0.3">
      <c r="J193" s="4" t="s">
        <v>222</v>
      </c>
      <c r="K193" s="14"/>
      <c r="L193" s="14">
        <v>42000</v>
      </c>
    </row>
    <row r="194" spans="10:12" x14ac:dyDescent="0.3">
      <c r="J194" s="4" t="s">
        <v>244</v>
      </c>
      <c r="K194" s="14"/>
      <c r="L194" s="14">
        <v>2503038</v>
      </c>
    </row>
    <row r="195" spans="10:12" x14ac:dyDescent="0.3">
      <c r="J195" s="4" t="s">
        <v>227</v>
      </c>
      <c r="K195" s="14">
        <v>98000</v>
      </c>
      <c r="L195" s="14"/>
    </row>
    <row r="196" spans="10:12" x14ac:dyDescent="0.3">
      <c r="J196" s="4" t="s">
        <v>180</v>
      </c>
      <c r="K196" s="14">
        <v>400000</v>
      </c>
      <c r="L196" s="14"/>
    </row>
    <row r="197" spans="10:12" x14ac:dyDescent="0.3">
      <c r="J197" s="4" t="s">
        <v>296</v>
      </c>
      <c r="K197" s="14">
        <v>300000</v>
      </c>
      <c r="L197" s="14"/>
    </row>
    <row r="198" spans="10:12" x14ac:dyDescent="0.3">
      <c r="J198" s="4" t="s">
        <v>302</v>
      </c>
      <c r="K198" s="14">
        <v>256200</v>
      </c>
      <c r="L198" s="14"/>
    </row>
    <row r="199" spans="10:12" x14ac:dyDescent="0.3">
      <c r="J199" s="4" t="s">
        <v>304</v>
      </c>
      <c r="K199" s="14">
        <v>95000</v>
      </c>
      <c r="L199" s="14"/>
    </row>
    <row r="200" spans="10:12" x14ac:dyDescent="0.3">
      <c r="J200" s="4" t="s">
        <v>28</v>
      </c>
      <c r="K200" s="14">
        <v>8389930</v>
      </c>
      <c r="L200" s="14">
        <v>8258319</v>
      </c>
    </row>
  </sheetData>
  <pageMargins left="0.7" right="0.7" top="0.75" bottom="0.75" header="0.3" footer="0.3"/>
  <pageSetup paperSize="129" orientation="portrait" r:id="rId2"/>
  <drawing r:id="rId3"/>
  <tableParts count="3">
    <tablePart r:id="rId4"/>
    <tablePart r:id="rId5"/>
    <tablePart r:id="rId6"/>
  </tableParts>
  <extLst>
    <ext xmlns:x15="http://schemas.microsoft.com/office/spreadsheetml/2010/11/main" uri="{3A4CF648-6AED-40f4-86FF-DC5316D8AED3}">
      <x14:slicerList xmlns:x14="http://schemas.microsoft.com/office/spreadsheetml/2009/9/main">
        <x14:slicer r:id="rId7"/>
      </x14:slicerList>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EDB14-19DB-4B01-8C13-74C417326C5D}">
  <dimension ref="A1:P56"/>
  <sheetViews>
    <sheetView zoomScale="93" zoomScaleNormal="210" workbookViewId="0">
      <selection activeCell="G6" sqref="G6"/>
    </sheetView>
  </sheetViews>
  <sheetFormatPr defaultRowHeight="14.4" x14ac:dyDescent="0.3"/>
  <cols>
    <col min="1" max="1" width="11.109375" customWidth="1"/>
    <col min="2" max="2" width="15.5546875" customWidth="1"/>
    <col min="3" max="3" width="11.5546875" customWidth="1"/>
    <col min="5" max="5" width="12.33203125" bestFit="1" customWidth="1"/>
    <col min="6" max="6" width="11.33203125" bestFit="1" customWidth="1"/>
    <col min="7" max="7" width="10.33203125" bestFit="1" customWidth="1"/>
    <col min="8" max="8" width="12.33203125" bestFit="1" customWidth="1"/>
    <col min="9" max="9" width="15.77734375" customWidth="1"/>
    <col min="10" max="10" width="14.44140625" bestFit="1" customWidth="1"/>
    <col min="11" max="11" width="13.109375" bestFit="1" customWidth="1"/>
    <col min="12" max="12" width="11.5546875" bestFit="1" customWidth="1"/>
    <col min="13" max="13" width="14.109375" bestFit="1" customWidth="1"/>
  </cols>
  <sheetData>
    <row r="1" spans="1:14" x14ac:dyDescent="0.3">
      <c r="A1" s="2" t="s">
        <v>75</v>
      </c>
      <c r="B1" s="2" t="s">
        <v>123</v>
      </c>
      <c r="C1" s="2" t="s">
        <v>124</v>
      </c>
      <c r="D1" s="8" t="s">
        <v>4</v>
      </c>
      <c r="E1" s="8" t="s">
        <v>125</v>
      </c>
      <c r="F1" s="8" t="s">
        <v>113</v>
      </c>
      <c r="G1" s="8" t="s">
        <v>95</v>
      </c>
      <c r="H1" s="8" t="s">
        <v>18</v>
      </c>
      <c r="I1" s="8" t="s">
        <v>126</v>
      </c>
    </row>
    <row r="2" spans="1:14" x14ac:dyDescent="0.3">
      <c r="A2" s="90">
        <v>45947</v>
      </c>
      <c r="B2" s="87" t="s">
        <v>64</v>
      </c>
      <c r="C2" s="87"/>
      <c r="D2" s="87"/>
      <c r="E2" s="87"/>
      <c r="F2" s="118" t="s">
        <v>118</v>
      </c>
      <c r="G2" s="87">
        <f>SUMIFS(Table14[Debit], Table14[Date], Table8[[#This Row],[Date]], Table14[Party], Table8[[#This Row],[Party]])</f>
        <v>0</v>
      </c>
      <c r="H2" s="87">
        <v>640125</v>
      </c>
      <c r="I2" s="87" t="s">
        <v>188</v>
      </c>
      <c r="K2" t="s">
        <v>75</v>
      </c>
      <c r="L2" t="s">
        <v>45</v>
      </c>
      <c r="M2" t="s">
        <v>36</v>
      </c>
      <c r="N2" t="s">
        <v>5</v>
      </c>
    </row>
    <row r="3" spans="1:14" x14ac:dyDescent="0.3">
      <c r="A3" s="105">
        <v>45947</v>
      </c>
      <c r="B3" s="86" t="s">
        <v>64</v>
      </c>
      <c r="C3" s="86"/>
      <c r="D3" s="86"/>
      <c r="E3" s="86"/>
      <c r="F3" s="86" t="s">
        <v>206</v>
      </c>
      <c r="G3" s="86">
        <f>SUMIFS(Table14[Debit], Table14[Date], Table8[[#This Row],[Date]], Table14[Party], Table8[[#This Row],[Party]])</f>
        <v>0</v>
      </c>
      <c r="H3" s="86">
        <v>0</v>
      </c>
      <c r="I3" s="86"/>
      <c r="K3" s="1"/>
      <c r="L3" t="s">
        <v>127</v>
      </c>
      <c r="N3" s="11">
        <f t="shared" ref="N3" si="0">47000+28750</f>
        <v>75750</v>
      </c>
    </row>
    <row r="4" spans="1:14" x14ac:dyDescent="0.3">
      <c r="A4" s="1">
        <v>45948</v>
      </c>
      <c r="B4" t="s">
        <v>64</v>
      </c>
      <c r="F4" t="s">
        <v>118</v>
      </c>
      <c r="G4">
        <f>SUMIFS(Table14[Debit], Table14[Date], Table8[[#This Row],[Date]], Table14[Party], Table8[[#This Row],[Party]])</f>
        <v>300000</v>
      </c>
      <c r="H4">
        <f>Table8[[#This Row],[Price]]-Table8[[#This Row],[Paid]]</f>
        <v>-300000</v>
      </c>
      <c r="K4" s="1"/>
      <c r="N4" s="11"/>
    </row>
    <row r="5" spans="1:14" x14ac:dyDescent="0.3">
      <c r="A5" s="1">
        <v>45948</v>
      </c>
      <c r="B5" t="s">
        <v>207</v>
      </c>
      <c r="F5" t="s">
        <v>206</v>
      </c>
      <c r="G5">
        <f>SUMIFS(Table14[Debit], Table14[Date], Table8[[#This Row],[Date]], Table14[Party], Table8[[#This Row],[Party]])</f>
        <v>162250</v>
      </c>
      <c r="H5">
        <f>Table8[[#This Row],[Price]]-Table8[[#This Row],[Paid]]</f>
        <v>-162250</v>
      </c>
      <c r="K5" s="1"/>
      <c r="N5" s="14">
        <f>SUM(Table7[Total])</f>
        <v>75750</v>
      </c>
    </row>
    <row r="6" spans="1:14" x14ac:dyDescent="0.3">
      <c r="A6" s="1">
        <v>45955</v>
      </c>
      <c r="F6" t="s">
        <v>118</v>
      </c>
      <c r="G6">
        <f>SUMIFS(Table14[Debit], Table14[Date], Table8[[#This Row],[Date]], Table14[Party], Table8[[#This Row],[Party]])</f>
        <v>100000</v>
      </c>
      <c r="H6">
        <f>Table8[[#This Row],[Price]]-Table8[[#This Row],[Paid]]</f>
        <v>-100000</v>
      </c>
    </row>
    <row r="7" spans="1:14" x14ac:dyDescent="0.3">
      <c r="G7">
        <f>SUMIFS(Table14[Debit], Table14[Date], Table8[[#This Row],[Date]], Table14[Party], Table8[[#This Row],[Party]])</f>
        <v>0</v>
      </c>
      <c r="H7">
        <f>Table8[[#This Row],[Price]]-Table8[[#This Row],[Paid]]</f>
        <v>0</v>
      </c>
      <c r="K7" s="3" t="s">
        <v>113</v>
      </c>
      <c r="L7" t="s">
        <v>118</v>
      </c>
    </row>
    <row r="8" spans="1:14" x14ac:dyDescent="0.3">
      <c r="E8">
        <f>SUBTOTAL(109,Table8[Price])</f>
        <v>0</v>
      </c>
      <c r="H8">
        <f>SUBTOTAL(109,Table8[Balance])</f>
        <v>77875</v>
      </c>
    </row>
    <row r="9" spans="1:14" x14ac:dyDescent="0.3">
      <c r="K9" s="3" t="s">
        <v>6</v>
      </c>
      <c r="L9" t="s">
        <v>130</v>
      </c>
      <c r="M9" t="s">
        <v>131</v>
      </c>
    </row>
    <row r="10" spans="1:14" x14ac:dyDescent="0.3">
      <c r="K10" s="27">
        <v>45947</v>
      </c>
      <c r="M10">
        <v>640125</v>
      </c>
    </row>
    <row r="11" spans="1:14" x14ac:dyDescent="0.3">
      <c r="K11" s="27">
        <v>45948</v>
      </c>
      <c r="M11">
        <v>-300000</v>
      </c>
    </row>
    <row r="12" spans="1:14" x14ac:dyDescent="0.3">
      <c r="K12" s="27">
        <v>45955</v>
      </c>
      <c r="M12">
        <v>-100000</v>
      </c>
    </row>
    <row r="13" spans="1:14" x14ac:dyDescent="0.3">
      <c r="A13" t="s">
        <v>57</v>
      </c>
      <c r="B13" t="s">
        <v>159</v>
      </c>
      <c r="C13" t="s">
        <v>160</v>
      </c>
      <c r="D13" t="s">
        <v>4</v>
      </c>
      <c r="E13" t="s">
        <v>161</v>
      </c>
      <c r="K13" s="4" t="s">
        <v>28</v>
      </c>
      <c r="M13">
        <v>240125</v>
      </c>
    </row>
    <row r="14" spans="1:14" x14ac:dyDescent="0.3">
      <c r="A14" t="s">
        <v>134</v>
      </c>
      <c r="D14">
        <v>1400</v>
      </c>
      <c r="E14">
        <f>Table2325[[#This Row],[boxes]]*Table2325[[#This Row],[kgs]]*Table2325[[#This Row],[Rate]]</f>
        <v>0</v>
      </c>
    </row>
    <row r="15" spans="1:14" x14ac:dyDescent="0.3">
      <c r="A15" t="s">
        <v>132</v>
      </c>
      <c r="D15">
        <v>1340</v>
      </c>
      <c r="E15">
        <f>Table2325[[#This Row],[boxes]]*Table2325[[#This Row],[kgs]]*Table2325[[#This Row],[Rate]]</f>
        <v>0</v>
      </c>
    </row>
    <row r="16" spans="1:14" x14ac:dyDescent="0.3">
      <c r="A16" t="s">
        <v>150</v>
      </c>
      <c r="B16">
        <v>1</v>
      </c>
      <c r="C16">
        <v>25</v>
      </c>
      <c r="D16">
        <v>1140</v>
      </c>
      <c r="E16">
        <f>Table2325[[#This Row],[boxes]]*Table2325[[#This Row],[kgs]]*Table2325[[#This Row],[Rate]]</f>
        <v>28500</v>
      </c>
    </row>
    <row r="17" spans="1:12" x14ac:dyDescent="0.3">
      <c r="A17" t="s">
        <v>129</v>
      </c>
      <c r="D17">
        <v>1140</v>
      </c>
      <c r="E17">
        <f>Table2325[[#This Row],[boxes]]*Table2325[[#This Row],[kgs]]*Table2325[[#This Row],[Rate]]</f>
        <v>0</v>
      </c>
    </row>
    <row r="18" spans="1:12" x14ac:dyDescent="0.3">
      <c r="A18" t="s">
        <v>128</v>
      </c>
      <c r="D18">
        <v>1130</v>
      </c>
      <c r="E18">
        <f>Table2325[[#This Row],[boxes]]*Table2325[[#This Row],[kgs]]*Table2325[[#This Row],[Rate]]</f>
        <v>0</v>
      </c>
    </row>
    <row r="19" spans="1:12" x14ac:dyDescent="0.3">
      <c r="A19" t="s">
        <v>149</v>
      </c>
      <c r="B19">
        <v>1</v>
      </c>
      <c r="C19">
        <v>25</v>
      </c>
      <c r="D19">
        <v>1300</v>
      </c>
      <c r="E19">
        <f>Table2325[[#This Row],[boxes]]*Table2325[[#This Row],[kgs]]*Table2325[[#This Row],[Rate]]</f>
        <v>32500</v>
      </c>
    </row>
    <row r="20" spans="1:12" x14ac:dyDescent="0.3">
      <c r="A20" t="s">
        <v>135</v>
      </c>
      <c r="D20">
        <v>1450</v>
      </c>
      <c r="E20">
        <f>Table2325[[#This Row],[boxes]]*Table2325[[#This Row],[kgs]]*Table2325[[#This Row],[Rate]]</f>
        <v>0</v>
      </c>
    </row>
    <row r="21" spans="1:12" x14ac:dyDescent="0.3">
      <c r="A21" t="s">
        <v>162</v>
      </c>
      <c r="D21">
        <v>940</v>
      </c>
      <c r="E21">
        <f>Table2325[[#This Row],[boxes]]*Table2325[[#This Row],[kgs]]*Table2325[[#This Row],[Rate]]</f>
        <v>0</v>
      </c>
    </row>
    <row r="22" spans="1:12" x14ac:dyDescent="0.3">
      <c r="A22" t="s">
        <v>128</v>
      </c>
      <c r="D22">
        <v>1130</v>
      </c>
      <c r="E22">
        <f>Table2325[[#This Row],[boxes]]*Table2325[[#This Row],[kgs]]*Table2325[[#This Row],[Rate]]</f>
        <v>0</v>
      </c>
    </row>
    <row r="23" spans="1:12" x14ac:dyDescent="0.3">
      <c r="A23" t="s">
        <v>149</v>
      </c>
      <c r="D23">
        <v>1300</v>
      </c>
      <c r="E23">
        <f>Table2325[[#This Row],[boxes]]*Table2325[[#This Row],[kgs]]*Table2325[[#This Row],[Rate]]</f>
        <v>0</v>
      </c>
    </row>
    <row r="24" spans="1:12" x14ac:dyDescent="0.3">
      <c r="A24" t="s">
        <v>136</v>
      </c>
      <c r="B24">
        <v>1</v>
      </c>
      <c r="C24">
        <v>25</v>
      </c>
      <c r="D24">
        <v>1650</v>
      </c>
      <c r="E24">
        <f>Table2325[[#This Row],[boxes]]*Table2325[[#This Row],[kgs]]*Table2325[[#This Row],[Rate]]</f>
        <v>41250</v>
      </c>
    </row>
    <row r="25" spans="1:12" x14ac:dyDescent="0.3">
      <c r="A25" t="s">
        <v>132</v>
      </c>
      <c r="D25">
        <v>1340</v>
      </c>
      <c r="E25">
        <f>Table2325[[#This Row],[boxes]]*Table2325[[#This Row],[kgs]]*Table2325[[#This Row],[Rate]]</f>
        <v>0</v>
      </c>
    </row>
    <row r="26" spans="1:12" x14ac:dyDescent="0.3">
      <c r="A26" t="s">
        <v>135</v>
      </c>
      <c r="B26">
        <v>1</v>
      </c>
      <c r="C26">
        <v>25</v>
      </c>
      <c r="D26">
        <v>1450</v>
      </c>
      <c r="E26">
        <f>Table2325[[#This Row],[boxes]]*Table2325[[#This Row],[kgs]]*Table2325[[#This Row],[Rate]]</f>
        <v>36250</v>
      </c>
    </row>
    <row r="27" spans="1:12" x14ac:dyDescent="0.3">
      <c r="A27" t="s">
        <v>134</v>
      </c>
      <c r="D27">
        <v>1400</v>
      </c>
      <c r="E27">
        <f>Table2325[[#This Row],[boxes]]*Table2325[[#This Row],[kgs]]*Table2325[[#This Row],[Rate]]</f>
        <v>0</v>
      </c>
    </row>
    <row r="28" spans="1:12" x14ac:dyDescent="0.3">
      <c r="A28" t="s">
        <v>163</v>
      </c>
      <c r="D28">
        <v>1000</v>
      </c>
      <c r="E28">
        <f>Table2325[[#This Row],[boxes]]*Table2325[[#This Row],[kgs]]*Table2325[[#This Row],[Rate]]</f>
        <v>0</v>
      </c>
    </row>
    <row r="29" spans="1:12" x14ac:dyDescent="0.3">
      <c r="A29" t="s">
        <v>133</v>
      </c>
      <c r="B29">
        <v>1</v>
      </c>
      <c r="C29">
        <v>25</v>
      </c>
      <c r="D29">
        <v>1650</v>
      </c>
      <c r="E29">
        <f>Table2325[[#This Row],[boxes]]*Table2325[[#This Row],[kgs]]*Table2325[[#This Row],[Rate]]</f>
        <v>41250</v>
      </c>
    </row>
    <row r="30" spans="1:12" x14ac:dyDescent="0.3">
      <c r="A30" t="s">
        <v>117</v>
      </c>
      <c r="D30">
        <v>1130</v>
      </c>
      <c r="E30">
        <f>Table2325[[#This Row],[boxes]]*Table2325[[#This Row],[kgs]]*Table2325[[#This Row],[Rate]]</f>
        <v>0</v>
      </c>
    </row>
    <row r="31" spans="1:12" x14ac:dyDescent="0.3">
      <c r="A31" t="s">
        <v>156</v>
      </c>
      <c r="D31">
        <v>3100</v>
      </c>
      <c r="E31">
        <f>Table2325[[#This Row],[boxes]]*Table2325[[#This Row],[kgs]]*Table2325[[#This Row],[Rate]]</f>
        <v>0</v>
      </c>
    </row>
    <row r="32" spans="1:12" x14ac:dyDescent="0.3">
      <c r="A32" t="s">
        <v>129</v>
      </c>
      <c r="D32">
        <v>1140</v>
      </c>
      <c r="E32">
        <f>Table2325[[#This Row],[boxes]]*Table2325[[#This Row],[kgs]]*Table2325[[#This Row],[Rate]]</f>
        <v>0</v>
      </c>
      <c r="L32" t="s">
        <v>166</v>
      </c>
    </row>
    <row r="33" spans="1:16" x14ac:dyDescent="0.3">
      <c r="A33" t="s">
        <v>150</v>
      </c>
      <c r="D33">
        <v>1140</v>
      </c>
      <c r="E33">
        <f>Table2325[[#This Row],[boxes]]*Table2325[[#This Row],[kgs]]*Table2325[[#This Row],[Rate]]</f>
        <v>0</v>
      </c>
      <c r="L33" t="s">
        <v>57</v>
      </c>
      <c r="M33" t="s">
        <v>159</v>
      </c>
      <c r="N33" t="s">
        <v>160</v>
      </c>
      <c r="O33" t="s">
        <v>4</v>
      </c>
      <c r="P33" t="s">
        <v>161</v>
      </c>
    </row>
    <row r="34" spans="1:16" x14ac:dyDescent="0.3">
      <c r="A34" t="s">
        <v>164</v>
      </c>
      <c r="D34">
        <v>1000</v>
      </c>
      <c r="E34">
        <f>Table2325[[#This Row],[boxes]]*Table2325[[#This Row],[kgs]]*Table2325[[#This Row],[Rate]]</f>
        <v>0</v>
      </c>
      <c r="L34" t="s">
        <v>134</v>
      </c>
      <c r="M34">
        <v>1</v>
      </c>
      <c r="N34">
        <v>25</v>
      </c>
      <c r="O34">
        <v>1400</v>
      </c>
      <c r="P34">
        <v>35000</v>
      </c>
    </row>
    <row r="35" spans="1:16" x14ac:dyDescent="0.3">
      <c r="A35" t="s">
        <v>165</v>
      </c>
      <c r="D35">
        <v>1000</v>
      </c>
      <c r="E35">
        <f>Table2325[[#This Row],[boxes]]*Table2325[[#This Row],[kgs]]*Table2325[[#This Row],[Rate]]</f>
        <v>0</v>
      </c>
      <c r="L35" t="s">
        <v>132</v>
      </c>
      <c r="M35">
        <v>1</v>
      </c>
      <c r="N35">
        <v>25</v>
      </c>
      <c r="O35">
        <v>1340</v>
      </c>
      <c r="P35">
        <v>33500</v>
      </c>
    </row>
    <row r="36" spans="1:16" x14ac:dyDescent="0.3">
      <c r="L36" t="s">
        <v>150</v>
      </c>
      <c r="M36">
        <v>2</v>
      </c>
      <c r="N36">
        <v>50</v>
      </c>
      <c r="O36">
        <v>1140</v>
      </c>
      <c r="P36">
        <v>57000</v>
      </c>
    </row>
    <row r="37" spans="1:16" x14ac:dyDescent="0.3">
      <c r="E37">
        <f>SUM(Table2325[total])</f>
        <v>179750</v>
      </c>
      <c r="L37" t="s">
        <v>129</v>
      </c>
      <c r="M37">
        <v>1</v>
      </c>
      <c r="N37">
        <v>25</v>
      </c>
      <c r="O37">
        <v>1140</v>
      </c>
      <c r="P37">
        <v>28500</v>
      </c>
    </row>
    <row r="38" spans="1:16" x14ac:dyDescent="0.3">
      <c r="L38" t="s">
        <v>128</v>
      </c>
      <c r="M38">
        <v>2</v>
      </c>
      <c r="N38">
        <v>50</v>
      </c>
      <c r="O38">
        <v>1130</v>
      </c>
      <c r="P38">
        <v>56500</v>
      </c>
    </row>
    <row r="39" spans="1:16" x14ac:dyDescent="0.3">
      <c r="L39" t="s">
        <v>149</v>
      </c>
      <c r="M39">
        <v>1</v>
      </c>
      <c r="N39">
        <v>25</v>
      </c>
      <c r="O39">
        <v>1300</v>
      </c>
      <c r="P39">
        <v>32500</v>
      </c>
    </row>
    <row r="40" spans="1:16" x14ac:dyDescent="0.3">
      <c r="L40" t="s">
        <v>135</v>
      </c>
      <c r="M40">
        <v>1</v>
      </c>
      <c r="N40">
        <v>25</v>
      </c>
      <c r="O40">
        <v>1450</v>
      </c>
      <c r="P40">
        <v>36250</v>
      </c>
    </row>
    <row r="41" spans="1:16" x14ac:dyDescent="0.3">
      <c r="L41" t="s">
        <v>162</v>
      </c>
      <c r="N41">
        <v>6</v>
      </c>
      <c r="O41">
        <v>940</v>
      </c>
      <c r="P41">
        <v>5640</v>
      </c>
    </row>
    <row r="42" spans="1:16" x14ac:dyDescent="0.3">
      <c r="L42" t="s">
        <v>128</v>
      </c>
      <c r="N42">
        <v>8</v>
      </c>
      <c r="O42">
        <v>1130</v>
      </c>
      <c r="P42">
        <v>9040</v>
      </c>
    </row>
    <row r="43" spans="1:16" x14ac:dyDescent="0.3">
      <c r="L43" t="s">
        <v>149</v>
      </c>
      <c r="N43">
        <v>10</v>
      </c>
      <c r="O43">
        <v>1300</v>
      </c>
      <c r="P43">
        <v>13000</v>
      </c>
    </row>
    <row r="44" spans="1:16" x14ac:dyDescent="0.3">
      <c r="L44" t="s">
        <v>136</v>
      </c>
      <c r="N44">
        <v>9</v>
      </c>
      <c r="O44">
        <v>1650</v>
      </c>
      <c r="P44">
        <v>14850</v>
      </c>
    </row>
    <row r="45" spans="1:16" x14ac:dyDescent="0.3">
      <c r="L45" t="s">
        <v>132</v>
      </c>
      <c r="N45">
        <v>5</v>
      </c>
      <c r="O45">
        <v>1340</v>
      </c>
      <c r="P45">
        <v>6700</v>
      </c>
    </row>
    <row r="46" spans="1:16" x14ac:dyDescent="0.3">
      <c r="L46" t="s">
        <v>135</v>
      </c>
      <c r="N46">
        <v>20</v>
      </c>
      <c r="O46">
        <v>1450</v>
      </c>
      <c r="P46">
        <v>29000</v>
      </c>
    </row>
    <row r="47" spans="1:16" x14ac:dyDescent="0.3">
      <c r="L47" t="s">
        <v>134</v>
      </c>
      <c r="N47">
        <v>8</v>
      </c>
      <c r="O47">
        <v>1400</v>
      </c>
      <c r="P47">
        <v>11200</v>
      </c>
    </row>
    <row r="48" spans="1:16" x14ac:dyDescent="0.3">
      <c r="L48" t="s">
        <v>163</v>
      </c>
      <c r="N48">
        <v>2</v>
      </c>
      <c r="O48">
        <v>1000</v>
      </c>
      <c r="P48">
        <v>2000</v>
      </c>
    </row>
    <row r="49" spans="12:16" x14ac:dyDescent="0.3">
      <c r="L49" t="s">
        <v>133</v>
      </c>
      <c r="N49">
        <v>20</v>
      </c>
      <c r="O49">
        <v>1650</v>
      </c>
      <c r="P49">
        <v>33000</v>
      </c>
    </row>
    <row r="50" spans="12:16" x14ac:dyDescent="0.3">
      <c r="L50" t="s">
        <v>117</v>
      </c>
      <c r="N50">
        <v>15</v>
      </c>
      <c r="O50">
        <v>1130</v>
      </c>
      <c r="P50">
        <v>16950</v>
      </c>
    </row>
    <row r="51" spans="12:16" x14ac:dyDescent="0.3">
      <c r="L51" t="s">
        <v>156</v>
      </c>
      <c r="N51">
        <v>25</v>
      </c>
      <c r="O51">
        <v>3100</v>
      </c>
      <c r="P51">
        <v>77500</v>
      </c>
    </row>
    <row r="52" spans="12:16" x14ac:dyDescent="0.3">
      <c r="L52" t="s">
        <v>129</v>
      </c>
      <c r="N52">
        <v>10</v>
      </c>
      <c r="O52">
        <v>1140</v>
      </c>
      <c r="P52">
        <v>11400</v>
      </c>
    </row>
    <row r="53" spans="12:16" x14ac:dyDescent="0.3">
      <c r="L53" t="s">
        <v>150</v>
      </c>
      <c r="N53">
        <v>5</v>
      </c>
      <c r="O53">
        <v>1140</v>
      </c>
      <c r="P53">
        <v>5700</v>
      </c>
    </row>
    <row r="54" spans="12:16" x14ac:dyDescent="0.3">
      <c r="L54" t="s">
        <v>164</v>
      </c>
      <c r="N54">
        <v>9</v>
      </c>
      <c r="O54">
        <v>1000</v>
      </c>
      <c r="P54">
        <v>9000</v>
      </c>
    </row>
    <row r="55" spans="12:16" x14ac:dyDescent="0.3">
      <c r="L55" t="s">
        <v>165</v>
      </c>
      <c r="N55">
        <v>10</v>
      </c>
      <c r="O55">
        <v>1000</v>
      </c>
      <c r="P55">
        <v>10000</v>
      </c>
    </row>
    <row r="56" spans="12:16" x14ac:dyDescent="0.3">
      <c r="P56">
        <v>534230</v>
      </c>
    </row>
  </sheetData>
  <pageMargins left="0.7" right="0.7" top="0.75" bottom="0.75" header="0.3" footer="0.3"/>
  <tableParts count="4">
    <tablePart r:id="rId2"/>
    <tablePart r:id="rId3"/>
    <tablePart r:id="rId4"/>
    <tablePart r:id="rId5"/>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D3B8EA-7CD9-455D-A87F-F3555B03CAC4}">
  <dimension ref="A4:M30"/>
  <sheetViews>
    <sheetView topLeftCell="A6" workbookViewId="0">
      <selection activeCell="G67" sqref="G67"/>
    </sheetView>
  </sheetViews>
  <sheetFormatPr defaultRowHeight="14.4" x14ac:dyDescent="0.3"/>
  <cols>
    <col min="1" max="1" width="13.88671875" customWidth="1"/>
    <col min="2" max="2" width="14.109375" customWidth="1"/>
    <col min="3" max="3" width="13" customWidth="1"/>
    <col min="4" max="4" width="10.6640625" bestFit="1" customWidth="1"/>
    <col min="7" max="8" width="12.33203125" bestFit="1" customWidth="1"/>
    <col min="9" max="9" width="11.33203125" bestFit="1" customWidth="1"/>
    <col min="10" max="10" width="12.6640625" bestFit="1" customWidth="1"/>
    <col min="11" max="11" width="11.33203125" bestFit="1" customWidth="1"/>
    <col min="12" max="12" width="10.77734375" bestFit="1" customWidth="1"/>
    <col min="13" max="13" width="13.77734375" bestFit="1" customWidth="1"/>
  </cols>
  <sheetData>
    <row r="4" spans="1:13" x14ac:dyDescent="0.3">
      <c r="A4" s="2" t="s">
        <v>75</v>
      </c>
      <c r="B4" s="8" t="s">
        <v>2</v>
      </c>
      <c r="C4" s="2" t="s">
        <v>137</v>
      </c>
      <c r="D4" s="2" t="s">
        <v>124</v>
      </c>
      <c r="E4" s="8" t="s">
        <v>138</v>
      </c>
      <c r="F4" s="8" t="s">
        <v>125</v>
      </c>
      <c r="G4" s="8" t="s">
        <v>95</v>
      </c>
      <c r="H4" s="8" t="s">
        <v>18</v>
      </c>
      <c r="J4" s="3" t="s">
        <v>6</v>
      </c>
      <c r="K4" t="s">
        <v>130</v>
      </c>
      <c r="L4" t="s">
        <v>104</v>
      </c>
      <c r="M4" t="s">
        <v>131</v>
      </c>
    </row>
    <row r="5" spans="1:13" x14ac:dyDescent="0.3">
      <c r="A5" s="90">
        <v>45947</v>
      </c>
      <c r="B5" s="90" t="s">
        <v>120</v>
      </c>
      <c r="C5" s="87" t="s">
        <v>184</v>
      </c>
      <c r="D5" s="87"/>
      <c r="E5" s="87"/>
      <c r="F5" s="87">
        <f>Table2[[#This Row],[Quantity]]*200*Table2[[#This Row],[Boxes]]</f>
        <v>0</v>
      </c>
      <c r="G5" s="87">
        <f>SUMIFS(Table14[Debit], Table14[Date], Table2[[#This Row],[Date]], Table14[Party], Table2[[#This Row],[Party Name]],Table14[Description],Table2[[#This Row],[Item]])</f>
        <v>0</v>
      </c>
      <c r="H5" s="87">
        <v>353250</v>
      </c>
      <c r="J5" s="4" t="s">
        <v>119</v>
      </c>
      <c r="K5">
        <v>128000</v>
      </c>
      <c r="L5">
        <v>0</v>
      </c>
      <c r="M5">
        <v>123000</v>
      </c>
    </row>
    <row r="6" spans="1:13" x14ac:dyDescent="0.3">
      <c r="A6" s="90">
        <v>45947</v>
      </c>
      <c r="B6" s="90" t="s">
        <v>119</v>
      </c>
      <c r="C6" s="87" t="s">
        <v>184</v>
      </c>
      <c r="D6" s="87"/>
      <c r="E6" s="87"/>
      <c r="F6" s="87">
        <f>Table2[[#This Row],[Quantity]]*200*Table2[[#This Row],[Boxes]]</f>
        <v>0</v>
      </c>
      <c r="G6" s="87">
        <f>SUMIFS(Table14[Debit], Table14[Date], Table2[[#This Row],[Date]], Table14[Party], Table2[[#This Row],[Party Name]],Table14[Description],Table2[[#This Row],[Item]])</f>
        <v>0</v>
      </c>
      <c r="H6" s="87">
        <v>-5000</v>
      </c>
      <c r="J6" s="4" t="s">
        <v>120</v>
      </c>
      <c r="K6">
        <v>0</v>
      </c>
      <c r="L6">
        <v>0</v>
      </c>
      <c r="M6">
        <v>353250</v>
      </c>
    </row>
    <row r="7" spans="1:13" x14ac:dyDescent="0.3">
      <c r="A7" s="90">
        <v>45947</v>
      </c>
      <c r="B7" s="90" t="s">
        <v>168</v>
      </c>
      <c r="C7" s="87" t="s">
        <v>184</v>
      </c>
      <c r="F7">
        <v>0</v>
      </c>
      <c r="G7">
        <v>0</v>
      </c>
      <c r="H7" s="86">
        <v>0</v>
      </c>
      <c r="J7" s="4" t="s">
        <v>168</v>
      </c>
      <c r="K7">
        <v>120000</v>
      </c>
      <c r="L7">
        <v>0</v>
      </c>
      <c r="M7">
        <v>120000</v>
      </c>
    </row>
    <row r="8" spans="1:13" x14ac:dyDescent="0.3">
      <c r="A8" s="1">
        <v>45945</v>
      </c>
      <c r="B8" s="1" t="s">
        <v>119</v>
      </c>
      <c r="C8" t="s">
        <v>169</v>
      </c>
      <c r="D8">
        <v>4</v>
      </c>
      <c r="E8">
        <v>160</v>
      </c>
      <c r="F8">
        <f>Table2[[#This Row],[Quantity]]*200*Table2[[#This Row],[Boxes]]</f>
        <v>128000</v>
      </c>
      <c r="G8">
        <f>SUMIFS(Table14[Debit], Table14[Date], Table2[[#This Row],[Date]], Table14[Party], Table2[[#This Row],[Party Name]],Table14[Description],Table2[[#This Row],[Item]])</f>
        <v>0</v>
      </c>
      <c r="H8">
        <f>Table2[[#This Row],[Price]]-Table2[[#This Row],[Paid]]</f>
        <v>128000</v>
      </c>
      <c r="J8" s="4" t="s">
        <v>28</v>
      </c>
      <c r="K8">
        <v>248000</v>
      </c>
      <c r="L8">
        <v>0</v>
      </c>
      <c r="M8">
        <v>596250</v>
      </c>
    </row>
    <row r="9" spans="1:13" x14ac:dyDescent="0.3">
      <c r="A9" s="1">
        <v>45954</v>
      </c>
      <c r="B9" s="1" t="s">
        <v>168</v>
      </c>
      <c r="C9" t="s">
        <v>169</v>
      </c>
      <c r="D9">
        <v>4</v>
      </c>
      <c r="E9">
        <v>125</v>
      </c>
      <c r="F9">
        <f>Table2[[#This Row],[Quantity]]*240*Table2[[#This Row],[Boxes]]</f>
        <v>120000</v>
      </c>
      <c r="G9">
        <f>SUMIFS(Table14[Debit], Table14[Date], Table2[[#This Row],[Date]], Table14[Party], Table2[[#This Row],[Party Name]],Table14[Description],Table2[[#This Row],[Item]])</f>
        <v>0</v>
      </c>
      <c r="H9">
        <f>Table2[[#This Row],[Price]]-Table2[[#This Row],[Paid]]</f>
        <v>120000</v>
      </c>
    </row>
    <row r="10" spans="1:13" x14ac:dyDescent="0.3">
      <c r="A10" s="1"/>
      <c r="F10">
        <f>SUBTOTAL(109,Table2[Price])</f>
        <v>248000</v>
      </c>
      <c r="G10">
        <f>SUBTOTAL(109,Table2[Paid])</f>
        <v>0</v>
      </c>
      <c r="H10">
        <f>SUBTOTAL(109,Table2[Balance])</f>
        <v>596250</v>
      </c>
    </row>
    <row r="24" spans="9:10" x14ac:dyDescent="0.3">
      <c r="I24" t="s">
        <v>57</v>
      </c>
      <c r="J24" t="s">
        <v>185</v>
      </c>
    </row>
    <row r="25" spans="9:10" x14ac:dyDescent="0.3">
      <c r="I25" t="s">
        <v>61</v>
      </c>
      <c r="J25">
        <f>7750*16</f>
        <v>124000</v>
      </c>
    </row>
    <row r="26" spans="9:10" x14ac:dyDescent="0.3">
      <c r="I26" t="s">
        <v>61</v>
      </c>
      <c r="J26">
        <f>353250</f>
        <v>353250</v>
      </c>
    </row>
    <row r="27" spans="9:10" x14ac:dyDescent="0.3">
      <c r="I27" t="s">
        <v>167</v>
      </c>
      <c r="J27">
        <f>(82000/3)*2</f>
        <v>54666.666666666664</v>
      </c>
    </row>
    <row r="30" spans="9:10" x14ac:dyDescent="0.3">
      <c r="I30" t="s">
        <v>161</v>
      </c>
      <c r="J30">
        <f>SUM(J25:J27)</f>
        <v>531916.66666666663</v>
      </c>
    </row>
  </sheetData>
  <phoneticPr fontId="4" type="noConversion"/>
  <pageMargins left="0.7" right="0.7" top="0.75" bottom="0.75" header="0.3" footer="0.3"/>
  <pageSetup scale="0" firstPageNumber="0" fitToWidth="0" fitToHeight="0" orientation="portrait" horizontalDpi="0" verticalDpi="0" copies="0"/>
  <drawing r:id="rId2"/>
  <tableParts count="1">
    <tablePart r:id="rId3"/>
  </tableParts>
  <extLst>
    <ext xmlns:x15="http://schemas.microsoft.com/office/spreadsheetml/2010/11/main" uri="{3A4CF648-6AED-40f4-86FF-DC5316D8AED3}">
      <x14:slicerList xmlns:x14="http://schemas.microsoft.com/office/spreadsheetml/2009/9/main">
        <x14:slicer r:id="rId4"/>
      </x14:slicerList>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517EB1-FAC4-4151-BC54-C60611322E2D}">
  <dimension ref="B2:E3"/>
  <sheetViews>
    <sheetView workbookViewId="0">
      <selection activeCell="B4" sqref="B4"/>
    </sheetView>
  </sheetViews>
  <sheetFormatPr defaultRowHeight="14.4" x14ac:dyDescent="0.3"/>
  <cols>
    <col min="3" max="3" width="12.33203125" customWidth="1"/>
    <col min="5" max="5" width="11.44140625" bestFit="1" customWidth="1"/>
  </cols>
  <sheetData>
    <row r="2" spans="2:5" x14ac:dyDescent="0.3">
      <c r="B2" t="s">
        <v>75</v>
      </c>
      <c r="C2" t="s">
        <v>139</v>
      </c>
      <c r="D2" t="s">
        <v>140</v>
      </c>
      <c r="E2" t="s">
        <v>5</v>
      </c>
    </row>
    <row r="3" spans="2:5" x14ac:dyDescent="0.3">
      <c r="B3" s="19" t="s">
        <v>186</v>
      </c>
      <c r="C3" s="19" t="s">
        <v>100</v>
      </c>
      <c r="D3" s="19" t="s">
        <v>100</v>
      </c>
      <c r="E3" s="20"/>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CFBF89-1A2A-4F2E-9BAA-643F24136016}">
  <dimension ref="B2:E6"/>
  <sheetViews>
    <sheetView workbookViewId="0">
      <selection activeCell="C4" sqref="C4"/>
    </sheetView>
  </sheetViews>
  <sheetFormatPr defaultRowHeight="14.4" x14ac:dyDescent="0.3"/>
  <cols>
    <col min="2" max="2" width="16.21875" customWidth="1"/>
    <col min="3" max="3" width="12.5546875" customWidth="1"/>
    <col min="4" max="4" width="13.33203125" customWidth="1"/>
    <col min="5" max="5" width="15.5546875" customWidth="1"/>
  </cols>
  <sheetData>
    <row r="2" spans="2:5" x14ac:dyDescent="0.3">
      <c r="B2" t="s">
        <v>75</v>
      </c>
      <c r="C2" t="s">
        <v>45</v>
      </c>
      <c r="D2" t="s">
        <v>46</v>
      </c>
      <c r="E2" t="s">
        <v>66</v>
      </c>
    </row>
    <row r="3" spans="2:5" x14ac:dyDescent="0.3">
      <c r="B3" s="1"/>
      <c r="D3" s="11"/>
    </row>
    <row r="4" spans="2:5" x14ac:dyDescent="0.3">
      <c r="D4" s="11"/>
    </row>
    <row r="5" spans="2:5" x14ac:dyDescent="0.3">
      <c r="D5" s="11"/>
    </row>
    <row r="6" spans="2:5" x14ac:dyDescent="0.3">
      <c r="B6" t="s">
        <v>5</v>
      </c>
      <c r="D6" s="14">
        <f>SUBTOTAL(109,Table210[Amount])</f>
        <v>0</v>
      </c>
      <c r="E6">
        <f>SUBTOTAL(103,Table210[Column1])</f>
        <v>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AA2331-540A-4BE5-B987-3C6225CFE23F}">
  <dimension ref="B2:O37"/>
  <sheetViews>
    <sheetView topLeftCell="A10" zoomScale="118" workbookViewId="0">
      <selection activeCell="G9" sqref="G9"/>
    </sheetView>
  </sheetViews>
  <sheetFormatPr defaultRowHeight="14.4" x14ac:dyDescent="0.3"/>
  <cols>
    <col min="2" max="2" width="12.33203125" customWidth="1"/>
    <col min="3" max="3" width="11.33203125" customWidth="1"/>
    <col min="4" max="4" width="10.44140625" bestFit="1" customWidth="1"/>
    <col min="8" max="8" width="14" customWidth="1"/>
    <col min="9" max="9" width="10" customWidth="1"/>
    <col min="10" max="10" width="13.33203125" customWidth="1"/>
  </cols>
  <sheetData>
    <row r="2" spans="2:15" x14ac:dyDescent="0.3">
      <c r="B2" t="s">
        <v>75</v>
      </c>
      <c r="C2" t="s">
        <v>46</v>
      </c>
      <c r="D2" t="s">
        <v>66</v>
      </c>
      <c r="E2" t="s">
        <v>67</v>
      </c>
      <c r="H2" t="s">
        <v>75</v>
      </c>
      <c r="I2" t="s">
        <v>141</v>
      </c>
      <c r="J2" t="s">
        <v>142</v>
      </c>
    </row>
    <row r="3" spans="2:15" x14ac:dyDescent="0.3">
      <c r="B3" s="1">
        <v>45947</v>
      </c>
      <c r="C3" s="20">
        <f>SUMIFS(Table14[Debit], Table14[Date], Table11[[#This Row],[Date]], Table14[Party],"Salary ", Table14[Description],Table11[[#This Row],[Column1]])</f>
        <v>0</v>
      </c>
      <c r="H3" s="1">
        <v>45947</v>
      </c>
      <c r="I3">
        <f>SUMIFS(Table14[Debit], Table14[Date], Table16[[#This Row],[Date]], Table14[Party], "Advance Salary", Table14[Description], Table16[[#This Row],[Person]] )</f>
        <v>0</v>
      </c>
      <c r="M3" t="s">
        <v>175</v>
      </c>
      <c r="N3" t="s">
        <v>176</v>
      </c>
    </row>
    <row r="4" spans="2:15" x14ac:dyDescent="0.3">
      <c r="B4" s="1">
        <v>45948</v>
      </c>
      <c r="C4" s="20">
        <f>SUMIFS(Table14[Debit], Table14[Date], Table11[[#This Row],[Date]], Table14[Party],"Salary", Table14[Description],Table11[[#This Row],[Column1]])</f>
        <v>3750</v>
      </c>
      <c r="D4" t="s">
        <v>196</v>
      </c>
      <c r="H4" s="1">
        <v>45948</v>
      </c>
      <c r="I4">
        <f>SUMIFS(Table14[Debit], Table14[Date], Table16[[#This Row],[Date]], Table14[Party], "Advance Salary", Table14[Description], Table16[[#This Row],[Person]] )</f>
        <v>10000</v>
      </c>
      <c r="J4" t="s">
        <v>171</v>
      </c>
      <c r="N4" t="s">
        <v>177</v>
      </c>
    </row>
    <row r="5" spans="2:15" x14ac:dyDescent="0.3">
      <c r="B5" s="1">
        <v>45949</v>
      </c>
      <c r="C5" s="20">
        <f>SUMIFS(Table14[Debit], Table14[Date], Table11[[#This Row],[Date]], Table14[Party],"Salary", Table14[Description],Table11[[#This Row],[Column1]])</f>
        <v>0</v>
      </c>
      <c r="H5" s="1">
        <v>45949</v>
      </c>
      <c r="I5">
        <f>SUMIFS(Table14[Debit], Table14[Date], Table16[[#This Row],[Date]], Table14[Party], "Advance Salary", Table14[Description], Table16[[#This Row],[Person]] )</f>
        <v>0</v>
      </c>
      <c r="N5" t="s">
        <v>178</v>
      </c>
      <c r="O5" t="s">
        <v>179</v>
      </c>
    </row>
    <row r="6" spans="2:15" x14ac:dyDescent="0.3">
      <c r="B6" s="1">
        <v>45950</v>
      </c>
      <c r="C6" s="20">
        <f>SUMIFS(Table14[Debit], Table14[Date], Table11[[#This Row],[Date]], Table14[Party],"Salary", Table14[Description],Table11[[#This Row],[Column1]])</f>
        <v>0</v>
      </c>
      <c r="H6" s="1">
        <v>45950</v>
      </c>
      <c r="I6">
        <f>SUMIFS(Table14[Debit], Table14[Date], Table16[[#This Row],[Date]], Table14[Party], "Advance Salary", Table14[Description], Table16[[#This Row],[Person]] )</f>
        <v>0</v>
      </c>
    </row>
    <row r="7" spans="2:15" x14ac:dyDescent="0.3">
      <c r="B7" s="1">
        <v>45951</v>
      </c>
      <c r="C7" s="20">
        <f>SUMIFS(Table14[Debit], Table14[Date], Table11[[#This Row],[Date]], Table14[Party],"Salary", Table14[Description],Table11[[#This Row],[Column1]])</f>
        <v>0</v>
      </c>
      <c r="H7" s="1">
        <v>45951</v>
      </c>
      <c r="I7">
        <f>SUMIFS(Table14[Debit], Table14[Date], Table16[[#This Row],[Date]], Table14[Party], "Advance Salary", Table14[Description], Table16[[#This Row],[Person]] )</f>
        <v>0</v>
      </c>
    </row>
    <row r="8" spans="2:15" x14ac:dyDescent="0.3">
      <c r="B8" s="1">
        <v>45952</v>
      </c>
      <c r="C8" s="20">
        <f>SUMIFS(Table14[Debit], Table14[Date], Table11[[#This Row],[Date]], Table14[Party],"Salary", Table14[Description],Table11[[#This Row],[Column1]])</f>
        <v>0</v>
      </c>
      <c r="H8" s="1">
        <v>45952</v>
      </c>
      <c r="I8">
        <f>SUMIFS(Table14[Debit], Table14[Date], Table16[[#This Row],[Date]], Table14[Party], "Advance Salary", Table14[Description], Table16[[#This Row],[Person]] )</f>
        <v>0</v>
      </c>
    </row>
    <row r="9" spans="2:15" x14ac:dyDescent="0.3">
      <c r="B9" s="1">
        <v>45953</v>
      </c>
      <c r="C9" s="20">
        <f>SUMIFS(Table14[Debit], Table14[Date], Table11[[#This Row],[Date]], Table14[Party],"Salary", Table14[Description],Table11[[#This Row],[Column1]])</f>
        <v>0</v>
      </c>
      <c r="H9" s="1">
        <v>45953</v>
      </c>
      <c r="I9">
        <f>SUMIFS(Table14[Debit], Table14[Date], Table16[[#This Row],[Date]], Table14[Party], "Advance Salary", Table14[Description], Table16[[#This Row],[Person]] )</f>
        <v>0</v>
      </c>
    </row>
    <row r="10" spans="2:15" x14ac:dyDescent="0.3">
      <c r="B10" s="1">
        <v>45954</v>
      </c>
      <c r="C10" s="20">
        <f>SUMIFS(Table14[Debit], Table14[Date], Table11[[#This Row],[Date]], Table14[Party],"Salary", Table14[Description],Table11[[#This Row],[Column1]])</f>
        <v>5000</v>
      </c>
      <c r="D10" t="s">
        <v>270</v>
      </c>
      <c r="H10" s="1">
        <v>45954</v>
      </c>
      <c r="I10">
        <f>SUMIFS(Table14[Debit], Table14[Date], Table16[[#This Row],[Date]], Table14[Party], "Advance Salary", Table14[Description], Table16[[#This Row],[Person]] )</f>
        <v>0</v>
      </c>
    </row>
    <row r="11" spans="2:15" x14ac:dyDescent="0.3">
      <c r="B11" s="1">
        <v>45955</v>
      </c>
      <c r="C11" s="20">
        <f>SUMIFS(Table14[Debit], Table14[Date], Table11[[#This Row],[Date]], Table14[Party],"Salary", Table14[Description],Table11[[#This Row],[Column1]])</f>
        <v>0</v>
      </c>
      <c r="H11" s="1">
        <v>45955</v>
      </c>
      <c r="I11">
        <f>SUMIFS(Table14[Debit], Table14[Date], Table16[[#This Row],[Date]], Table14[Party], "Advance Salary", Table14[Description], Table16[[#This Row],[Person]] )</f>
        <v>0</v>
      </c>
    </row>
    <row r="12" spans="2:15" x14ac:dyDescent="0.3">
      <c r="B12" s="1">
        <v>45956</v>
      </c>
      <c r="C12" s="20">
        <f>SUMIFS(Table14[Debit], Table14[Date], Table11[[#This Row],[Date]], Table14[Party],"Salary", Table14[Description],Table11[[#This Row],[Column1]])</f>
        <v>0</v>
      </c>
      <c r="H12" s="1">
        <v>45956</v>
      </c>
      <c r="I12">
        <f>SUMIFS(Table14[Debit], Table14[Date], Table16[[#This Row],[Date]], Table14[Party], "Advance Salary", Table14[Description], Table16[[#This Row],[Person]] )</f>
        <v>0</v>
      </c>
    </row>
    <row r="13" spans="2:15" x14ac:dyDescent="0.3">
      <c r="B13" s="1">
        <v>45957</v>
      </c>
      <c r="C13" s="20">
        <f>SUMIFS(Table14[Debit], Table14[Date], Table11[[#This Row],[Date]], Table14[Party],"Salary", Table14[Description],Table11[[#This Row],[Column1]])</f>
        <v>5000</v>
      </c>
      <c r="D13" t="s">
        <v>270</v>
      </c>
      <c r="H13" s="1">
        <v>45957</v>
      </c>
      <c r="I13">
        <f>SUMIFS(Table14[Debit], Table14[Date], Table16[[#This Row],[Date]], Table14[Party], "Advance Salary", Table14[Description], Table16[[#This Row],[Person]] )</f>
        <v>0</v>
      </c>
    </row>
    <row r="14" spans="2:15" x14ac:dyDescent="0.3">
      <c r="B14" s="1">
        <v>45958</v>
      </c>
      <c r="C14" s="20">
        <f>SUMIFS(Table14[Debit], Table14[Date], Table11[[#This Row],[Date]], Table14[Party],"Salary", Table14[Description],Table11[[#This Row],[Column1]])</f>
        <v>25000</v>
      </c>
      <c r="D14" t="s">
        <v>270</v>
      </c>
      <c r="H14" s="1">
        <v>45958</v>
      </c>
      <c r="I14">
        <f>SUMIFS(Table14[Debit], Table14[Date], Table16[[#This Row],[Date]], Table14[Party], "Advance Salary", Table14[Description], Table16[[#This Row],[Person]] )</f>
        <v>1500</v>
      </c>
      <c r="J14" t="s">
        <v>317</v>
      </c>
    </row>
    <row r="15" spans="2:15" x14ac:dyDescent="0.3">
      <c r="B15" s="1">
        <v>45959</v>
      </c>
      <c r="C15" s="20">
        <f>SUMIFS(Table14[Debit], Table14[Date], Table11[[#This Row],[Date]], Table14[Party],"Salary", Table14[Description],Table11[[#This Row],[Column1]])</f>
        <v>0</v>
      </c>
      <c r="H15" s="1">
        <v>45959</v>
      </c>
      <c r="I15">
        <f>SUMIFS(Table14[Debit], Table14[Date], Table16[[#This Row],[Date]], Table14[Party], "Advance Salary", Table14[Description], Table16[[#This Row],[Person]] )</f>
        <v>0</v>
      </c>
    </row>
    <row r="16" spans="2:15" x14ac:dyDescent="0.3">
      <c r="B16" s="1">
        <v>45960</v>
      </c>
      <c r="C16" s="20">
        <f>SUMIFS(Table14[Debit], Table14[Date], Table11[[#This Row],[Date]], Table14[Party],"Salary", Table14[Description],Table11[[#This Row],[Column1]])</f>
        <v>0</v>
      </c>
      <c r="H16" s="1">
        <v>45960</v>
      </c>
      <c r="I16">
        <f>SUMIFS(Table14[Debit], Table14[Date], Table16[[#This Row],[Date]], Table14[Party], "Advance Salary", Table14[Description], Table16[[#This Row],[Person]] )</f>
        <v>0</v>
      </c>
    </row>
    <row r="17" spans="2:9" x14ac:dyDescent="0.3">
      <c r="B17" s="1">
        <v>45961</v>
      </c>
      <c r="C17" s="20">
        <f>SUMIFS(Table14[Debit], Table14[Date], Table11[[#This Row],[Date]], Table14[Party],"Salary", Table14[Description],Table11[[#This Row],[Column1]])</f>
        <v>0</v>
      </c>
      <c r="H17" s="1">
        <v>45961</v>
      </c>
      <c r="I17">
        <f>SUMIFS(Table14[Debit], Table14[Date], Table16[[#This Row],[Date]], Table14[Party], "Advance Salary", Table14[Description], Table16[[#This Row],[Person]] )</f>
        <v>0</v>
      </c>
    </row>
    <row r="18" spans="2:9" x14ac:dyDescent="0.3">
      <c r="B18" s="1">
        <v>45962</v>
      </c>
      <c r="C18" s="20">
        <f>SUMIFS(Table14[Debit], Table14[Date], Table11[[#This Row],[Date]], Table14[Party],"Salary", Table14[Description],Table11[[#This Row],[Column1]])</f>
        <v>0</v>
      </c>
      <c r="H18" s="1">
        <v>45962</v>
      </c>
      <c r="I18">
        <f>SUMIFS(Table14[Debit], Table14[Date], Table16[[#This Row],[Date]], Table14[Party], "Advance Salary", Table14[Description], Table16[[#This Row],[Person]] )</f>
        <v>0</v>
      </c>
    </row>
    <row r="19" spans="2:9" x14ac:dyDescent="0.3">
      <c r="B19" s="1">
        <v>45963</v>
      </c>
      <c r="C19" s="20">
        <f>SUMIFS(Table14[Debit], Table14[Date], Table11[[#This Row],[Date]], Table14[Party],"Salary", Table14[Description],Table11[[#This Row],[Column1]])</f>
        <v>0</v>
      </c>
      <c r="H19" s="1">
        <v>45963</v>
      </c>
      <c r="I19">
        <f>SUMIFS(Table14[Debit], Table14[Date], Table16[[#This Row],[Date]], Table14[Party], "Advance Salary", Table14[Description], Table16[[#This Row],[Person]] )</f>
        <v>0</v>
      </c>
    </row>
    <row r="20" spans="2:9" x14ac:dyDescent="0.3">
      <c r="B20" s="1">
        <v>45964</v>
      </c>
      <c r="C20" s="20">
        <f>SUMIFS(Table14[Debit], Table14[Date], Table11[[#This Row],[Date]], Table14[Party],"Salary", Table14[Description],Table11[[#This Row],[Column1]])</f>
        <v>0</v>
      </c>
      <c r="H20" s="1">
        <v>45964</v>
      </c>
      <c r="I20">
        <f>SUMIFS(Table14[Debit], Table14[Date], Table16[[#This Row],[Date]], Table14[Party], "Advance Salary", Table14[Description], Table16[[#This Row],[Person]] )</f>
        <v>0</v>
      </c>
    </row>
    <row r="21" spans="2:9" x14ac:dyDescent="0.3">
      <c r="B21" s="1">
        <v>45965</v>
      </c>
      <c r="C21" s="20">
        <f>SUMIFS(Table14[Debit], Table14[Date], Table11[[#This Row],[Date]], Table14[Party],"Salary", Table14[Description],Table11[[#This Row],[Column1]])</f>
        <v>0</v>
      </c>
      <c r="H21" s="1">
        <v>45965</v>
      </c>
      <c r="I21">
        <f>SUMIFS(Table14[Debit], Table14[Date], Table16[[#This Row],[Date]], Table14[Party], "Advance Salary", Table14[Description], Table16[[#This Row],[Person]] )</f>
        <v>0</v>
      </c>
    </row>
    <row r="22" spans="2:9" x14ac:dyDescent="0.3">
      <c r="B22" s="1">
        <v>45966</v>
      </c>
      <c r="C22" s="20">
        <f>SUMIFS(Table14[Debit], Table14[Date], Table11[[#This Row],[Date]], Table14[Party],"Salary", Table14[Description],Table11[[#This Row],[Column1]])</f>
        <v>0</v>
      </c>
      <c r="H22" s="1">
        <v>45966</v>
      </c>
      <c r="I22">
        <f>SUMIFS(Table14[Debit], Table14[Date], Table16[[#This Row],[Date]], Table14[Party], "Advance Salary", Table14[Description], Table16[[#This Row],[Person]] )</f>
        <v>0</v>
      </c>
    </row>
    <row r="23" spans="2:9" x14ac:dyDescent="0.3">
      <c r="B23" s="1">
        <v>45967</v>
      </c>
      <c r="C23" s="20">
        <f>SUMIFS(Table14[Debit], Table14[Date], Table11[[#This Row],[Date]], Table14[Party],"Salary", Table14[Description],Table11[[#This Row],[Column1]])</f>
        <v>0</v>
      </c>
      <c r="H23" s="1">
        <v>45967</v>
      </c>
      <c r="I23">
        <f>SUMIFS(Table14[Debit], Table14[Date], Table16[[#This Row],[Date]], Table14[Party], "Advance Salary", Table14[Description], Table16[[#This Row],[Person]] )</f>
        <v>0</v>
      </c>
    </row>
    <row r="24" spans="2:9" x14ac:dyDescent="0.3">
      <c r="B24" s="1">
        <v>45968</v>
      </c>
      <c r="C24" s="20">
        <f>SUMIFS(Table14[Debit], Table14[Date], Table11[[#This Row],[Date]], Table14[Party],"Salary", Table14[Description],Table11[[#This Row],[Column1]])</f>
        <v>0</v>
      </c>
      <c r="H24" s="1">
        <v>45968</v>
      </c>
      <c r="I24">
        <f>SUMIFS(Table14[Debit], Table14[Date], Table16[[#This Row],[Date]], Table14[Party], "Advance Salary", Table14[Description], Table16[[#This Row],[Person]] )</f>
        <v>0</v>
      </c>
    </row>
    <row r="25" spans="2:9" x14ac:dyDescent="0.3">
      <c r="B25" s="1">
        <v>45969</v>
      </c>
      <c r="C25" s="20">
        <f>SUMIFS(Table14[Debit], Table14[Date], Table11[[#This Row],[Date]], Table14[Party],"Salary", Table14[Description],Table11[[#This Row],[Column1]])</f>
        <v>0</v>
      </c>
      <c r="H25" s="1">
        <v>45969</v>
      </c>
      <c r="I25">
        <f>SUMIFS(Table14[Debit], Table14[Date], Table16[[#This Row],[Date]], Table14[Party], "Advance Salary", Table14[Description], Table16[[#This Row],[Person]] )</f>
        <v>0</v>
      </c>
    </row>
    <row r="26" spans="2:9" x14ac:dyDescent="0.3">
      <c r="B26" s="1">
        <v>45970</v>
      </c>
      <c r="C26" s="20">
        <f>SUMIFS(Table14[Debit], Table14[Date], Table11[[#This Row],[Date]], Table14[Party],"Salary", Table14[Description],Table11[[#This Row],[Column1]])</f>
        <v>0</v>
      </c>
      <c r="H26" s="1">
        <v>45970</v>
      </c>
      <c r="I26">
        <f>SUMIFS(Table14[Debit], Table14[Date], Table16[[#This Row],[Date]], Table14[Party], "Advance Salary", Table14[Description], Table16[[#This Row],[Person]] )</f>
        <v>0</v>
      </c>
    </row>
    <row r="27" spans="2:9" x14ac:dyDescent="0.3">
      <c r="B27" s="1">
        <v>45971</v>
      </c>
      <c r="C27" s="20">
        <f>SUMIFS(Table14[Debit], Table14[Date], Table11[[#This Row],[Date]], Table14[Party],"Salary", Table14[Description],Table11[[#This Row],[Column1]])</f>
        <v>0</v>
      </c>
      <c r="H27" s="1">
        <v>45971</v>
      </c>
      <c r="I27">
        <f>SUMIFS(Table14[Debit], Table14[Date], Table16[[#This Row],[Date]], Table14[Party], "Advance Salary", Table14[Description], Table16[[#This Row],[Person]] )</f>
        <v>0</v>
      </c>
    </row>
    <row r="28" spans="2:9" x14ac:dyDescent="0.3">
      <c r="B28" s="1">
        <v>45972</v>
      </c>
      <c r="C28" s="20">
        <f>SUMIFS(Table14[Debit], Table14[Date], Table11[[#This Row],[Date]], Table14[Party],"Salary", Table14[Description],Table11[[#This Row],[Column1]])</f>
        <v>0</v>
      </c>
      <c r="H28" s="1">
        <v>45972</v>
      </c>
      <c r="I28">
        <f>SUMIFS(Table14[Debit], Table14[Date], Table16[[#This Row],[Date]], Table14[Party], "Advance Salary", Table14[Description], Table16[[#This Row],[Person]] )</f>
        <v>0</v>
      </c>
    </row>
    <row r="29" spans="2:9" x14ac:dyDescent="0.3">
      <c r="B29" s="1">
        <v>45973</v>
      </c>
      <c r="C29" s="20">
        <f>SUMIFS(Table14[Debit], Table14[Date], Table11[[#This Row],[Date]], Table14[Party],"Salary", Table14[Description],Table11[[#This Row],[Column1]])</f>
        <v>0</v>
      </c>
      <c r="H29" s="1">
        <v>45973</v>
      </c>
      <c r="I29">
        <f>SUMIFS(Table14[Debit], Table14[Date], Table16[[#This Row],[Date]], Table14[Party], "Advance Salary", Table14[Description], Table16[[#This Row],[Person]] )</f>
        <v>0</v>
      </c>
    </row>
    <row r="30" spans="2:9" x14ac:dyDescent="0.3">
      <c r="B30" s="1">
        <v>45974</v>
      </c>
      <c r="C30" s="20">
        <f>SUMIFS(Table14[Debit], Table14[Date], Table11[[#This Row],[Date]], Table14[Party],"Salary", Table14[Description],Table11[[#This Row],[Column1]])</f>
        <v>0</v>
      </c>
      <c r="H30" s="1">
        <v>45974</v>
      </c>
      <c r="I30">
        <f>SUMIFS(Table14[Debit], Table14[Date], Table16[[#This Row],[Date]], Table14[Party], "Advance Salary", Table14[Description], Table16[[#This Row],[Person]] )</f>
        <v>0</v>
      </c>
    </row>
    <row r="31" spans="2:9" x14ac:dyDescent="0.3">
      <c r="B31" s="1">
        <v>45975</v>
      </c>
      <c r="C31" s="20">
        <f>SUMIFS(Table14[Debit], Table14[Date], Table11[[#This Row],[Date]], Table14[Party],"Salary", Table14[Description],Table11[[#This Row],[Column1]])</f>
        <v>0</v>
      </c>
      <c r="H31" s="1">
        <v>45975</v>
      </c>
      <c r="I31">
        <f>SUMIFS(Table14[Debit], Table14[Date], Table16[[#This Row],[Date]], Table14[Party], "Advance Salary", Table14[Description], Table16[[#This Row],[Person]] )</f>
        <v>0</v>
      </c>
    </row>
    <row r="32" spans="2:9" x14ac:dyDescent="0.3">
      <c r="B32" s="1">
        <v>45976</v>
      </c>
      <c r="C32" s="20">
        <f>SUMIFS(Table14[Debit], Table14[Date], Table11[[#This Row],[Date]], Table14[Party],"Salary", Table14[Description],Table11[[#This Row],[Column1]])</f>
        <v>0</v>
      </c>
      <c r="H32" s="1">
        <v>45976</v>
      </c>
      <c r="I32">
        <f>SUMIFS(Table14[Debit], Table14[Date], Table16[[#This Row],[Date]], Table14[Party], "Advance Salary", Table14[Description], Table16[[#This Row],[Person]] )</f>
        <v>0</v>
      </c>
    </row>
    <row r="33" spans="2:9" x14ac:dyDescent="0.3">
      <c r="B33" s="1">
        <v>45977</v>
      </c>
      <c r="C33" s="20">
        <f>SUMIFS(Table14[Debit], Table14[Date], Table11[[#This Row],[Date]], Table14[Party],"Salary", Table14[Description],Table11[[#This Row],[Column1]])</f>
        <v>0</v>
      </c>
      <c r="H33" s="1">
        <v>45977</v>
      </c>
      <c r="I33">
        <f>SUMIFS(Table14[Debit], Table14[Date], Table16[[#This Row],[Date]], Table14[Party], "Advance Salary", Table14[Description], Table16[[#This Row],[Person]] )</f>
        <v>0</v>
      </c>
    </row>
    <row r="34" spans="2:9" x14ac:dyDescent="0.3">
      <c r="B34" s="1">
        <v>45978</v>
      </c>
      <c r="C34" s="20">
        <f>SUMIFS(Table14[Debit], Table14[Date], Table11[[#This Row],[Date]], Table14[Party],"Salary", Table14[Description],Table11[[#This Row],[Column1]])</f>
        <v>0</v>
      </c>
      <c r="H34" s="1">
        <v>45978</v>
      </c>
      <c r="I34">
        <f>SUMIFS(Table14[Debit], Table14[Date], Table16[[#This Row],[Date]], Table14[Party], "Advance Salary", Table14[Description], Table16[[#This Row],[Person]] )</f>
        <v>0</v>
      </c>
    </row>
    <row r="35" spans="2:9" x14ac:dyDescent="0.3">
      <c r="B35" s="1">
        <v>45979</v>
      </c>
      <c r="C35" s="20">
        <f>SUMIFS(Table14[Debit], Table14[Date], Table11[[#This Row],[Date]], Table14[Party],"Salary", Table14[Description],Table11[[#This Row],[Column1]])</f>
        <v>0</v>
      </c>
      <c r="H35" s="1">
        <v>45979</v>
      </c>
      <c r="I35">
        <f>SUMIFS(Table14[Debit], Table14[Date], Table16[[#This Row],[Date]], Table14[Party], "Advance Salary", Table14[Description], Table16[[#This Row],[Person]] )</f>
        <v>0</v>
      </c>
    </row>
    <row r="36" spans="2:9" x14ac:dyDescent="0.3">
      <c r="B36" s="1">
        <v>45980</v>
      </c>
      <c r="C36" s="20">
        <f>SUMIFS(Table14[Debit], Table14[Date], Table11[[#This Row],[Date]], Table14[Party],"Salary", Table14[Description],Table11[[#This Row],[Column1]])</f>
        <v>0</v>
      </c>
      <c r="H36" s="1"/>
      <c r="I36">
        <f>SUBTOTAL(109,Table16[Advance])</f>
        <v>11500</v>
      </c>
    </row>
    <row r="37" spans="2:9" x14ac:dyDescent="0.3">
      <c r="B37" s="1"/>
      <c r="C37" s="26">
        <f>SUM(Table11[Amount])</f>
        <v>38750</v>
      </c>
    </row>
  </sheetData>
  <phoneticPr fontId="4" type="noConversion"/>
  <pageMargins left="0.7" right="0.7" top="0.75" bottom="0.75" header="0.3" footer="0.3"/>
  <pageSetup orientation="portrait" r:id="rId1"/>
  <drawing r:id="rId2"/>
  <tableParts count="2">
    <tablePart r:id="rId3"/>
    <tablePart r:id="rId4"/>
  </tableParts>
  <extLst>
    <ext xmlns:x15="http://schemas.microsoft.com/office/spreadsheetml/2010/11/main" uri="{3A4CF648-6AED-40f4-86FF-DC5316D8AED3}">
      <x14:slicerList xmlns:x14="http://schemas.microsoft.com/office/spreadsheetml/2009/9/main">
        <x14:slicer r:id="rId5"/>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29A8C4-D49C-464B-A701-37B1759EDEA7}">
  <dimension ref="A1:L119"/>
  <sheetViews>
    <sheetView topLeftCell="A3" zoomScale="90" workbookViewId="0">
      <selection activeCell="K91" sqref="K91"/>
    </sheetView>
  </sheetViews>
  <sheetFormatPr defaultRowHeight="14.4" x14ac:dyDescent="0.3"/>
  <cols>
    <col min="1" max="1" width="20.5546875" bestFit="1" customWidth="1"/>
    <col min="2" max="2" width="18.5546875" bestFit="1" customWidth="1"/>
    <col min="3" max="3" width="17.6640625" bestFit="1" customWidth="1"/>
    <col min="4" max="4" width="17.109375" bestFit="1" customWidth="1"/>
    <col min="5" max="5" width="16.21875" customWidth="1"/>
    <col min="6" max="6" width="17" customWidth="1"/>
    <col min="7" max="7" width="12.33203125" customWidth="1"/>
    <col min="8" max="8" width="15.33203125" customWidth="1"/>
    <col min="9" max="9" width="13.6640625" customWidth="1"/>
    <col min="10" max="10" width="15.33203125" customWidth="1"/>
    <col min="11" max="11" width="13.5546875" bestFit="1" customWidth="1"/>
  </cols>
  <sheetData>
    <row r="1" spans="1:12" x14ac:dyDescent="0.3">
      <c r="A1" s="49" t="s">
        <v>2</v>
      </c>
      <c r="B1" s="14" t="s">
        <v>88</v>
      </c>
      <c r="C1" s="14"/>
    </row>
    <row r="2" spans="1:12" x14ac:dyDescent="0.3">
      <c r="A2" s="36" t="s">
        <v>28</v>
      </c>
      <c r="B2" s="38">
        <f>SUM(B4:INDEX(B:B, MATCH(1E+100, B:B)-1))</f>
        <v>703527</v>
      </c>
      <c r="C2" s="37">
        <f>GETPIVOTDATA("Sum of Tiyaar/gaz",$A$3)</f>
        <v>658269</v>
      </c>
      <c r="D2" s="36">
        <f>((B2*48)+((C2/1.0936)*10))/C2</f>
        <v>60.444257485169061</v>
      </c>
      <c r="J2">
        <v>48</v>
      </c>
    </row>
    <row r="3" spans="1:12" x14ac:dyDescent="0.3">
      <c r="A3" s="39" t="s">
        <v>143</v>
      </c>
      <c r="B3" s="40" t="s">
        <v>144</v>
      </c>
      <c r="C3" s="41" t="s">
        <v>89</v>
      </c>
      <c r="D3" s="37" t="s">
        <v>145</v>
      </c>
      <c r="E3" s="11" t="s">
        <v>146</v>
      </c>
      <c r="F3" s="11" t="str">
        <f t="shared" ref="F3:F38" si="0">C3</f>
        <v>Sum of Tiyaar/gaz</v>
      </c>
      <c r="G3" s="82" t="s">
        <v>82</v>
      </c>
      <c r="H3" s="11" t="s">
        <v>147</v>
      </c>
      <c r="I3" s="34" t="s">
        <v>148</v>
      </c>
    </row>
    <row r="4" spans="1:12" x14ac:dyDescent="0.3">
      <c r="A4" s="16" t="s">
        <v>106</v>
      </c>
      <c r="B4" s="14"/>
      <c r="C4" s="14"/>
      <c r="D4" s="33" t="e">
        <f>I4</f>
        <v>#DIV/0!</v>
      </c>
      <c r="E4" s="11">
        <f>B4 * 1.0936</f>
        <v>0</v>
      </c>
      <c r="F4" s="11">
        <f t="shared" si="0"/>
        <v>0</v>
      </c>
      <c r="G4" s="83" t="e">
        <f>100- (F4/E4 *100)</f>
        <v>#DIV/0!</v>
      </c>
      <c r="H4" s="33">
        <f>F4/1.0936</f>
        <v>0</v>
      </c>
      <c r="I4" s="33" t="e">
        <f>((B4*48)+(H4*10))/C4</f>
        <v>#DIV/0!</v>
      </c>
      <c r="J4" s="33"/>
      <c r="K4" s="33"/>
      <c r="L4" s="33"/>
    </row>
    <row r="5" spans="1:12" x14ac:dyDescent="0.3">
      <c r="A5" s="16">
        <v>1818</v>
      </c>
      <c r="B5" s="14">
        <v>15182</v>
      </c>
      <c r="C5" s="14">
        <v>7888</v>
      </c>
      <c r="D5" s="33">
        <f t="shared" ref="D5:D38" si="1">I5</f>
        <v>101.52950672991744</v>
      </c>
      <c r="E5" s="11">
        <f t="shared" ref="E5:E38" si="2">B5 * 1.0936</f>
        <v>16603.035199999998</v>
      </c>
      <c r="F5" s="11">
        <f t="shared" si="0"/>
        <v>7888</v>
      </c>
      <c r="G5" s="83">
        <f>100- (F5/E5 *100)</f>
        <v>52.490614487163164</v>
      </c>
      <c r="H5" s="33">
        <f t="shared" ref="H5:H38" si="3">F5/1.0936</f>
        <v>7212.8749085588888</v>
      </c>
      <c r="I5" s="33">
        <f>((B5*48)+(H5*10))/C5</f>
        <v>101.52950672991744</v>
      </c>
      <c r="J5" s="33"/>
      <c r="K5" s="33"/>
      <c r="L5" s="33"/>
    </row>
    <row r="6" spans="1:12" x14ac:dyDescent="0.3">
      <c r="A6" s="16">
        <v>1780</v>
      </c>
      <c r="B6" s="14">
        <v>10086</v>
      </c>
      <c r="C6" s="14">
        <v>10979</v>
      </c>
      <c r="D6" s="33">
        <f t="shared" si="1"/>
        <v>53.239930483766543</v>
      </c>
      <c r="E6" s="11">
        <f t="shared" si="2"/>
        <v>11030.049599999998</v>
      </c>
      <c r="F6" s="11">
        <f t="shared" si="0"/>
        <v>10979</v>
      </c>
      <c r="G6" s="83">
        <f t="shared" ref="G6:G18" si="4">100- (F6/E6 *100)</f>
        <v>0.46282294143081515</v>
      </c>
      <c r="H6" s="33">
        <f t="shared" si="3"/>
        <v>10039.319678127287</v>
      </c>
      <c r="I6" s="33">
        <f>((B6*48)+(H6*10))/C6</f>
        <v>53.239930483766543</v>
      </c>
      <c r="J6" s="33"/>
      <c r="K6" s="33"/>
      <c r="L6" s="33"/>
    </row>
    <row r="7" spans="1:12" x14ac:dyDescent="0.3">
      <c r="A7" s="16">
        <v>1800</v>
      </c>
      <c r="B7" s="14">
        <v>32917</v>
      </c>
      <c r="C7" s="14">
        <v>34960</v>
      </c>
      <c r="D7" s="33">
        <f t="shared" si="1"/>
        <v>54.339076867449307</v>
      </c>
      <c r="E7" s="11">
        <f t="shared" si="2"/>
        <v>35998.031199999998</v>
      </c>
      <c r="F7" s="11">
        <f t="shared" si="0"/>
        <v>34960</v>
      </c>
      <c r="G7" s="83">
        <f t="shared" si="4"/>
        <v>2.8835776996604068</v>
      </c>
      <c r="H7" s="33">
        <f t="shared" si="3"/>
        <v>31967.812728602781</v>
      </c>
      <c r="I7" s="33">
        <f>((B7*48)+(H7*10))/C7</f>
        <v>54.339076867449307</v>
      </c>
      <c r="J7" s="33"/>
      <c r="K7" s="33"/>
      <c r="L7" s="33"/>
    </row>
    <row r="8" spans="1:12" x14ac:dyDescent="0.3">
      <c r="A8" s="16">
        <v>1826</v>
      </c>
      <c r="B8" s="14">
        <v>22518</v>
      </c>
      <c r="C8" s="14">
        <v>23515</v>
      </c>
      <c r="D8" s="33">
        <f t="shared" si="1"/>
        <v>55.108984677401665</v>
      </c>
      <c r="E8" s="11">
        <f t="shared" si="2"/>
        <v>24625.684799999999</v>
      </c>
      <c r="F8" s="11">
        <f t="shared" si="0"/>
        <v>23515</v>
      </c>
      <c r="G8" s="83">
        <f t="shared" si="4"/>
        <v>4.5102697001952947</v>
      </c>
      <c r="H8" s="33">
        <f t="shared" si="3"/>
        <v>21502.377468910025</v>
      </c>
      <c r="I8" s="33">
        <f t="shared" ref="I8:I38" si="5">((B8*48)+(H8*10))/C8</f>
        <v>55.108984677401665</v>
      </c>
      <c r="J8" s="33"/>
      <c r="K8" s="33"/>
      <c r="L8" s="33"/>
    </row>
    <row r="9" spans="1:12" x14ac:dyDescent="0.3">
      <c r="A9" s="16">
        <v>1803</v>
      </c>
      <c r="B9" s="14">
        <v>20021</v>
      </c>
      <c r="C9" s="14">
        <v>21555</v>
      </c>
      <c r="D9" s="33">
        <f t="shared" si="1"/>
        <v>53.728105625238307</v>
      </c>
      <c r="E9" s="11">
        <f t="shared" si="2"/>
        <v>21894.9656</v>
      </c>
      <c r="F9" s="11">
        <f t="shared" si="0"/>
        <v>21555</v>
      </c>
      <c r="G9" s="83">
        <f t="shared" si="4"/>
        <v>1.5527112771531364</v>
      </c>
      <c r="H9" s="33">
        <f t="shared" si="3"/>
        <v>19710.131675201173</v>
      </c>
      <c r="I9" s="33">
        <f t="shared" si="5"/>
        <v>53.728105625238307</v>
      </c>
      <c r="J9" s="33"/>
      <c r="K9" s="33"/>
      <c r="L9" s="33"/>
    </row>
    <row r="10" spans="1:12" x14ac:dyDescent="0.3">
      <c r="A10" s="16">
        <v>1829</v>
      </c>
      <c r="B10" s="14">
        <v>20054</v>
      </c>
      <c r="C10" s="14">
        <v>21230</v>
      </c>
      <c r="D10" s="33">
        <f t="shared" si="1"/>
        <v>54.485232247502793</v>
      </c>
      <c r="E10" s="11">
        <f t="shared" si="2"/>
        <v>21931.054399999997</v>
      </c>
      <c r="F10" s="11">
        <f t="shared" si="0"/>
        <v>21230</v>
      </c>
      <c r="G10" s="83">
        <f t="shared" si="4"/>
        <v>3.1966287950113212</v>
      </c>
      <c r="H10" s="33">
        <f t="shared" si="3"/>
        <v>19412.948061448427</v>
      </c>
      <c r="I10" s="33">
        <f t="shared" si="5"/>
        <v>54.485232247502793</v>
      </c>
      <c r="J10" s="33"/>
      <c r="K10" s="33"/>
      <c r="L10" s="33"/>
    </row>
    <row r="11" spans="1:12" x14ac:dyDescent="0.3">
      <c r="A11" s="16">
        <v>1813</v>
      </c>
      <c r="B11" s="14">
        <v>7734</v>
      </c>
      <c r="C11" s="14">
        <v>8274</v>
      </c>
      <c r="D11" s="33"/>
      <c r="E11" s="11">
        <f t="shared" si="2"/>
        <v>8457.902399999999</v>
      </c>
      <c r="F11" s="11">
        <f t="shared" si="0"/>
        <v>8274</v>
      </c>
      <c r="G11" s="83">
        <f t="shared" si="4"/>
        <v>2.1743263436097209</v>
      </c>
      <c r="H11" s="33">
        <f t="shared" si="3"/>
        <v>7565.8376005852242</v>
      </c>
      <c r="I11" s="33">
        <f t="shared" si="5"/>
        <v>54.011406333798917</v>
      </c>
      <c r="J11" s="33"/>
      <c r="K11" s="33"/>
      <c r="L11" s="33"/>
    </row>
    <row r="12" spans="1:12" x14ac:dyDescent="0.3">
      <c r="A12" s="16">
        <v>1827</v>
      </c>
      <c r="B12" s="14">
        <v>25039</v>
      </c>
      <c r="C12" s="14">
        <v>26833</v>
      </c>
      <c r="D12" s="33">
        <f t="shared" si="1"/>
        <v>53.934928469625355</v>
      </c>
      <c r="E12" s="11">
        <f t="shared" si="2"/>
        <v>27382.650399999999</v>
      </c>
      <c r="F12" s="11">
        <f t="shared" si="0"/>
        <v>26833</v>
      </c>
      <c r="G12" s="83">
        <f t="shared" si="4"/>
        <v>2.0072943705989843</v>
      </c>
      <c r="H12" s="33">
        <f t="shared" si="3"/>
        <v>24536.393562545723</v>
      </c>
      <c r="I12" s="33">
        <f t="shared" si="5"/>
        <v>53.934928469625355</v>
      </c>
    </row>
    <row r="13" spans="1:12" x14ac:dyDescent="0.3">
      <c r="A13" s="16">
        <v>1761</v>
      </c>
      <c r="B13" s="14">
        <v>35598</v>
      </c>
      <c r="C13" s="14">
        <v>38020</v>
      </c>
      <c r="D13" s="33">
        <f t="shared" si="1"/>
        <v>54.08635211822061</v>
      </c>
      <c r="E13" s="11">
        <f t="shared" si="2"/>
        <v>38929.972799999996</v>
      </c>
      <c r="F13" s="11">
        <f t="shared" si="0"/>
        <v>38020</v>
      </c>
      <c r="G13" s="83">
        <f t="shared" si="4"/>
        <v>2.3374606621867287</v>
      </c>
      <c r="H13" s="33">
        <f t="shared" si="3"/>
        <v>34765.910753474767</v>
      </c>
      <c r="I13" s="33">
        <f t="shared" si="5"/>
        <v>54.08635211822061</v>
      </c>
    </row>
    <row r="14" spans="1:12" x14ac:dyDescent="0.3">
      <c r="A14" s="16">
        <v>1786</v>
      </c>
      <c r="B14" s="14">
        <v>34719</v>
      </c>
      <c r="C14" s="14">
        <v>37349</v>
      </c>
      <c r="D14" s="33">
        <f t="shared" si="1"/>
        <v>53.764101018090244</v>
      </c>
      <c r="E14" s="11">
        <f t="shared" si="2"/>
        <v>37968.698399999994</v>
      </c>
      <c r="F14" s="11">
        <f t="shared" si="0"/>
        <v>37349</v>
      </c>
      <c r="G14" s="83">
        <f t="shared" si="4"/>
        <v>1.6321296913354217</v>
      </c>
      <c r="H14" s="33">
        <f t="shared" si="3"/>
        <v>34152.340892465254</v>
      </c>
      <c r="I14" s="33">
        <f t="shared" si="5"/>
        <v>53.764101018090244</v>
      </c>
    </row>
    <row r="15" spans="1:12" x14ac:dyDescent="0.3">
      <c r="A15" s="16">
        <v>1834</v>
      </c>
      <c r="B15" s="14">
        <v>18060</v>
      </c>
      <c r="C15" s="14">
        <v>1662</v>
      </c>
      <c r="D15" s="33">
        <f t="shared" si="1"/>
        <v>530.7325588458217</v>
      </c>
      <c r="E15" s="11">
        <f>B15 * 1.0936</f>
        <v>19750.415999999997</v>
      </c>
      <c r="F15" s="11">
        <f t="shared" si="0"/>
        <v>1662</v>
      </c>
      <c r="G15" s="83">
        <f t="shared" si="4"/>
        <v>91.584987374443145</v>
      </c>
      <c r="H15" s="33">
        <f t="shared" si="3"/>
        <v>1519.751280175567</v>
      </c>
      <c r="I15" s="33">
        <f>((B15*48)+(H15*10))/C15</f>
        <v>530.7325588458217</v>
      </c>
    </row>
    <row r="16" spans="1:12" x14ac:dyDescent="0.3">
      <c r="A16" s="16">
        <v>1796</v>
      </c>
      <c r="B16" s="14">
        <v>42632</v>
      </c>
      <c r="C16" s="14">
        <v>45331</v>
      </c>
      <c r="D16" s="33">
        <f t="shared" si="1"/>
        <v>54.286199388108052</v>
      </c>
      <c r="E16" s="11">
        <f t="shared" si="2"/>
        <v>46622.355199999998</v>
      </c>
      <c r="F16" s="11">
        <f t="shared" si="0"/>
        <v>45331</v>
      </c>
      <c r="G16" s="83">
        <f t="shared" si="4"/>
        <v>2.7698197451852451</v>
      </c>
      <c r="H16" s="33">
        <f t="shared" si="3"/>
        <v>41451.170446232631</v>
      </c>
      <c r="I16" s="33">
        <f>((B16*48)+(H16*10))/C16</f>
        <v>54.286199388108052</v>
      </c>
    </row>
    <row r="17" spans="1:9" x14ac:dyDescent="0.3">
      <c r="A17" s="16">
        <v>1836</v>
      </c>
      <c r="B17" s="14">
        <v>9527</v>
      </c>
      <c r="C17" s="14">
        <v>10153</v>
      </c>
      <c r="D17" s="33">
        <f t="shared" si="1"/>
        <v>54.184591838506549</v>
      </c>
      <c r="E17" s="11">
        <f t="shared" si="2"/>
        <v>10418.727199999999</v>
      </c>
      <c r="F17" s="11">
        <f t="shared" si="0"/>
        <v>10153</v>
      </c>
      <c r="G17" s="83">
        <f t="shared" si="4"/>
        <v>2.5504766071617553</v>
      </c>
      <c r="H17" s="33">
        <f t="shared" si="3"/>
        <v>9284.0160936356988</v>
      </c>
      <c r="I17" s="33">
        <f>((B17*48)+(H17*10))/C17</f>
        <v>54.184591838506549</v>
      </c>
    </row>
    <row r="18" spans="1:9" x14ac:dyDescent="0.3">
      <c r="A18" s="16">
        <v>1828</v>
      </c>
      <c r="B18" s="14">
        <v>31302</v>
      </c>
      <c r="C18" s="14">
        <v>33933</v>
      </c>
      <c r="D18" s="33">
        <f t="shared" si="1"/>
        <v>53.422424338886657</v>
      </c>
      <c r="E18" s="11">
        <f t="shared" si="2"/>
        <v>34231.867200000001</v>
      </c>
      <c r="F18" s="11">
        <f t="shared" si="0"/>
        <v>33933</v>
      </c>
      <c r="G18" s="83">
        <f t="shared" si="4"/>
        <v>0.87306718693977814</v>
      </c>
      <c r="H18" s="33">
        <f t="shared" si="3"/>
        <v>31028.712509144112</v>
      </c>
      <c r="I18" s="33">
        <f>((B18*48)+(H18*10))/C18</f>
        <v>53.422424338886657</v>
      </c>
    </row>
    <row r="19" spans="1:9" x14ac:dyDescent="0.3">
      <c r="A19" s="16">
        <v>1837</v>
      </c>
      <c r="B19" s="14">
        <v>11233</v>
      </c>
      <c r="C19" s="14">
        <v>13383</v>
      </c>
      <c r="D19" s="33">
        <f t="shared" si="1"/>
        <v>49.432835693625009</v>
      </c>
      <c r="E19" s="11">
        <f t="shared" si="2"/>
        <v>12284.408799999999</v>
      </c>
      <c r="F19" s="11">
        <f t="shared" si="0"/>
        <v>13383</v>
      </c>
      <c r="G19" s="83">
        <f t="shared" ref="G19:G38" si="6">100- (F19/E19 *100)</f>
        <v>-8.9429716796790615</v>
      </c>
      <c r="H19" s="33">
        <f t="shared" si="3"/>
        <v>12237.564008778349</v>
      </c>
      <c r="I19" s="33">
        <f t="shared" si="5"/>
        <v>49.432835693625009</v>
      </c>
    </row>
    <row r="20" spans="1:9" x14ac:dyDescent="0.3">
      <c r="A20" s="16">
        <v>1840</v>
      </c>
      <c r="B20" s="14">
        <v>8913</v>
      </c>
      <c r="C20" s="14">
        <v>9498</v>
      </c>
      <c r="D20" s="33">
        <f t="shared" si="1"/>
        <v>54.187699316207642</v>
      </c>
      <c r="E20" s="11">
        <f>B20 * 1.0936</f>
        <v>9747.2567999999992</v>
      </c>
      <c r="F20" s="11">
        <f t="shared" si="0"/>
        <v>9498</v>
      </c>
      <c r="G20" s="83">
        <f t="shared" si="6"/>
        <v>2.5571994779084832</v>
      </c>
      <c r="H20" s="33">
        <f t="shared" si="3"/>
        <v>8685.0768105340176</v>
      </c>
      <c r="I20" s="33">
        <f t="shared" si="5"/>
        <v>54.187699316207642</v>
      </c>
    </row>
    <row r="21" spans="1:9" x14ac:dyDescent="0.3">
      <c r="A21" s="16">
        <v>1825</v>
      </c>
      <c r="B21" s="14">
        <v>25262</v>
      </c>
      <c r="C21" s="14">
        <v>27090</v>
      </c>
      <c r="D21" s="33">
        <f t="shared" si="1"/>
        <v>53.905130018527203</v>
      </c>
      <c r="E21" s="11">
        <f t="shared" si="2"/>
        <v>27626.523199999996</v>
      </c>
      <c r="F21" s="11">
        <f t="shared" si="0"/>
        <v>27090</v>
      </c>
      <c r="G21" s="83">
        <f t="shared" si="6"/>
        <v>1.942058347754724</v>
      </c>
      <c r="H21" s="33">
        <f t="shared" si="3"/>
        <v>24771.3972201902</v>
      </c>
      <c r="I21" s="33">
        <f t="shared" si="5"/>
        <v>53.905130018527203</v>
      </c>
    </row>
    <row r="22" spans="1:9" x14ac:dyDescent="0.3">
      <c r="A22" s="16">
        <v>1838</v>
      </c>
      <c r="B22" s="14">
        <v>10092</v>
      </c>
      <c r="C22" s="14">
        <v>10885</v>
      </c>
      <c r="D22" s="33">
        <f t="shared" si="1"/>
        <v>53.64718882215783</v>
      </c>
      <c r="E22" s="11">
        <f t="shared" si="2"/>
        <v>11036.611199999999</v>
      </c>
      <c r="F22" s="11">
        <f t="shared" si="0"/>
        <v>10885</v>
      </c>
      <c r="G22" s="83">
        <f t="shared" si="6"/>
        <v>1.3737115247839853</v>
      </c>
      <c r="H22" s="33">
        <f t="shared" si="3"/>
        <v>9953.3650329188004</v>
      </c>
      <c r="I22" s="33">
        <f t="shared" si="5"/>
        <v>53.64718882215783</v>
      </c>
    </row>
    <row r="23" spans="1:9" x14ac:dyDescent="0.3">
      <c r="A23" s="16">
        <v>1845</v>
      </c>
      <c r="B23" s="14">
        <v>14494</v>
      </c>
      <c r="C23" s="14">
        <v>15623</v>
      </c>
      <c r="D23" s="33">
        <f t="shared" si="1"/>
        <v>53.675379194696397</v>
      </c>
      <c r="E23" s="11">
        <f t="shared" si="2"/>
        <v>15850.638399999998</v>
      </c>
      <c r="F23" s="11">
        <f t="shared" si="0"/>
        <v>15623</v>
      </c>
      <c r="G23" s="83">
        <f t="shared" si="6"/>
        <v>1.4361465718629773</v>
      </c>
      <c r="H23" s="33">
        <f t="shared" si="3"/>
        <v>14285.844915874179</v>
      </c>
      <c r="I23" s="33">
        <f t="shared" si="5"/>
        <v>53.675379194696397</v>
      </c>
    </row>
    <row r="24" spans="1:9" x14ac:dyDescent="0.3">
      <c r="A24" s="16">
        <v>1807</v>
      </c>
      <c r="B24" s="14">
        <v>14854</v>
      </c>
      <c r="C24" s="14">
        <v>15938</v>
      </c>
      <c r="D24" s="33">
        <f t="shared" si="1"/>
        <v>53.879460671624123</v>
      </c>
      <c r="E24" s="11">
        <f t="shared" si="2"/>
        <v>16244.334399999998</v>
      </c>
      <c r="F24" s="11">
        <f t="shared" si="0"/>
        <v>15938</v>
      </c>
      <c r="G24" s="83">
        <f t="shared" si="6"/>
        <v>1.8857922550523085</v>
      </c>
      <c r="H24" s="33">
        <f t="shared" si="3"/>
        <v>14573.884418434529</v>
      </c>
      <c r="I24" s="33">
        <f t="shared" si="5"/>
        <v>53.879460671624123</v>
      </c>
    </row>
    <row r="25" spans="1:9" x14ac:dyDescent="0.3">
      <c r="A25" s="16" t="s">
        <v>290</v>
      </c>
      <c r="B25" s="14">
        <v>12811</v>
      </c>
      <c r="C25" s="14">
        <v>14059</v>
      </c>
      <c r="D25" s="33">
        <f t="shared" si="1"/>
        <v>52.883210701603282</v>
      </c>
      <c r="E25" s="11">
        <f t="shared" si="2"/>
        <v>14010.109599999998</v>
      </c>
      <c r="F25" s="11">
        <f t="shared" si="0"/>
        <v>14059</v>
      </c>
      <c r="G25" s="83">
        <f t="shared" si="6"/>
        <v>-0.34896515013701901</v>
      </c>
      <c r="H25" s="33">
        <f t="shared" si="3"/>
        <v>12855.705925384054</v>
      </c>
      <c r="I25" s="33">
        <f t="shared" si="5"/>
        <v>52.883210701603282</v>
      </c>
    </row>
    <row r="26" spans="1:9" x14ac:dyDescent="0.3">
      <c r="A26" s="16">
        <v>1791</v>
      </c>
      <c r="B26" s="14">
        <v>100849</v>
      </c>
      <c r="C26" s="14">
        <v>75501</v>
      </c>
      <c r="D26" s="33">
        <f t="shared" si="1"/>
        <v>73.259182515950727</v>
      </c>
      <c r="E26" s="11">
        <f t="shared" si="2"/>
        <v>110288.46639999999</v>
      </c>
      <c r="F26" s="11">
        <f t="shared" si="0"/>
        <v>75501</v>
      </c>
      <c r="G26" s="83">
        <f t="shared" si="6"/>
        <v>31.542252363752141</v>
      </c>
      <c r="H26" s="33">
        <f t="shared" si="3"/>
        <v>69038.953913679594</v>
      </c>
      <c r="I26" s="33">
        <f t="shared" si="5"/>
        <v>73.259182515950727</v>
      </c>
    </row>
    <row r="27" spans="1:9" x14ac:dyDescent="0.3">
      <c r="A27" s="16">
        <v>1850</v>
      </c>
      <c r="B27" s="14">
        <v>5511</v>
      </c>
      <c r="C27" s="14">
        <v>6003</v>
      </c>
      <c r="D27" s="33">
        <f t="shared" si="1"/>
        <v>53.210078208883857</v>
      </c>
      <c r="E27" s="11">
        <f t="shared" si="2"/>
        <v>6026.8295999999991</v>
      </c>
      <c r="F27" s="11">
        <f t="shared" si="0"/>
        <v>6003</v>
      </c>
      <c r="G27" s="83">
        <f t="shared" si="6"/>
        <v>0.39539196528799891</v>
      </c>
      <c r="H27" s="33">
        <f t="shared" si="3"/>
        <v>5489.2099487929781</v>
      </c>
      <c r="I27" s="33">
        <f t="shared" si="5"/>
        <v>53.210078208883857</v>
      </c>
    </row>
    <row r="28" spans="1:9" x14ac:dyDescent="0.3">
      <c r="A28" s="16">
        <v>1801</v>
      </c>
      <c r="B28" s="14">
        <v>3023</v>
      </c>
      <c r="C28" s="14">
        <v>3248</v>
      </c>
      <c r="D28" s="33">
        <f t="shared" si="1"/>
        <v>53.818988039682743</v>
      </c>
      <c r="E28" s="11">
        <f t="shared" si="2"/>
        <v>3305.9527999999996</v>
      </c>
      <c r="F28" s="11">
        <f t="shared" si="0"/>
        <v>3248</v>
      </c>
      <c r="G28" s="83">
        <f t="shared" si="6"/>
        <v>1.7529832851817986</v>
      </c>
      <c r="H28" s="33">
        <f t="shared" si="3"/>
        <v>2970.007315288954</v>
      </c>
      <c r="I28" s="33">
        <f t="shared" si="5"/>
        <v>53.818988039682743</v>
      </c>
    </row>
    <row r="29" spans="1:9" x14ac:dyDescent="0.3">
      <c r="A29" s="16">
        <v>1824</v>
      </c>
      <c r="B29" s="14">
        <v>50784</v>
      </c>
      <c r="C29" s="14">
        <v>54152</v>
      </c>
      <c r="D29" s="33">
        <f t="shared" si="1"/>
        <v>54.158736690988647</v>
      </c>
      <c r="E29" s="11">
        <f t="shared" si="2"/>
        <v>55537.382399999995</v>
      </c>
      <c r="F29" s="11">
        <f t="shared" si="0"/>
        <v>54152</v>
      </c>
      <c r="G29" s="83">
        <f t="shared" si="6"/>
        <v>2.4945043142688661</v>
      </c>
      <c r="H29" s="33">
        <f t="shared" si="3"/>
        <v>49517.190929041702</v>
      </c>
      <c r="I29" s="33">
        <f t="shared" si="5"/>
        <v>54.158736690988647</v>
      </c>
    </row>
    <row r="30" spans="1:9" x14ac:dyDescent="0.3">
      <c r="A30" s="16">
        <v>1814</v>
      </c>
      <c r="B30" s="14">
        <v>3702</v>
      </c>
      <c r="C30" s="14">
        <v>3697</v>
      </c>
      <c r="D30" s="33">
        <f t="shared" si="1"/>
        <v>57.209028693068326</v>
      </c>
      <c r="E30" s="11">
        <f t="shared" si="2"/>
        <v>4048.5071999999996</v>
      </c>
      <c r="F30" s="11">
        <f t="shared" si="0"/>
        <v>3697</v>
      </c>
      <c r="G30" s="83">
        <f t="shared" si="6"/>
        <v>8.682390388239881</v>
      </c>
      <c r="H30" s="33">
        <f t="shared" si="3"/>
        <v>3380.5779078273595</v>
      </c>
      <c r="I30" s="33">
        <f t="shared" si="5"/>
        <v>57.209028693068326</v>
      </c>
    </row>
    <row r="31" spans="1:9" x14ac:dyDescent="0.3">
      <c r="A31" s="16">
        <v>1815</v>
      </c>
      <c r="B31" s="14">
        <v>65932</v>
      </c>
      <c r="C31" s="14">
        <v>70319</v>
      </c>
      <c r="D31" s="33">
        <f t="shared" si="1"/>
        <v>54.149529358179443</v>
      </c>
      <c r="E31" s="11">
        <f t="shared" si="2"/>
        <v>72103.235199999996</v>
      </c>
      <c r="F31" s="11">
        <f t="shared" si="0"/>
        <v>70319</v>
      </c>
      <c r="G31" s="83">
        <f t="shared" si="6"/>
        <v>2.4745563705302374</v>
      </c>
      <c r="H31" s="33">
        <f t="shared" si="3"/>
        <v>64300.475493782011</v>
      </c>
      <c r="I31" s="33">
        <f t="shared" si="5"/>
        <v>54.149529358179443</v>
      </c>
    </row>
    <row r="32" spans="1:9" x14ac:dyDescent="0.3">
      <c r="A32" s="16">
        <v>1833</v>
      </c>
      <c r="B32" s="14">
        <v>50678</v>
      </c>
      <c r="C32" s="14">
        <v>17191</v>
      </c>
      <c r="D32" s="33">
        <f t="shared" si="1"/>
        <v>150.64512916691365</v>
      </c>
      <c r="E32" s="11">
        <f t="shared" si="2"/>
        <v>55421.460799999993</v>
      </c>
      <c r="F32" s="11">
        <f t="shared" si="0"/>
        <v>17191</v>
      </c>
      <c r="G32" s="83">
        <f t="shared" si="6"/>
        <v>68.981330062667709</v>
      </c>
      <c r="H32" s="33">
        <f t="shared" si="3"/>
        <v>15719.641550841259</v>
      </c>
      <c r="I32" s="33">
        <f t="shared" si="5"/>
        <v>150.64512916691365</v>
      </c>
    </row>
    <row r="33" spans="1:9" x14ac:dyDescent="0.3">
      <c r="A33" s="16" t="s">
        <v>28</v>
      </c>
      <c r="B33" s="35">
        <v>100849</v>
      </c>
      <c r="C33" s="35">
        <v>658269</v>
      </c>
      <c r="D33" s="33">
        <f t="shared" ref="D33:D37" si="7">I33</f>
        <v>16.497870825611951</v>
      </c>
      <c r="E33" s="11">
        <f t="shared" ref="E33:E37" si="8">B33 * 1.0936</f>
        <v>110288.46639999999</v>
      </c>
      <c r="F33" s="11">
        <f t="shared" ref="F33:F37" si="9">C33</f>
        <v>658269</v>
      </c>
      <c r="G33" s="83">
        <f t="shared" ref="G33:G37" si="10">100- (F33/E33 *100)</f>
        <v>-496.86114195527523</v>
      </c>
      <c r="H33" s="33">
        <f t="shared" ref="H33:H37" si="11">F33/1.0936</f>
        <v>601928.49305047549</v>
      </c>
      <c r="I33" s="33">
        <f t="shared" ref="I33:I37" si="12">((B33*48)+(H33*10))/C33</f>
        <v>16.497870825611951</v>
      </c>
    </row>
    <row r="34" spans="1:9" x14ac:dyDescent="0.3">
      <c r="D34" s="33" t="e">
        <f t="shared" si="7"/>
        <v>#DIV/0!</v>
      </c>
      <c r="E34" s="11">
        <f t="shared" si="8"/>
        <v>0</v>
      </c>
      <c r="F34" s="11">
        <f t="shared" si="9"/>
        <v>0</v>
      </c>
      <c r="G34" s="83" t="e">
        <f t="shared" si="10"/>
        <v>#DIV/0!</v>
      </c>
      <c r="H34" s="33">
        <f t="shared" si="11"/>
        <v>0</v>
      </c>
      <c r="I34" s="33" t="e">
        <f t="shared" si="12"/>
        <v>#DIV/0!</v>
      </c>
    </row>
    <row r="35" spans="1:9" x14ac:dyDescent="0.3">
      <c r="D35" s="33" t="e">
        <f t="shared" si="7"/>
        <v>#DIV/0!</v>
      </c>
      <c r="E35" s="11">
        <f t="shared" si="8"/>
        <v>0</v>
      </c>
      <c r="F35" s="11">
        <f t="shared" si="9"/>
        <v>0</v>
      </c>
      <c r="G35" s="83" t="e">
        <f t="shared" si="10"/>
        <v>#DIV/0!</v>
      </c>
      <c r="H35" s="33">
        <f t="shared" si="11"/>
        <v>0</v>
      </c>
      <c r="I35" s="33" t="e">
        <f t="shared" si="12"/>
        <v>#DIV/0!</v>
      </c>
    </row>
    <row r="36" spans="1:9" x14ac:dyDescent="0.3">
      <c r="D36" s="33" t="e">
        <f t="shared" si="7"/>
        <v>#DIV/0!</v>
      </c>
      <c r="E36" s="11">
        <f t="shared" si="8"/>
        <v>0</v>
      </c>
      <c r="F36" s="11">
        <f t="shared" si="9"/>
        <v>0</v>
      </c>
      <c r="G36" s="83" t="e">
        <f t="shared" si="10"/>
        <v>#DIV/0!</v>
      </c>
      <c r="H36" s="33">
        <f t="shared" si="11"/>
        <v>0</v>
      </c>
      <c r="I36" s="33" t="e">
        <f t="shared" si="12"/>
        <v>#DIV/0!</v>
      </c>
    </row>
    <row r="37" spans="1:9" x14ac:dyDescent="0.3">
      <c r="D37" s="33" t="e">
        <f t="shared" si="7"/>
        <v>#DIV/0!</v>
      </c>
      <c r="E37" s="11">
        <f t="shared" si="8"/>
        <v>0</v>
      </c>
      <c r="F37" s="11">
        <f t="shared" si="9"/>
        <v>0</v>
      </c>
      <c r="G37" s="83" t="e">
        <f t="shared" si="10"/>
        <v>#DIV/0!</v>
      </c>
      <c r="H37" s="33">
        <f t="shared" si="11"/>
        <v>0</v>
      </c>
      <c r="I37" s="33" t="e">
        <f t="shared" si="12"/>
        <v>#DIV/0!</v>
      </c>
    </row>
    <row r="38" spans="1:9" x14ac:dyDescent="0.3">
      <c r="D38" s="33" t="e">
        <f t="shared" si="1"/>
        <v>#DIV/0!</v>
      </c>
      <c r="E38" s="11">
        <f t="shared" si="2"/>
        <v>0</v>
      </c>
      <c r="F38" s="11">
        <f t="shared" si="0"/>
        <v>0</v>
      </c>
      <c r="G38" s="83" t="e">
        <f t="shared" si="6"/>
        <v>#DIV/0!</v>
      </c>
      <c r="H38" s="33">
        <f t="shared" si="3"/>
        <v>0</v>
      </c>
      <c r="I38" s="33" t="e">
        <f t="shared" si="5"/>
        <v>#DIV/0!</v>
      </c>
    </row>
    <row r="39" spans="1:9" x14ac:dyDescent="0.3">
      <c r="D39" s="33" t="e">
        <f t="shared" ref="D39:D44" si="13">I39</f>
        <v>#DIV/0!</v>
      </c>
      <c r="E39" s="11">
        <f t="shared" ref="E39:E44" si="14">B39 * 1.0936</f>
        <v>0</v>
      </c>
      <c r="F39" s="11">
        <f t="shared" ref="F39:F44" si="15">C39</f>
        <v>0</v>
      </c>
      <c r="G39" s="83" t="e">
        <f t="shared" ref="G39:G44" si="16">100- (F39/E39 *100)</f>
        <v>#DIV/0!</v>
      </c>
      <c r="H39" s="33">
        <f t="shared" ref="H39:H44" si="17">F39/1.0936</f>
        <v>0</v>
      </c>
      <c r="I39" s="33" t="e">
        <f t="shared" ref="I39:I44" si="18">((B39*48)+(H39*10))/C39</f>
        <v>#DIV/0!</v>
      </c>
    </row>
    <row r="40" spans="1:9" x14ac:dyDescent="0.3">
      <c r="D40" s="33" t="e">
        <f t="shared" si="13"/>
        <v>#DIV/0!</v>
      </c>
      <c r="E40" s="11">
        <f t="shared" si="14"/>
        <v>0</v>
      </c>
      <c r="F40" s="11">
        <f t="shared" si="15"/>
        <v>0</v>
      </c>
      <c r="G40" s="83" t="e">
        <f t="shared" si="16"/>
        <v>#DIV/0!</v>
      </c>
      <c r="H40" s="33">
        <f t="shared" si="17"/>
        <v>0</v>
      </c>
      <c r="I40" s="33" t="e">
        <f t="shared" si="18"/>
        <v>#DIV/0!</v>
      </c>
    </row>
    <row r="41" spans="1:9" x14ac:dyDescent="0.3">
      <c r="D41" s="33" t="e">
        <f t="shared" si="13"/>
        <v>#DIV/0!</v>
      </c>
      <c r="E41" s="11">
        <f t="shared" si="14"/>
        <v>0</v>
      </c>
      <c r="F41" s="11">
        <f t="shared" si="15"/>
        <v>0</v>
      </c>
      <c r="G41" s="83" t="e">
        <f t="shared" si="16"/>
        <v>#DIV/0!</v>
      </c>
      <c r="H41" s="33">
        <f t="shared" si="17"/>
        <v>0</v>
      </c>
      <c r="I41" s="33" t="e">
        <f t="shared" si="18"/>
        <v>#DIV/0!</v>
      </c>
    </row>
    <row r="42" spans="1:9" x14ac:dyDescent="0.3">
      <c r="D42" s="33" t="e">
        <f t="shared" si="13"/>
        <v>#DIV/0!</v>
      </c>
      <c r="E42" s="11">
        <f t="shared" si="14"/>
        <v>0</v>
      </c>
      <c r="F42" s="11">
        <f t="shared" si="15"/>
        <v>0</v>
      </c>
      <c r="G42" s="83" t="e">
        <f t="shared" si="16"/>
        <v>#DIV/0!</v>
      </c>
      <c r="H42" s="33">
        <f t="shared" si="17"/>
        <v>0</v>
      </c>
      <c r="I42" s="33" t="e">
        <f t="shared" si="18"/>
        <v>#DIV/0!</v>
      </c>
    </row>
    <row r="43" spans="1:9" x14ac:dyDescent="0.3">
      <c r="D43" s="33" t="e">
        <f t="shared" si="13"/>
        <v>#DIV/0!</v>
      </c>
      <c r="E43" s="11">
        <f t="shared" si="14"/>
        <v>0</v>
      </c>
      <c r="F43" s="11">
        <f t="shared" si="15"/>
        <v>0</v>
      </c>
      <c r="G43" s="83" t="e">
        <f t="shared" si="16"/>
        <v>#DIV/0!</v>
      </c>
      <c r="H43" s="33">
        <f t="shared" si="17"/>
        <v>0</v>
      </c>
      <c r="I43" s="33" t="e">
        <f t="shared" si="18"/>
        <v>#DIV/0!</v>
      </c>
    </row>
    <row r="44" spans="1:9" x14ac:dyDescent="0.3">
      <c r="D44" s="33" t="e">
        <f t="shared" si="13"/>
        <v>#DIV/0!</v>
      </c>
      <c r="E44" s="11">
        <f t="shared" si="14"/>
        <v>0</v>
      </c>
      <c r="F44" s="11">
        <f t="shared" si="15"/>
        <v>0</v>
      </c>
      <c r="G44" s="83" t="e">
        <f t="shared" si="16"/>
        <v>#DIV/0!</v>
      </c>
      <c r="H44" s="33">
        <f t="shared" si="17"/>
        <v>0</v>
      </c>
      <c r="I44" s="33" t="e">
        <f t="shared" si="18"/>
        <v>#DIV/0!</v>
      </c>
    </row>
    <row r="45" spans="1:9" x14ac:dyDescent="0.3">
      <c r="D45" s="33" t="e">
        <f t="shared" ref="D45:D58" si="19">I45</f>
        <v>#DIV/0!</v>
      </c>
      <c r="E45" s="11">
        <f t="shared" ref="E45:E58" si="20">B45 * 1.0936</f>
        <v>0</v>
      </c>
      <c r="F45" s="11">
        <f t="shared" ref="F45:F58" si="21">C45</f>
        <v>0</v>
      </c>
      <c r="G45" s="83" t="e">
        <f t="shared" ref="G45:G58" si="22">100- (F45/E45 *100)</f>
        <v>#DIV/0!</v>
      </c>
      <c r="H45" s="33">
        <f t="shared" ref="H45:H58" si="23">F45/1.0936</f>
        <v>0</v>
      </c>
      <c r="I45" s="33" t="e">
        <f t="shared" ref="I45:I58" si="24">((B45*48)+(H45*10))/C45</f>
        <v>#DIV/0!</v>
      </c>
    </row>
    <row r="46" spans="1:9" x14ac:dyDescent="0.3">
      <c r="D46" s="33" t="e">
        <f t="shared" si="19"/>
        <v>#DIV/0!</v>
      </c>
      <c r="E46" s="11">
        <f t="shared" si="20"/>
        <v>0</v>
      </c>
      <c r="F46" s="11">
        <f t="shared" si="21"/>
        <v>0</v>
      </c>
      <c r="G46" s="83" t="e">
        <f t="shared" si="22"/>
        <v>#DIV/0!</v>
      </c>
      <c r="H46" s="33">
        <f t="shared" si="23"/>
        <v>0</v>
      </c>
      <c r="I46" s="33" t="e">
        <f t="shared" si="24"/>
        <v>#DIV/0!</v>
      </c>
    </row>
    <row r="47" spans="1:9" x14ac:dyDescent="0.3">
      <c r="D47" s="33" t="e">
        <f t="shared" si="19"/>
        <v>#DIV/0!</v>
      </c>
      <c r="E47" s="11">
        <f t="shared" si="20"/>
        <v>0</v>
      </c>
      <c r="F47" s="11">
        <f t="shared" si="21"/>
        <v>0</v>
      </c>
      <c r="G47" s="83" t="e">
        <f t="shared" si="22"/>
        <v>#DIV/0!</v>
      </c>
      <c r="H47" s="33">
        <f t="shared" si="23"/>
        <v>0</v>
      </c>
      <c r="I47" s="33" t="e">
        <f t="shared" si="24"/>
        <v>#DIV/0!</v>
      </c>
    </row>
    <row r="48" spans="1:9" x14ac:dyDescent="0.3">
      <c r="D48" s="33" t="e">
        <f t="shared" si="19"/>
        <v>#DIV/0!</v>
      </c>
      <c r="E48" s="11">
        <f t="shared" si="20"/>
        <v>0</v>
      </c>
      <c r="F48" s="11">
        <f t="shared" si="21"/>
        <v>0</v>
      </c>
      <c r="G48" s="83" t="e">
        <f t="shared" si="22"/>
        <v>#DIV/0!</v>
      </c>
      <c r="H48" s="33">
        <f t="shared" si="23"/>
        <v>0</v>
      </c>
      <c r="I48" s="33" t="e">
        <f t="shared" si="24"/>
        <v>#DIV/0!</v>
      </c>
    </row>
    <row r="49" spans="4:9" x14ac:dyDescent="0.3">
      <c r="D49" s="33" t="e">
        <f t="shared" si="19"/>
        <v>#DIV/0!</v>
      </c>
      <c r="E49" s="11">
        <f t="shared" si="20"/>
        <v>0</v>
      </c>
      <c r="F49" s="11">
        <f t="shared" si="21"/>
        <v>0</v>
      </c>
      <c r="G49" s="83" t="e">
        <f t="shared" si="22"/>
        <v>#DIV/0!</v>
      </c>
      <c r="H49" s="33">
        <f t="shared" si="23"/>
        <v>0</v>
      </c>
      <c r="I49" s="33" t="e">
        <f t="shared" si="24"/>
        <v>#DIV/0!</v>
      </c>
    </row>
    <row r="50" spans="4:9" x14ac:dyDescent="0.3">
      <c r="D50" s="33" t="e">
        <f t="shared" si="19"/>
        <v>#DIV/0!</v>
      </c>
      <c r="E50" s="11">
        <f t="shared" si="20"/>
        <v>0</v>
      </c>
      <c r="F50" s="11">
        <f t="shared" si="21"/>
        <v>0</v>
      </c>
      <c r="G50" s="83" t="e">
        <f t="shared" si="22"/>
        <v>#DIV/0!</v>
      </c>
      <c r="H50" s="33">
        <f t="shared" si="23"/>
        <v>0</v>
      </c>
      <c r="I50" s="33" t="e">
        <f t="shared" si="24"/>
        <v>#DIV/0!</v>
      </c>
    </row>
    <row r="51" spans="4:9" x14ac:dyDescent="0.3">
      <c r="D51" s="33" t="e">
        <f t="shared" si="19"/>
        <v>#DIV/0!</v>
      </c>
      <c r="E51" s="11">
        <f t="shared" si="20"/>
        <v>0</v>
      </c>
      <c r="F51" s="11">
        <f t="shared" si="21"/>
        <v>0</v>
      </c>
      <c r="G51" s="83" t="e">
        <f t="shared" si="22"/>
        <v>#DIV/0!</v>
      </c>
      <c r="H51" s="33">
        <f t="shared" si="23"/>
        <v>0</v>
      </c>
      <c r="I51" s="33" t="e">
        <f t="shared" si="24"/>
        <v>#DIV/0!</v>
      </c>
    </row>
    <row r="52" spans="4:9" x14ac:dyDescent="0.3">
      <c r="D52" s="33" t="e">
        <f t="shared" si="19"/>
        <v>#DIV/0!</v>
      </c>
      <c r="E52" s="11">
        <f t="shared" si="20"/>
        <v>0</v>
      </c>
      <c r="F52" s="11">
        <f t="shared" si="21"/>
        <v>0</v>
      </c>
      <c r="G52" s="83" t="e">
        <f t="shared" si="22"/>
        <v>#DIV/0!</v>
      </c>
      <c r="H52" s="33">
        <f t="shared" si="23"/>
        <v>0</v>
      </c>
      <c r="I52" s="33" t="e">
        <f t="shared" si="24"/>
        <v>#DIV/0!</v>
      </c>
    </row>
    <row r="53" spans="4:9" x14ac:dyDescent="0.3">
      <c r="D53" s="33" t="e">
        <f t="shared" si="19"/>
        <v>#DIV/0!</v>
      </c>
      <c r="E53" s="11">
        <f t="shared" si="20"/>
        <v>0</v>
      </c>
      <c r="F53" s="11">
        <f t="shared" si="21"/>
        <v>0</v>
      </c>
      <c r="G53" s="83" t="e">
        <f t="shared" si="22"/>
        <v>#DIV/0!</v>
      </c>
      <c r="H53" s="33">
        <f t="shared" si="23"/>
        <v>0</v>
      </c>
      <c r="I53" s="33" t="e">
        <f t="shared" si="24"/>
        <v>#DIV/0!</v>
      </c>
    </row>
    <row r="54" spans="4:9" x14ac:dyDescent="0.3">
      <c r="D54" s="33" t="e">
        <f t="shared" si="19"/>
        <v>#DIV/0!</v>
      </c>
      <c r="E54" s="11">
        <f t="shared" si="20"/>
        <v>0</v>
      </c>
      <c r="F54" s="11">
        <f t="shared" si="21"/>
        <v>0</v>
      </c>
      <c r="G54" s="83" t="e">
        <f t="shared" si="22"/>
        <v>#DIV/0!</v>
      </c>
      <c r="H54" s="33">
        <f t="shared" si="23"/>
        <v>0</v>
      </c>
      <c r="I54" s="33" t="e">
        <f t="shared" si="24"/>
        <v>#DIV/0!</v>
      </c>
    </row>
    <row r="55" spans="4:9" x14ac:dyDescent="0.3">
      <c r="D55" s="33" t="e">
        <f t="shared" si="19"/>
        <v>#DIV/0!</v>
      </c>
      <c r="E55" s="11">
        <f t="shared" si="20"/>
        <v>0</v>
      </c>
      <c r="F55" s="11">
        <f t="shared" si="21"/>
        <v>0</v>
      </c>
      <c r="G55" s="83" t="e">
        <f t="shared" si="22"/>
        <v>#DIV/0!</v>
      </c>
      <c r="H55" s="33">
        <f t="shared" si="23"/>
        <v>0</v>
      </c>
      <c r="I55" s="33" t="e">
        <f t="shared" si="24"/>
        <v>#DIV/0!</v>
      </c>
    </row>
    <row r="56" spans="4:9" x14ac:dyDescent="0.3">
      <c r="D56" s="33" t="e">
        <f t="shared" si="19"/>
        <v>#DIV/0!</v>
      </c>
      <c r="E56" s="11">
        <f t="shared" si="20"/>
        <v>0</v>
      </c>
      <c r="F56" s="11">
        <f t="shared" si="21"/>
        <v>0</v>
      </c>
      <c r="G56" s="83" t="e">
        <f t="shared" si="22"/>
        <v>#DIV/0!</v>
      </c>
      <c r="H56" s="33">
        <f t="shared" si="23"/>
        <v>0</v>
      </c>
      <c r="I56" s="33" t="e">
        <f t="shared" si="24"/>
        <v>#DIV/0!</v>
      </c>
    </row>
    <row r="57" spans="4:9" x14ac:dyDescent="0.3">
      <c r="D57" s="33" t="e">
        <f t="shared" si="19"/>
        <v>#DIV/0!</v>
      </c>
      <c r="E57" s="11">
        <f t="shared" si="20"/>
        <v>0</v>
      </c>
      <c r="F57" s="11">
        <f t="shared" si="21"/>
        <v>0</v>
      </c>
      <c r="G57" s="83" t="e">
        <f t="shared" si="22"/>
        <v>#DIV/0!</v>
      </c>
      <c r="H57" s="33">
        <f t="shared" si="23"/>
        <v>0</v>
      </c>
      <c r="I57" s="33" t="e">
        <f t="shared" si="24"/>
        <v>#DIV/0!</v>
      </c>
    </row>
    <row r="58" spans="4:9" x14ac:dyDescent="0.3">
      <c r="D58" s="33" t="e">
        <f t="shared" si="19"/>
        <v>#DIV/0!</v>
      </c>
      <c r="E58" s="11">
        <f t="shared" si="20"/>
        <v>0</v>
      </c>
      <c r="F58" s="11">
        <f t="shared" si="21"/>
        <v>0</v>
      </c>
      <c r="G58" s="83" t="e">
        <f t="shared" si="22"/>
        <v>#DIV/0!</v>
      </c>
      <c r="H58" s="33">
        <f t="shared" si="23"/>
        <v>0</v>
      </c>
      <c r="I58" s="33" t="e">
        <f t="shared" si="24"/>
        <v>#DIV/0!</v>
      </c>
    </row>
    <row r="59" spans="4:9" x14ac:dyDescent="0.3">
      <c r="D59" s="33" t="e">
        <f t="shared" ref="D59:D73" si="25">I59</f>
        <v>#DIV/0!</v>
      </c>
      <c r="E59" s="11">
        <f t="shared" ref="E59:E73" si="26">B59 * 1.0936</f>
        <v>0</v>
      </c>
      <c r="F59" s="11">
        <f t="shared" ref="F59:F73" si="27">C59</f>
        <v>0</v>
      </c>
      <c r="G59" s="83" t="e">
        <f t="shared" ref="G59:G73" si="28">100- (F59/E59 *100)</f>
        <v>#DIV/0!</v>
      </c>
      <c r="H59" s="33">
        <f t="shared" ref="H59:H73" si="29">F59/1.0936</f>
        <v>0</v>
      </c>
      <c r="I59" s="33" t="e">
        <f t="shared" ref="I59:I73" si="30">((B59*48)+(H59*10))/C59</f>
        <v>#DIV/0!</v>
      </c>
    </row>
    <row r="60" spans="4:9" x14ac:dyDescent="0.3">
      <c r="D60" s="33" t="e">
        <f t="shared" si="25"/>
        <v>#DIV/0!</v>
      </c>
      <c r="E60" s="11">
        <f t="shared" si="26"/>
        <v>0</v>
      </c>
      <c r="F60" s="11">
        <f t="shared" si="27"/>
        <v>0</v>
      </c>
      <c r="G60" s="83" t="e">
        <f t="shared" si="28"/>
        <v>#DIV/0!</v>
      </c>
      <c r="H60" s="33">
        <f t="shared" si="29"/>
        <v>0</v>
      </c>
      <c r="I60" s="33" t="e">
        <f t="shared" si="30"/>
        <v>#DIV/0!</v>
      </c>
    </row>
    <row r="61" spans="4:9" x14ac:dyDescent="0.3">
      <c r="D61" s="33" t="e">
        <f t="shared" si="25"/>
        <v>#DIV/0!</v>
      </c>
      <c r="E61" s="11">
        <f t="shared" si="26"/>
        <v>0</v>
      </c>
      <c r="F61" s="11">
        <f t="shared" si="27"/>
        <v>0</v>
      </c>
      <c r="G61" s="83" t="e">
        <f t="shared" si="28"/>
        <v>#DIV/0!</v>
      </c>
      <c r="H61" s="33">
        <f t="shared" si="29"/>
        <v>0</v>
      </c>
      <c r="I61" s="33" t="e">
        <f t="shared" si="30"/>
        <v>#DIV/0!</v>
      </c>
    </row>
    <row r="62" spans="4:9" x14ac:dyDescent="0.3">
      <c r="D62" s="33" t="e">
        <f t="shared" si="25"/>
        <v>#DIV/0!</v>
      </c>
      <c r="E62" s="11">
        <f t="shared" si="26"/>
        <v>0</v>
      </c>
      <c r="F62" s="11">
        <f t="shared" si="27"/>
        <v>0</v>
      </c>
      <c r="G62" s="83" t="e">
        <f t="shared" si="28"/>
        <v>#DIV/0!</v>
      </c>
      <c r="H62" s="33">
        <f t="shared" si="29"/>
        <v>0</v>
      </c>
      <c r="I62" s="33" t="e">
        <f t="shared" si="30"/>
        <v>#DIV/0!</v>
      </c>
    </row>
    <row r="63" spans="4:9" x14ac:dyDescent="0.3">
      <c r="D63" s="33" t="e">
        <f t="shared" si="25"/>
        <v>#DIV/0!</v>
      </c>
      <c r="E63" s="11">
        <f t="shared" si="26"/>
        <v>0</v>
      </c>
      <c r="F63" s="11">
        <f t="shared" si="27"/>
        <v>0</v>
      </c>
      <c r="G63" s="83" t="e">
        <f t="shared" si="28"/>
        <v>#DIV/0!</v>
      </c>
      <c r="H63" s="33">
        <f t="shared" si="29"/>
        <v>0</v>
      </c>
      <c r="I63" s="33" t="e">
        <f t="shared" si="30"/>
        <v>#DIV/0!</v>
      </c>
    </row>
    <row r="64" spans="4:9" x14ac:dyDescent="0.3">
      <c r="D64" s="33" t="e">
        <f t="shared" si="25"/>
        <v>#DIV/0!</v>
      </c>
      <c r="E64" s="11">
        <f t="shared" si="26"/>
        <v>0</v>
      </c>
      <c r="F64" s="11">
        <f t="shared" si="27"/>
        <v>0</v>
      </c>
      <c r="G64" s="83" t="e">
        <f t="shared" si="28"/>
        <v>#DIV/0!</v>
      </c>
      <c r="H64" s="33">
        <f t="shared" si="29"/>
        <v>0</v>
      </c>
      <c r="I64" s="33" t="e">
        <f t="shared" si="30"/>
        <v>#DIV/0!</v>
      </c>
    </row>
    <row r="65" spans="4:9" x14ac:dyDescent="0.3">
      <c r="D65" s="33" t="e">
        <f t="shared" si="25"/>
        <v>#DIV/0!</v>
      </c>
      <c r="E65" s="11">
        <f t="shared" si="26"/>
        <v>0</v>
      </c>
      <c r="F65" s="11">
        <f t="shared" si="27"/>
        <v>0</v>
      </c>
      <c r="G65" s="83" t="e">
        <f t="shared" si="28"/>
        <v>#DIV/0!</v>
      </c>
      <c r="H65" s="33">
        <f t="shared" si="29"/>
        <v>0</v>
      </c>
      <c r="I65" s="33" t="e">
        <f t="shared" si="30"/>
        <v>#DIV/0!</v>
      </c>
    </row>
    <row r="66" spans="4:9" x14ac:dyDescent="0.3">
      <c r="D66" s="33" t="e">
        <f t="shared" si="25"/>
        <v>#DIV/0!</v>
      </c>
      <c r="E66" s="11">
        <f t="shared" si="26"/>
        <v>0</v>
      </c>
      <c r="F66" s="11">
        <f t="shared" si="27"/>
        <v>0</v>
      </c>
      <c r="G66" s="83" t="e">
        <f t="shared" si="28"/>
        <v>#DIV/0!</v>
      </c>
      <c r="H66" s="33">
        <f t="shared" si="29"/>
        <v>0</v>
      </c>
      <c r="I66" s="33" t="e">
        <f t="shared" si="30"/>
        <v>#DIV/0!</v>
      </c>
    </row>
    <row r="67" spans="4:9" x14ac:dyDescent="0.3">
      <c r="D67" s="33" t="e">
        <f t="shared" si="25"/>
        <v>#DIV/0!</v>
      </c>
      <c r="E67" s="11">
        <f t="shared" si="26"/>
        <v>0</v>
      </c>
      <c r="F67" s="11">
        <f t="shared" si="27"/>
        <v>0</v>
      </c>
      <c r="G67" s="83" t="e">
        <f t="shared" si="28"/>
        <v>#DIV/0!</v>
      </c>
      <c r="H67" s="33">
        <f t="shared" si="29"/>
        <v>0</v>
      </c>
      <c r="I67" s="33" t="e">
        <f t="shared" si="30"/>
        <v>#DIV/0!</v>
      </c>
    </row>
    <row r="68" spans="4:9" x14ac:dyDescent="0.3">
      <c r="D68" s="33" t="e">
        <f t="shared" si="25"/>
        <v>#DIV/0!</v>
      </c>
      <c r="E68" s="11">
        <f t="shared" si="26"/>
        <v>0</v>
      </c>
      <c r="F68" s="11">
        <f t="shared" si="27"/>
        <v>0</v>
      </c>
      <c r="G68" s="83" t="e">
        <f t="shared" si="28"/>
        <v>#DIV/0!</v>
      </c>
      <c r="H68" s="33">
        <f t="shared" si="29"/>
        <v>0</v>
      </c>
      <c r="I68" s="33" t="e">
        <f t="shared" si="30"/>
        <v>#DIV/0!</v>
      </c>
    </row>
    <row r="69" spans="4:9" x14ac:dyDescent="0.3">
      <c r="D69" s="33" t="e">
        <f t="shared" si="25"/>
        <v>#DIV/0!</v>
      </c>
      <c r="E69" s="11">
        <f t="shared" si="26"/>
        <v>0</v>
      </c>
      <c r="F69" s="11">
        <f t="shared" si="27"/>
        <v>0</v>
      </c>
      <c r="G69" s="83" t="e">
        <f t="shared" si="28"/>
        <v>#DIV/0!</v>
      </c>
      <c r="H69" s="33">
        <f t="shared" si="29"/>
        <v>0</v>
      </c>
      <c r="I69" s="33" t="e">
        <f t="shared" si="30"/>
        <v>#DIV/0!</v>
      </c>
    </row>
    <row r="70" spans="4:9" x14ac:dyDescent="0.3">
      <c r="D70" s="33" t="e">
        <f t="shared" si="25"/>
        <v>#DIV/0!</v>
      </c>
      <c r="E70" s="11">
        <f t="shared" si="26"/>
        <v>0</v>
      </c>
      <c r="F70" s="11">
        <f t="shared" si="27"/>
        <v>0</v>
      </c>
      <c r="G70" s="83" t="e">
        <f t="shared" si="28"/>
        <v>#DIV/0!</v>
      </c>
      <c r="H70" s="33">
        <f t="shared" si="29"/>
        <v>0</v>
      </c>
      <c r="I70" s="33" t="e">
        <f t="shared" si="30"/>
        <v>#DIV/0!</v>
      </c>
    </row>
    <row r="71" spans="4:9" x14ac:dyDescent="0.3">
      <c r="D71" s="33" t="e">
        <f t="shared" si="25"/>
        <v>#DIV/0!</v>
      </c>
      <c r="E71" s="11">
        <f t="shared" si="26"/>
        <v>0</v>
      </c>
      <c r="F71" s="11">
        <f t="shared" si="27"/>
        <v>0</v>
      </c>
      <c r="G71" s="83" t="e">
        <f t="shared" si="28"/>
        <v>#DIV/0!</v>
      </c>
      <c r="H71" s="33">
        <f t="shared" si="29"/>
        <v>0</v>
      </c>
      <c r="I71" s="33" t="e">
        <f t="shared" si="30"/>
        <v>#DIV/0!</v>
      </c>
    </row>
    <row r="72" spans="4:9" x14ac:dyDescent="0.3">
      <c r="D72" s="33" t="e">
        <f t="shared" si="25"/>
        <v>#DIV/0!</v>
      </c>
      <c r="E72" s="11">
        <f t="shared" si="26"/>
        <v>0</v>
      </c>
      <c r="F72" s="11">
        <f t="shared" si="27"/>
        <v>0</v>
      </c>
      <c r="G72" s="83" t="e">
        <f t="shared" si="28"/>
        <v>#DIV/0!</v>
      </c>
      <c r="H72" s="33">
        <f t="shared" si="29"/>
        <v>0</v>
      </c>
      <c r="I72" s="33" t="e">
        <f t="shared" si="30"/>
        <v>#DIV/0!</v>
      </c>
    </row>
    <row r="73" spans="4:9" x14ac:dyDescent="0.3">
      <c r="D73" s="33" t="e">
        <f t="shared" si="25"/>
        <v>#DIV/0!</v>
      </c>
      <c r="E73" s="11">
        <f t="shared" si="26"/>
        <v>0</v>
      </c>
      <c r="F73" s="11">
        <f t="shared" si="27"/>
        <v>0</v>
      </c>
      <c r="G73" s="83" t="e">
        <f t="shared" si="28"/>
        <v>#DIV/0!</v>
      </c>
      <c r="H73" s="33">
        <f t="shared" si="29"/>
        <v>0</v>
      </c>
      <c r="I73" s="33" t="e">
        <f t="shared" si="30"/>
        <v>#DIV/0!</v>
      </c>
    </row>
    <row r="74" spans="4:9" x14ac:dyDescent="0.3">
      <c r="D74" s="33" t="e">
        <f t="shared" ref="D74:D84" si="31">I74</f>
        <v>#DIV/0!</v>
      </c>
      <c r="E74" s="11">
        <f t="shared" ref="E74:E84" si="32">B74 * 1.0936</f>
        <v>0</v>
      </c>
      <c r="F74" s="11">
        <f t="shared" ref="F74:F84" si="33">C74</f>
        <v>0</v>
      </c>
      <c r="G74" s="83" t="e">
        <f t="shared" ref="G74:G84" si="34">100- (F74/E74 *100)</f>
        <v>#DIV/0!</v>
      </c>
      <c r="H74" s="33">
        <f t="shared" ref="H74:H84" si="35">F74/1.0936</f>
        <v>0</v>
      </c>
      <c r="I74" s="33" t="e">
        <f t="shared" ref="I74:I84" si="36">((B74*48)+(H74*10))/C74</f>
        <v>#DIV/0!</v>
      </c>
    </row>
    <row r="75" spans="4:9" x14ac:dyDescent="0.3">
      <c r="D75" s="33" t="e">
        <f t="shared" si="31"/>
        <v>#DIV/0!</v>
      </c>
      <c r="E75" s="11">
        <f t="shared" si="32"/>
        <v>0</v>
      </c>
      <c r="F75" s="11">
        <f t="shared" si="33"/>
        <v>0</v>
      </c>
      <c r="G75" s="83" t="e">
        <f t="shared" si="34"/>
        <v>#DIV/0!</v>
      </c>
      <c r="H75" s="33">
        <f t="shared" si="35"/>
        <v>0</v>
      </c>
      <c r="I75" s="33" t="e">
        <f t="shared" si="36"/>
        <v>#DIV/0!</v>
      </c>
    </row>
    <row r="76" spans="4:9" x14ac:dyDescent="0.3">
      <c r="D76" s="33" t="e">
        <f t="shared" si="31"/>
        <v>#DIV/0!</v>
      </c>
      <c r="E76" s="11">
        <f t="shared" si="32"/>
        <v>0</v>
      </c>
      <c r="F76" s="11">
        <f t="shared" si="33"/>
        <v>0</v>
      </c>
      <c r="G76" s="83" t="e">
        <f t="shared" si="34"/>
        <v>#DIV/0!</v>
      </c>
      <c r="H76" s="33">
        <f t="shared" si="35"/>
        <v>0</v>
      </c>
      <c r="I76" s="33" t="e">
        <f t="shared" si="36"/>
        <v>#DIV/0!</v>
      </c>
    </row>
    <row r="77" spans="4:9" x14ac:dyDescent="0.3">
      <c r="D77" s="33" t="e">
        <f t="shared" si="31"/>
        <v>#DIV/0!</v>
      </c>
      <c r="E77" s="11">
        <f t="shared" si="32"/>
        <v>0</v>
      </c>
      <c r="F77" s="11">
        <f t="shared" si="33"/>
        <v>0</v>
      </c>
      <c r="G77" s="83" t="e">
        <f t="shared" si="34"/>
        <v>#DIV/0!</v>
      </c>
      <c r="H77" s="33">
        <f t="shared" si="35"/>
        <v>0</v>
      </c>
      <c r="I77" s="33" t="e">
        <f t="shared" si="36"/>
        <v>#DIV/0!</v>
      </c>
    </row>
    <row r="78" spans="4:9" x14ac:dyDescent="0.3">
      <c r="D78" s="33" t="e">
        <f t="shared" si="31"/>
        <v>#DIV/0!</v>
      </c>
      <c r="E78" s="11">
        <f t="shared" si="32"/>
        <v>0</v>
      </c>
      <c r="F78" s="11">
        <f t="shared" si="33"/>
        <v>0</v>
      </c>
      <c r="G78" s="83" t="e">
        <f t="shared" si="34"/>
        <v>#DIV/0!</v>
      </c>
      <c r="H78" s="33">
        <f t="shared" si="35"/>
        <v>0</v>
      </c>
      <c r="I78" s="33" t="e">
        <f t="shared" si="36"/>
        <v>#DIV/0!</v>
      </c>
    </row>
    <row r="79" spans="4:9" x14ac:dyDescent="0.3">
      <c r="D79" s="33" t="e">
        <f t="shared" si="31"/>
        <v>#DIV/0!</v>
      </c>
      <c r="E79" s="11">
        <f t="shared" si="32"/>
        <v>0</v>
      </c>
      <c r="F79" s="11">
        <f t="shared" si="33"/>
        <v>0</v>
      </c>
      <c r="G79" s="83" t="e">
        <f t="shared" si="34"/>
        <v>#DIV/0!</v>
      </c>
      <c r="H79" s="33">
        <f t="shared" si="35"/>
        <v>0</v>
      </c>
      <c r="I79" s="33" t="e">
        <f t="shared" si="36"/>
        <v>#DIV/0!</v>
      </c>
    </row>
    <row r="80" spans="4:9" x14ac:dyDescent="0.3">
      <c r="D80" s="33" t="e">
        <f t="shared" si="31"/>
        <v>#DIV/0!</v>
      </c>
      <c r="E80" s="11">
        <f t="shared" si="32"/>
        <v>0</v>
      </c>
      <c r="F80" s="11">
        <f t="shared" si="33"/>
        <v>0</v>
      </c>
      <c r="G80" s="83" t="e">
        <f t="shared" si="34"/>
        <v>#DIV/0!</v>
      </c>
      <c r="H80" s="33">
        <f t="shared" si="35"/>
        <v>0</v>
      </c>
      <c r="I80" s="33" t="e">
        <f t="shared" si="36"/>
        <v>#DIV/0!</v>
      </c>
    </row>
    <row r="81" spans="4:9" x14ac:dyDescent="0.3">
      <c r="D81" s="33" t="e">
        <f t="shared" si="31"/>
        <v>#DIV/0!</v>
      </c>
      <c r="E81" s="11">
        <f t="shared" si="32"/>
        <v>0</v>
      </c>
      <c r="F81" s="11">
        <f t="shared" si="33"/>
        <v>0</v>
      </c>
      <c r="G81" s="83" t="e">
        <f t="shared" si="34"/>
        <v>#DIV/0!</v>
      </c>
      <c r="H81" s="33">
        <f t="shared" si="35"/>
        <v>0</v>
      </c>
      <c r="I81" s="33" t="e">
        <f t="shared" si="36"/>
        <v>#DIV/0!</v>
      </c>
    </row>
    <row r="82" spans="4:9" x14ac:dyDescent="0.3">
      <c r="D82" s="33" t="e">
        <f t="shared" si="31"/>
        <v>#DIV/0!</v>
      </c>
      <c r="E82" s="11">
        <f t="shared" si="32"/>
        <v>0</v>
      </c>
      <c r="F82" s="11">
        <f t="shared" si="33"/>
        <v>0</v>
      </c>
      <c r="G82" s="83" t="e">
        <f t="shared" si="34"/>
        <v>#DIV/0!</v>
      </c>
      <c r="H82" s="33">
        <f t="shared" si="35"/>
        <v>0</v>
      </c>
      <c r="I82" s="33" t="e">
        <f t="shared" si="36"/>
        <v>#DIV/0!</v>
      </c>
    </row>
    <row r="83" spans="4:9" x14ac:dyDescent="0.3">
      <c r="D83" s="33" t="e">
        <f t="shared" si="31"/>
        <v>#DIV/0!</v>
      </c>
      <c r="E83" s="11">
        <f t="shared" si="32"/>
        <v>0</v>
      </c>
      <c r="F83" s="11">
        <f t="shared" si="33"/>
        <v>0</v>
      </c>
      <c r="G83" s="83" t="e">
        <f t="shared" si="34"/>
        <v>#DIV/0!</v>
      </c>
      <c r="H83" s="33">
        <f t="shared" si="35"/>
        <v>0</v>
      </c>
      <c r="I83" s="33" t="e">
        <f t="shared" si="36"/>
        <v>#DIV/0!</v>
      </c>
    </row>
    <row r="84" spans="4:9" x14ac:dyDescent="0.3">
      <c r="D84" s="33" t="e">
        <f t="shared" si="31"/>
        <v>#DIV/0!</v>
      </c>
      <c r="E84" s="11">
        <f t="shared" si="32"/>
        <v>0</v>
      </c>
      <c r="F84" s="11">
        <f t="shared" si="33"/>
        <v>0</v>
      </c>
      <c r="G84" s="83" t="e">
        <f t="shared" si="34"/>
        <v>#DIV/0!</v>
      </c>
      <c r="H84" s="33">
        <f t="shared" si="35"/>
        <v>0</v>
      </c>
      <c r="I84" s="33" t="e">
        <f t="shared" si="36"/>
        <v>#DIV/0!</v>
      </c>
    </row>
    <row r="85" spans="4:9" x14ac:dyDescent="0.3">
      <c r="D85" s="33" t="e">
        <f t="shared" ref="D85:D119" si="37">I85</f>
        <v>#DIV/0!</v>
      </c>
      <c r="E85" s="11">
        <f t="shared" ref="E85:E119" si="38">B85 * 1.0936</f>
        <v>0</v>
      </c>
      <c r="F85" s="11">
        <f t="shared" ref="F85:F119" si="39">C85</f>
        <v>0</v>
      </c>
      <c r="G85" s="83" t="e">
        <f t="shared" ref="G85:G119" si="40">100- (F85/E85 *100)</f>
        <v>#DIV/0!</v>
      </c>
      <c r="H85" s="33">
        <f t="shared" ref="H85:H119" si="41">F85/1.0936</f>
        <v>0</v>
      </c>
      <c r="I85" s="33" t="e">
        <f t="shared" ref="I85:I119" si="42">((B85*48)+(H85*10))/C85</f>
        <v>#DIV/0!</v>
      </c>
    </row>
    <row r="86" spans="4:9" x14ac:dyDescent="0.3">
      <c r="D86" s="33" t="e">
        <f t="shared" si="37"/>
        <v>#DIV/0!</v>
      </c>
      <c r="E86" s="11">
        <f t="shared" si="38"/>
        <v>0</v>
      </c>
      <c r="F86" s="11">
        <f t="shared" si="39"/>
        <v>0</v>
      </c>
      <c r="G86" s="83" t="e">
        <f t="shared" si="40"/>
        <v>#DIV/0!</v>
      </c>
      <c r="H86" s="33">
        <f t="shared" si="41"/>
        <v>0</v>
      </c>
      <c r="I86" s="33" t="e">
        <f t="shared" si="42"/>
        <v>#DIV/0!</v>
      </c>
    </row>
    <row r="87" spans="4:9" x14ac:dyDescent="0.3">
      <c r="D87" s="33" t="e">
        <f t="shared" si="37"/>
        <v>#DIV/0!</v>
      </c>
      <c r="E87" s="11">
        <f t="shared" si="38"/>
        <v>0</v>
      </c>
      <c r="F87" s="11">
        <f t="shared" si="39"/>
        <v>0</v>
      </c>
      <c r="G87" s="83" t="e">
        <f t="shared" si="40"/>
        <v>#DIV/0!</v>
      </c>
      <c r="H87" s="33">
        <f t="shared" si="41"/>
        <v>0</v>
      </c>
      <c r="I87" s="33" t="e">
        <f t="shared" si="42"/>
        <v>#DIV/0!</v>
      </c>
    </row>
    <row r="88" spans="4:9" x14ac:dyDescent="0.3">
      <c r="D88" s="33" t="e">
        <f t="shared" si="37"/>
        <v>#DIV/0!</v>
      </c>
      <c r="E88" s="11">
        <f t="shared" si="38"/>
        <v>0</v>
      </c>
      <c r="F88" s="11">
        <f t="shared" si="39"/>
        <v>0</v>
      </c>
      <c r="G88" s="83" t="e">
        <f t="shared" si="40"/>
        <v>#DIV/0!</v>
      </c>
      <c r="H88" s="33">
        <f t="shared" si="41"/>
        <v>0</v>
      </c>
      <c r="I88" s="33" t="e">
        <f t="shared" si="42"/>
        <v>#DIV/0!</v>
      </c>
    </row>
    <row r="89" spans="4:9" x14ac:dyDescent="0.3">
      <c r="D89" s="33" t="e">
        <f t="shared" si="37"/>
        <v>#DIV/0!</v>
      </c>
      <c r="E89" s="11">
        <f t="shared" si="38"/>
        <v>0</v>
      </c>
      <c r="F89" s="11">
        <f t="shared" si="39"/>
        <v>0</v>
      </c>
      <c r="G89" s="83" t="e">
        <f t="shared" si="40"/>
        <v>#DIV/0!</v>
      </c>
      <c r="H89" s="33">
        <f t="shared" si="41"/>
        <v>0</v>
      </c>
      <c r="I89" s="33" t="e">
        <f t="shared" si="42"/>
        <v>#DIV/0!</v>
      </c>
    </row>
    <row r="90" spans="4:9" x14ac:dyDescent="0.3">
      <c r="D90" s="33" t="e">
        <f t="shared" si="37"/>
        <v>#DIV/0!</v>
      </c>
      <c r="E90" s="11">
        <f t="shared" si="38"/>
        <v>0</v>
      </c>
      <c r="F90" s="11">
        <f t="shared" si="39"/>
        <v>0</v>
      </c>
      <c r="G90" s="83" t="e">
        <f t="shared" si="40"/>
        <v>#DIV/0!</v>
      </c>
      <c r="H90" s="33">
        <f t="shared" si="41"/>
        <v>0</v>
      </c>
      <c r="I90" s="33" t="e">
        <f t="shared" si="42"/>
        <v>#DIV/0!</v>
      </c>
    </row>
    <row r="91" spans="4:9" x14ac:dyDescent="0.3">
      <c r="D91" s="33" t="e">
        <f t="shared" si="37"/>
        <v>#DIV/0!</v>
      </c>
      <c r="E91" s="11">
        <f t="shared" si="38"/>
        <v>0</v>
      </c>
      <c r="F91" s="11">
        <f t="shared" si="39"/>
        <v>0</v>
      </c>
      <c r="G91" s="83" t="e">
        <f t="shared" si="40"/>
        <v>#DIV/0!</v>
      </c>
      <c r="H91" s="33">
        <f t="shared" si="41"/>
        <v>0</v>
      </c>
      <c r="I91" s="33" t="e">
        <f t="shared" si="42"/>
        <v>#DIV/0!</v>
      </c>
    </row>
    <row r="92" spans="4:9" x14ac:dyDescent="0.3">
      <c r="D92" s="33" t="e">
        <f t="shared" si="37"/>
        <v>#DIV/0!</v>
      </c>
      <c r="E92" s="11">
        <f t="shared" si="38"/>
        <v>0</v>
      </c>
      <c r="F92" s="11">
        <f t="shared" si="39"/>
        <v>0</v>
      </c>
      <c r="G92" s="83" t="e">
        <f t="shared" si="40"/>
        <v>#DIV/0!</v>
      </c>
      <c r="H92" s="33">
        <f t="shared" si="41"/>
        <v>0</v>
      </c>
      <c r="I92" s="33" t="e">
        <f t="shared" si="42"/>
        <v>#DIV/0!</v>
      </c>
    </row>
    <row r="93" spans="4:9" x14ac:dyDescent="0.3">
      <c r="D93" s="33" t="e">
        <f t="shared" si="37"/>
        <v>#DIV/0!</v>
      </c>
      <c r="E93" s="11">
        <f t="shared" si="38"/>
        <v>0</v>
      </c>
      <c r="F93" s="11">
        <f t="shared" si="39"/>
        <v>0</v>
      </c>
      <c r="G93" s="83" t="e">
        <f t="shared" si="40"/>
        <v>#DIV/0!</v>
      </c>
      <c r="H93" s="33">
        <f t="shared" si="41"/>
        <v>0</v>
      </c>
      <c r="I93" s="33" t="e">
        <f t="shared" si="42"/>
        <v>#DIV/0!</v>
      </c>
    </row>
    <row r="94" spans="4:9" x14ac:dyDescent="0.3">
      <c r="D94" s="33" t="e">
        <f t="shared" si="37"/>
        <v>#DIV/0!</v>
      </c>
      <c r="E94" s="11">
        <f t="shared" si="38"/>
        <v>0</v>
      </c>
      <c r="F94" s="11">
        <f t="shared" si="39"/>
        <v>0</v>
      </c>
      <c r="G94" s="83" t="e">
        <f t="shared" si="40"/>
        <v>#DIV/0!</v>
      </c>
      <c r="H94" s="33">
        <f t="shared" si="41"/>
        <v>0</v>
      </c>
      <c r="I94" s="33" t="e">
        <f t="shared" si="42"/>
        <v>#DIV/0!</v>
      </c>
    </row>
    <row r="95" spans="4:9" x14ac:dyDescent="0.3">
      <c r="D95" s="33" t="e">
        <f t="shared" si="37"/>
        <v>#DIV/0!</v>
      </c>
      <c r="E95" s="11">
        <f t="shared" si="38"/>
        <v>0</v>
      </c>
      <c r="F95" s="11">
        <f t="shared" si="39"/>
        <v>0</v>
      </c>
      <c r="G95" s="83" t="e">
        <f t="shared" si="40"/>
        <v>#DIV/0!</v>
      </c>
      <c r="H95" s="33">
        <f t="shared" si="41"/>
        <v>0</v>
      </c>
      <c r="I95" s="33" t="e">
        <f t="shared" si="42"/>
        <v>#DIV/0!</v>
      </c>
    </row>
    <row r="96" spans="4:9" x14ac:dyDescent="0.3">
      <c r="D96" s="33" t="e">
        <f t="shared" si="37"/>
        <v>#DIV/0!</v>
      </c>
      <c r="E96" s="11">
        <f t="shared" si="38"/>
        <v>0</v>
      </c>
      <c r="F96" s="11">
        <f t="shared" si="39"/>
        <v>0</v>
      </c>
      <c r="G96" s="83" t="e">
        <f t="shared" si="40"/>
        <v>#DIV/0!</v>
      </c>
      <c r="H96" s="33">
        <f t="shared" si="41"/>
        <v>0</v>
      </c>
      <c r="I96" s="33" t="e">
        <f t="shared" si="42"/>
        <v>#DIV/0!</v>
      </c>
    </row>
    <row r="97" spans="4:9" x14ac:dyDescent="0.3">
      <c r="D97" s="33" t="e">
        <f t="shared" si="37"/>
        <v>#DIV/0!</v>
      </c>
      <c r="E97" s="11">
        <f t="shared" si="38"/>
        <v>0</v>
      </c>
      <c r="F97" s="11">
        <f t="shared" si="39"/>
        <v>0</v>
      </c>
      <c r="G97" s="83" t="e">
        <f t="shared" si="40"/>
        <v>#DIV/0!</v>
      </c>
      <c r="H97" s="33">
        <f t="shared" si="41"/>
        <v>0</v>
      </c>
      <c r="I97" s="33" t="e">
        <f t="shared" si="42"/>
        <v>#DIV/0!</v>
      </c>
    </row>
    <row r="98" spans="4:9" x14ac:dyDescent="0.3">
      <c r="D98" s="33" t="e">
        <f t="shared" si="37"/>
        <v>#DIV/0!</v>
      </c>
      <c r="E98" s="11">
        <f t="shared" si="38"/>
        <v>0</v>
      </c>
      <c r="F98" s="11">
        <f t="shared" si="39"/>
        <v>0</v>
      </c>
      <c r="G98" s="83" t="e">
        <f t="shared" si="40"/>
        <v>#DIV/0!</v>
      </c>
      <c r="H98" s="33">
        <f t="shared" si="41"/>
        <v>0</v>
      </c>
      <c r="I98" s="33" t="e">
        <f t="shared" si="42"/>
        <v>#DIV/0!</v>
      </c>
    </row>
    <row r="99" spans="4:9" x14ac:dyDescent="0.3">
      <c r="D99" s="33" t="e">
        <f t="shared" si="37"/>
        <v>#DIV/0!</v>
      </c>
      <c r="E99" s="11">
        <f t="shared" si="38"/>
        <v>0</v>
      </c>
      <c r="F99" s="11">
        <f t="shared" si="39"/>
        <v>0</v>
      </c>
      <c r="G99" s="83" t="e">
        <f t="shared" si="40"/>
        <v>#DIV/0!</v>
      </c>
      <c r="H99" s="33">
        <f t="shared" si="41"/>
        <v>0</v>
      </c>
      <c r="I99" s="33" t="e">
        <f t="shared" si="42"/>
        <v>#DIV/0!</v>
      </c>
    </row>
    <row r="100" spans="4:9" x14ac:dyDescent="0.3">
      <c r="D100" s="33" t="e">
        <f t="shared" si="37"/>
        <v>#DIV/0!</v>
      </c>
      <c r="E100" s="11">
        <f t="shared" si="38"/>
        <v>0</v>
      </c>
      <c r="F100" s="11">
        <f t="shared" si="39"/>
        <v>0</v>
      </c>
      <c r="G100" s="83" t="e">
        <f t="shared" si="40"/>
        <v>#DIV/0!</v>
      </c>
      <c r="H100" s="33">
        <f t="shared" si="41"/>
        <v>0</v>
      </c>
      <c r="I100" s="33" t="e">
        <f t="shared" si="42"/>
        <v>#DIV/0!</v>
      </c>
    </row>
    <row r="101" spans="4:9" x14ac:dyDescent="0.3">
      <c r="D101" s="33" t="e">
        <f t="shared" si="37"/>
        <v>#DIV/0!</v>
      </c>
      <c r="E101" s="11">
        <f t="shared" si="38"/>
        <v>0</v>
      </c>
      <c r="F101" s="11">
        <f t="shared" si="39"/>
        <v>0</v>
      </c>
      <c r="G101" s="83" t="e">
        <f t="shared" si="40"/>
        <v>#DIV/0!</v>
      </c>
      <c r="H101" s="33">
        <f t="shared" si="41"/>
        <v>0</v>
      </c>
      <c r="I101" s="33" t="e">
        <f t="shared" si="42"/>
        <v>#DIV/0!</v>
      </c>
    </row>
    <row r="102" spans="4:9" x14ac:dyDescent="0.3">
      <c r="D102" s="33" t="e">
        <f t="shared" si="37"/>
        <v>#DIV/0!</v>
      </c>
      <c r="E102" s="11">
        <f t="shared" si="38"/>
        <v>0</v>
      </c>
      <c r="F102" s="11">
        <f t="shared" si="39"/>
        <v>0</v>
      </c>
      <c r="G102" s="83" t="e">
        <f t="shared" si="40"/>
        <v>#DIV/0!</v>
      </c>
      <c r="H102" s="33">
        <f t="shared" si="41"/>
        <v>0</v>
      </c>
      <c r="I102" s="33" t="e">
        <f t="shared" si="42"/>
        <v>#DIV/0!</v>
      </c>
    </row>
    <row r="103" spans="4:9" x14ac:dyDescent="0.3">
      <c r="D103" s="33" t="e">
        <f t="shared" si="37"/>
        <v>#DIV/0!</v>
      </c>
      <c r="E103" s="11">
        <f t="shared" si="38"/>
        <v>0</v>
      </c>
      <c r="F103" s="11">
        <f t="shared" si="39"/>
        <v>0</v>
      </c>
      <c r="G103" s="83" t="e">
        <f t="shared" si="40"/>
        <v>#DIV/0!</v>
      </c>
      <c r="H103" s="33">
        <f t="shared" si="41"/>
        <v>0</v>
      </c>
      <c r="I103" s="33" t="e">
        <f t="shared" si="42"/>
        <v>#DIV/0!</v>
      </c>
    </row>
    <row r="104" spans="4:9" x14ac:dyDescent="0.3">
      <c r="D104" s="33" t="e">
        <f t="shared" si="37"/>
        <v>#DIV/0!</v>
      </c>
      <c r="E104" s="11">
        <f t="shared" si="38"/>
        <v>0</v>
      </c>
      <c r="F104" s="11">
        <f t="shared" si="39"/>
        <v>0</v>
      </c>
      <c r="G104" s="83" t="e">
        <f t="shared" si="40"/>
        <v>#DIV/0!</v>
      </c>
      <c r="H104" s="33">
        <f t="shared" si="41"/>
        <v>0</v>
      </c>
      <c r="I104" s="33" t="e">
        <f t="shared" si="42"/>
        <v>#DIV/0!</v>
      </c>
    </row>
    <row r="105" spans="4:9" x14ac:dyDescent="0.3">
      <c r="D105" s="33" t="e">
        <f t="shared" si="37"/>
        <v>#DIV/0!</v>
      </c>
      <c r="E105" s="11">
        <f t="shared" si="38"/>
        <v>0</v>
      </c>
      <c r="F105" s="11">
        <f t="shared" si="39"/>
        <v>0</v>
      </c>
      <c r="G105" s="83" t="e">
        <f t="shared" si="40"/>
        <v>#DIV/0!</v>
      </c>
      <c r="H105" s="33">
        <f t="shared" si="41"/>
        <v>0</v>
      </c>
      <c r="I105" s="33" t="e">
        <f t="shared" si="42"/>
        <v>#DIV/0!</v>
      </c>
    </row>
    <row r="106" spans="4:9" x14ac:dyDescent="0.3">
      <c r="D106" s="33" t="e">
        <f t="shared" si="37"/>
        <v>#DIV/0!</v>
      </c>
      <c r="E106" s="11">
        <f t="shared" si="38"/>
        <v>0</v>
      </c>
      <c r="F106" s="11">
        <f t="shared" si="39"/>
        <v>0</v>
      </c>
      <c r="G106" s="83" t="e">
        <f t="shared" si="40"/>
        <v>#DIV/0!</v>
      </c>
      <c r="H106" s="33">
        <f t="shared" si="41"/>
        <v>0</v>
      </c>
      <c r="I106" s="33" t="e">
        <f t="shared" si="42"/>
        <v>#DIV/0!</v>
      </c>
    </row>
    <row r="107" spans="4:9" x14ac:dyDescent="0.3">
      <c r="D107" s="33" t="e">
        <f t="shared" si="37"/>
        <v>#DIV/0!</v>
      </c>
      <c r="E107" s="11">
        <f t="shared" si="38"/>
        <v>0</v>
      </c>
      <c r="F107" s="11">
        <f t="shared" si="39"/>
        <v>0</v>
      </c>
      <c r="G107" s="83" t="e">
        <f t="shared" si="40"/>
        <v>#DIV/0!</v>
      </c>
      <c r="H107" s="33">
        <f t="shared" si="41"/>
        <v>0</v>
      </c>
      <c r="I107" s="33" t="e">
        <f t="shared" si="42"/>
        <v>#DIV/0!</v>
      </c>
    </row>
    <row r="108" spans="4:9" x14ac:dyDescent="0.3">
      <c r="D108" s="33" t="e">
        <f t="shared" si="37"/>
        <v>#DIV/0!</v>
      </c>
      <c r="E108" s="11">
        <f t="shared" si="38"/>
        <v>0</v>
      </c>
      <c r="F108" s="11">
        <f t="shared" si="39"/>
        <v>0</v>
      </c>
      <c r="G108" s="83" t="e">
        <f t="shared" si="40"/>
        <v>#DIV/0!</v>
      </c>
      <c r="H108" s="33">
        <f t="shared" si="41"/>
        <v>0</v>
      </c>
      <c r="I108" s="33" t="e">
        <f t="shared" si="42"/>
        <v>#DIV/0!</v>
      </c>
    </row>
    <row r="109" spans="4:9" x14ac:dyDescent="0.3">
      <c r="D109" s="33" t="e">
        <f t="shared" si="37"/>
        <v>#DIV/0!</v>
      </c>
      <c r="E109" s="11">
        <f t="shared" si="38"/>
        <v>0</v>
      </c>
      <c r="F109" s="11">
        <f t="shared" si="39"/>
        <v>0</v>
      </c>
      <c r="G109" s="83" t="e">
        <f t="shared" si="40"/>
        <v>#DIV/0!</v>
      </c>
      <c r="H109" s="33">
        <f t="shared" si="41"/>
        <v>0</v>
      </c>
      <c r="I109" s="33" t="e">
        <f t="shared" si="42"/>
        <v>#DIV/0!</v>
      </c>
    </row>
    <row r="110" spans="4:9" x14ac:dyDescent="0.3">
      <c r="D110" s="33" t="e">
        <f t="shared" si="37"/>
        <v>#DIV/0!</v>
      </c>
      <c r="E110" s="11">
        <f t="shared" si="38"/>
        <v>0</v>
      </c>
      <c r="F110" s="11">
        <f t="shared" si="39"/>
        <v>0</v>
      </c>
      <c r="G110" s="83" t="e">
        <f t="shared" si="40"/>
        <v>#DIV/0!</v>
      </c>
      <c r="H110" s="33">
        <f t="shared" si="41"/>
        <v>0</v>
      </c>
      <c r="I110" s="33" t="e">
        <f t="shared" si="42"/>
        <v>#DIV/0!</v>
      </c>
    </row>
    <row r="111" spans="4:9" x14ac:dyDescent="0.3">
      <c r="D111" s="33" t="e">
        <f t="shared" si="37"/>
        <v>#DIV/0!</v>
      </c>
      <c r="E111" s="11">
        <f t="shared" si="38"/>
        <v>0</v>
      </c>
      <c r="F111" s="11">
        <f t="shared" si="39"/>
        <v>0</v>
      </c>
      <c r="G111" s="83" t="e">
        <f t="shared" si="40"/>
        <v>#DIV/0!</v>
      </c>
      <c r="H111" s="33">
        <f t="shared" si="41"/>
        <v>0</v>
      </c>
      <c r="I111" s="33" t="e">
        <f t="shared" si="42"/>
        <v>#DIV/0!</v>
      </c>
    </row>
    <row r="112" spans="4:9" x14ac:dyDescent="0.3">
      <c r="D112" s="33" t="e">
        <f t="shared" si="37"/>
        <v>#DIV/0!</v>
      </c>
      <c r="E112" s="11">
        <f t="shared" si="38"/>
        <v>0</v>
      </c>
      <c r="F112" s="11">
        <f t="shared" si="39"/>
        <v>0</v>
      </c>
      <c r="G112" s="83" t="e">
        <f t="shared" si="40"/>
        <v>#DIV/0!</v>
      </c>
      <c r="H112" s="33">
        <f t="shared" si="41"/>
        <v>0</v>
      </c>
      <c r="I112" s="33" t="e">
        <f t="shared" si="42"/>
        <v>#DIV/0!</v>
      </c>
    </row>
    <row r="113" spans="4:9" x14ac:dyDescent="0.3">
      <c r="D113" s="33" t="e">
        <f t="shared" si="37"/>
        <v>#DIV/0!</v>
      </c>
      <c r="E113" s="11">
        <f t="shared" si="38"/>
        <v>0</v>
      </c>
      <c r="F113" s="11">
        <f t="shared" si="39"/>
        <v>0</v>
      </c>
      <c r="G113" s="83" t="e">
        <f t="shared" si="40"/>
        <v>#DIV/0!</v>
      </c>
      <c r="H113" s="33">
        <f t="shared" si="41"/>
        <v>0</v>
      </c>
      <c r="I113" s="33" t="e">
        <f t="shared" si="42"/>
        <v>#DIV/0!</v>
      </c>
    </row>
    <row r="114" spans="4:9" x14ac:dyDescent="0.3">
      <c r="D114" s="33" t="e">
        <f t="shared" si="37"/>
        <v>#DIV/0!</v>
      </c>
      <c r="E114" s="11">
        <f t="shared" si="38"/>
        <v>0</v>
      </c>
      <c r="F114" s="11">
        <f t="shared" si="39"/>
        <v>0</v>
      </c>
      <c r="G114" s="83" t="e">
        <f t="shared" si="40"/>
        <v>#DIV/0!</v>
      </c>
      <c r="H114" s="33">
        <f t="shared" si="41"/>
        <v>0</v>
      </c>
      <c r="I114" s="33" t="e">
        <f t="shared" si="42"/>
        <v>#DIV/0!</v>
      </c>
    </row>
    <row r="115" spans="4:9" x14ac:dyDescent="0.3">
      <c r="D115" s="33" t="e">
        <f t="shared" si="37"/>
        <v>#DIV/0!</v>
      </c>
      <c r="E115" s="11">
        <f t="shared" si="38"/>
        <v>0</v>
      </c>
      <c r="F115" s="11">
        <f t="shared" si="39"/>
        <v>0</v>
      </c>
      <c r="G115" s="83" t="e">
        <f t="shared" si="40"/>
        <v>#DIV/0!</v>
      </c>
      <c r="H115" s="33">
        <f t="shared" si="41"/>
        <v>0</v>
      </c>
      <c r="I115" s="33" t="e">
        <f t="shared" si="42"/>
        <v>#DIV/0!</v>
      </c>
    </row>
    <row r="116" spans="4:9" x14ac:dyDescent="0.3">
      <c r="D116" s="33" t="e">
        <f t="shared" si="37"/>
        <v>#DIV/0!</v>
      </c>
      <c r="E116" s="11">
        <f t="shared" si="38"/>
        <v>0</v>
      </c>
      <c r="F116" s="11">
        <f t="shared" si="39"/>
        <v>0</v>
      </c>
      <c r="G116" s="83" t="e">
        <f t="shared" si="40"/>
        <v>#DIV/0!</v>
      </c>
      <c r="H116" s="33">
        <f t="shared" si="41"/>
        <v>0</v>
      </c>
      <c r="I116" s="33" t="e">
        <f t="shared" si="42"/>
        <v>#DIV/0!</v>
      </c>
    </row>
    <row r="117" spans="4:9" x14ac:dyDescent="0.3">
      <c r="D117" s="33" t="e">
        <f t="shared" si="37"/>
        <v>#DIV/0!</v>
      </c>
      <c r="E117" s="11">
        <f t="shared" si="38"/>
        <v>0</v>
      </c>
      <c r="F117" s="11">
        <f t="shared" si="39"/>
        <v>0</v>
      </c>
      <c r="G117" s="83" t="e">
        <f t="shared" si="40"/>
        <v>#DIV/0!</v>
      </c>
      <c r="H117" s="33">
        <f t="shared" si="41"/>
        <v>0</v>
      </c>
      <c r="I117" s="33" t="e">
        <f t="shared" si="42"/>
        <v>#DIV/0!</v>
      </c>
    </row>
    <row r="118" spans="4:9" x14ac:dyDescent="0.3">
      <c r="D118" s="33" t="e">
        <f t="shared" si="37"/>
        <v>#DIV/0!</v>
      </c>
      <c r="E118" s="11">
        <f t="shared" si="38"/>
        <v>0</v>
      </c>
      <c r="F118" s="11">
        <f t="shared" si="39"/>
        <v>0</v>
      </c>
      <c r="G118" s="83" t="e">
        <f t="shared" si="40"/>
        <v>#DIV/0!</v>
      </c>
      <c r="H118" s="33">
        <f t="shared" si="41"/>
        <v>0</v>
      </c>
      <c r="I118" s="33" t="e">
        <f t="shared" si="42"/>
        <v>#DIV/0!</v>
      </c>
    </row>
    <row r="119" spans="4:9" x14ac:dyDescent="0.3">
      <c r="D119" s="33" t="e">
        <f t="shared" si="37"/>
        <v>#DIV/0!</v>
      </c>
      <c r="E119" s="11">
        <f t="shared" si="38"/>
        <v>0</v>
      </c>
      <c r="F119" s="11">
        <f t="shared" si="39"/>
        <v>0</v>
      </c>
      <c r="G119" s="83" t="e">
        <f t="shared" si="40"/>
        <v>#DIV/0!</v>
      </c>
      <c r="H119" s="33">
        <f t="shared" si="41"/>
        <v>0</v>
      </c>
      <c r="I119" s="33" t="e">
        <f t="shared" si="42"/>
        <v>#DIV/0!</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E4D408-891B-4465-8F80-7726ACC6CDF3}">
  <dimension ref="B2:J35"/>
  <sheetViews>
    <sheetView workbookViewId="0">
      <selection activeCell="O30" sqref="O30"/>
    </sheetView>
  </sheetViews>
  <sheetFormatPr defaultRowHeight="14.4" x14ac:dyDescent="0.3"/>
  <cols>
    <col min="2" max="2" width="10.33203125" bestFit="1" customWidth="1"/>
    <col min="4" max="4" width="9.33203125" customWidth="1"/>
    <col min="8" max="8" width="10.33203125" bestFit="1" customWidth="1"/>
    <col min="10" max="10" width="9.33203125" customWidth="1"/>
  </cols>
  <sheetData>
    <row r="2" spans="2:10" x14ac:dyDescent="0.3">
      <c r="B2" t="s">
        <v>75</v>
      </c>
      <c r="C2" t="s">
        <v>45</v>
      </c>
      <c r="D2" t="s">
        <v>46</v>
      </c>
      <c r="E2" t="s">
        <v>66</v>
      </c>
      <c r="H2" t="s">
        <v>75</v>
      </c>
      <c r="I2" t="s">
        <v>45</v>
      </c>
      <c r="J2" t="s">
        <v>46</v>
      </c>
    </row>
    <row r="3" spans="2:10" x14ac:dyDescent="0.3">
      <c r="B3" s="1">
        <v>45947</v>
      </c>
      <c r="C3" t="s">
        <v>116</v>
      </c>
      <c r="D3">
        <f>SUMIFS(Table14[Debit], Table14[Date], Table5[[#This Row],[Date]], Table14[Party], "Rashan")</f>
        <v>0</v>
      </c>
      <c r="H3" s="1">
        <v>45947</v>
      </c>
      <c r="J3">
        <f>SUMIFS(Table14[Debit], Table14[Date], Table15[[#This Row],[Date]], Table14[Party], "Parts")</f>
        <v>0</v>
      </c>
    </row>
    <row r="4" spans="2:10" x14ac:dyDescent="0.3">
      <c r="B4" s="1">
        <v>45948</v>
      </c>
      <c r="C4" t="s">
        <v>116</v>
      </c>
      <c r="D4">
        <f>SUMIFS(Table14[Debit], Table14[Date], Table5[[#This Row],[Date]], Table14[Party], "Rashan")</f>
        <v>0</v>
      </c>
      <c r="H4" s="1">
        <v>45948</v>
      </c>
      <c r="I4" t="s">
        <v>55</v>
      </c>
      <c r="J4">
        <f>SUMIFS(Table14[Debit], Table14[Date], Table15[[#This Row],[Date]], Table14[Party], "Parts")</f>
        <v>44870</v>
      </c>
    </row>
    <row r="5" spans="2:10" x14ac:dyDescent="0.3">
      <c r="B5" s="1">
        <v>45949</v>
      </c>
      <c r="C5" t="s">
        <v>116</v>
      </c>
      <c r="D5">
        <f>SUMIFS(Table14[Debit], Table14[Date], Table5[[#This Row],[Date]], Table14[Party], "Rashan")</f>
        <v>0</v>
      </c>
      <c r="H5" s="1">
        <v>45949</v>
      </c>
      <c r="I5" t="s">
        <v>55</v>
      </c>
      <c r="J5">
        <f>SUMIFS(Table14[Debit], Table14[Date], Table15[[#This Row],[Date]], Table14[Party], "Parts")</f>
        <v>0</v>
      </c>
    </row>
    <row r="6" spans="2:10" x14ac:dyDescent="0.3">
      <c r="B6" s="1">
        <v>45950</v>
      </c>
      <c r="C6" t="s">
        <v>116</v>
      </c>
      <c r="D6">
        <f>SUMIFS(Table14[Debit], Table14[Date], Table5[[#This Row],[Date]], Table14[Party], "Rashan")</f>
        <v>0</v>
      </c>
      <c r="H6" s="1">
        <v>45950</v>
      </c>
      <c r="I6" t="s">
        <v>55</v>
      </c>
      <c r="J6">
        <f>SUMIFS(Table14[Debit], Table14[Date], Table15[[#This Row],[Date]], Table14[Party], "Parts")</f>
        <v>0</v>
      </c>
    </row>
    <row r="7" spans="2:10" x14ac:dyDescent="0.3">
      <c r="B7" s="1">
        <v>45951</v>
      </c>
      <c r="C7" t="s">
        <v>116</v>
      </c>
      <c r="D7">
        <f>SUMIFS(Table14[Debit], Table14[Date], Table5[[#This Row],[Date]], Table14[Party], "Rashan")</f>
        <v>0</v>
      </c>
      <c r="H7" s="1">
        <v>45951</v>
      </c>
      <c r="I7" t="s">
        <v>55</v>
      </c>
      <c r="J7">
        <f>SUMIFS(Table14[Debit], Table14[Date], Table15[[#This Row],[Date]], Table14[Party], "Parts")</f>
        <v>20800</v>
      </c>
    </row>
    <row r="8" spans="2:10" x14ac:dyDescent="0.3">
      <c r="B8" s="1">
        <v>45952</v>
      </c>
      <c r="C8" t="s">
        <v>116</v>
      </c>
      <c r="D8">
        <f>SUMIFS(Table14[Debit], Table14[Date], Table5[[#This Row],[Date]], Table14[Party], "Rashan")</f>
        <v>0</v>
      </c>
      <c r="H8" s="1">
        <v>45952</v>
      </c>
      <c r="J8">
        <f>SUMIFS(Table14[Debit], Table14[Date], Table15[[#This Row],[Date]], Table14[Party], "Parts")</f>
        <v>28310</v>
      </c>
    </row>
    <row r="9" spans="2:10" x14ac:dyDescent="0.3">
      <c r="B9" s="1">
        <v>45953</v>
      </c>
      <c r="C9" t="s">
        <v>116</v>
      </c>
      <c r="D9">
        <f>SUMIFS(Table14[Debit], Table14[Date], Table5[[#This Row],[Date]], Table14[Party], "Rashan")</f>
        <v>18245</v>
      </c>
      <c r="H9" s="1">
        <v>45953</v>
      </c>
      <c r="J9">
        <f>SUMIFS(Table14[Debit], Table14[Date], Table15[[#This Row],[Date]], Table14[Party], "Parts")</f>
        <v>9550</v>
      </c>
    </row>
    <row r="10" spans="2:10" x14ac:dyDescent="0.3">
      <c r="B10" s="1">
        <v>45954</v>
      </c>
      <c r="C10" t="s">
        <v>116</v>
      </c>
      <c r="D10">
        <f>SUMIFS(Table14[Debit], Table14[Date], Table5[[#This Row],[Date]], Table14[Party], "Rashan")</f>
        <v>0</v>
      </c>
      <c r="H10" s="1">
        <v>45954</v>
      </c>
      <c r="J10">
        <f>SUMIFS(Table14[Debit], Table14[Date], Table15[[#This Row],[Date]], Table14[Party], "Parts")</f>
        <v>52400</v>
      </c>
    </row>
    <row r="11" spans="2:10" x14ac:dyDescent="0.3">
      <c r="B11" s="1">
        <v>45955</v>
      </c>
      <c r="C11" t="s">
        <v>116</v>
      </c>
      <c r="D11">
        <f>SUMIFS(Table14[Debit], Table14[Date], Table5[[#This Row],[Date]], Table14[Party], "Rashan")</f>
        <v>20000</v>
      </c>
      <c r="H11" s="1">
        <v>45955</v>
      </c>
      <c r="J11">
        <f>SUMIFS(Table14[Debit], Table14[Date], Table15[[#This Row],[Date]], Table14[Party], "Parts")</f>
        <v>20000</v>
      </c>
    </row>
    <row r="12" spans="2:10" x14ac:dyDescent="0.3">
      <c r="B12" s="1">
        <v>45956</v>
      </c>
      <c r="C12" t="s">
        <v>116</v>
      </c>
      <c r="D12">
        <f>SUMIFS(Table14[Debit], Table14[Date], Table5[[#This Row],[Date]], Table14[Party], "Rashan")</f>
        <v>0</v>
      </c>
      <c r="H12" s="1">
        <v>45956</v>
      </c>
      <c r="J12">
        <f>SUMIFS(Table14[Debit], Table14[Date], Table15[[#This Row],[Date]], Table14[Party], "Parts")</f>
        <v>20000</v>
      </c>
    </row>
    <row r="13" spans="2:10" x14ac:dyDescent="0.3">
      <c r="B13" s="1">
        <v>45957</v>
      </c>
      <c r="C13" t="s">
        <v>116</v>
      </c>
      <c r="D13">
        <f>SUMIFS(Table14[Debit], Table14[Date], Table5[[#This Row],[Date]], Table14[Party], "Rashan")</f>
        <v>0</v>
      </c>
      <c r="H13" s="1">
        <v>45957</v>
      </c>
      <c r="J13">
        <f>SUMIFS(Table14[Debit], Table14[Date], Table15[[#This Row],[Date]], Table14[Party], "Parts")</f>
        <v>22550</v>
      </c>
    </row>
    <row r="14" spans="2:10" x14ac:dyDescent="0.3">
      <c r="B14" s="1">
        <v>45958</v>
      </c>
      <c r="C14" t="s">
        <v>116</v>
      </c>
      <c r="D14">
        <f>SUMIFS(Table14[Debit], Table14[Date], Table5[[#This Row],[Date]], Table14[Party], "Rashan")</f>
        <v>0</v>
      </c>
      <c r="H14" s="1">
        <v>45958</v>
      </c>
      <c r="J14">
        <f>SUMIFS(Table14[Debit], Table14[Date], Table15[[#This Row],[Date]], Table14[Party], "Parts")</f>
        <v>1200</v>
      </c>
    </row>
    <row r="15" spans="2:10" x14ac:dyDescent="0.3">
      <c r="B15" s="1">
        <v>45959</v>
      </c>
      <c r="C15" t="s">
        <v>116</v>
      </c>
      <c r="D15">
        <f>SUMIFS(Table14[Debit], Table14[Date], Table5[[#This Row],[Date]], Table14[Party], "Rashan")</f>
        <v>0</v>
      </c>
      <c r="H15" s="1">
        <v>45959</v>
      </c>
      <c r="J15">
        <f>SUMIFS(Table14[Debit], Table14[Date], Table15[[#This Row],[Date]], Table14[Party], "Parts")</f>
        <v>5040</v>
      </c>
    </row>
    <row r="16" spans="2:10" x14ac:dyDescent="0.3">
      <c r="B16" s="1">
        <v>45960</v>
      </c>
      <c r="C16" t="s">
        <v>116</v>
      </c>
      <c r="D16">
        <f>SUMIFS(Table14[Debit], Table14[Date], Table5[[#This Row],[Date]], Table14[Party], "Rashan")</f>
        <v>0</v>
      </c>
      <c r="H16" s="1">
        <v>45960</v>
      </c>
      <c r="J16">
        <f>SUMIFS(Table14[Debit], Table14[Date], Table15[[#This Row],[Date]], Table14[Party], "Parts")</f>
        <v>0</v>
      </c>
    </row>
    <row r="17" spans="2:10" x14ac:dyDescent="0.3">
      <c r="B17" s="1">
        <v>45961</v>
      </c>
      <c r="C17" t="s">
        <v>116</v>
      </c>
      <c r="D17">
        <f>SUMIFS(Table14[Debit], Table14[Date], Table5[[#This Row],[Date]], Table14[Party], "Rashan")</f>
        <v>0</v>
      </c>
      <c r="H17" s="1">
        <v>45961</v>
      </c>
      <c r="J17">
        <f>SUMIFS(Table14[Debit], Table14[Date], Table15[[#This Row],[Date]], Table14[Party], "Parts")</f>
        <v>0</v>
      </c>
    </row>
    <row r="18" spans="2:10" x14ac:dyDescent="0.3">
      <c r="B18" s="1">
        <v>45962</v>
      </c>
      <c r="C18" t="s">
        <v>116</v>
      </c>
      <c r="D18">
        <f>SUMIFS(Table14[Debit], Table14[Date], Table5[[#This Row],[Date]], Table14[Party], "Rashan")</f>
        <v>0</v>
      </c>
      <c r="H18" s="1">
        <v>45962</v>
      </c>
      <c r="J18">
        <f>SUMIFS(Table14[Debit], Table14[Date], Table15[[#This Row],[Date]], Table14[Party], "Parts")</f>
        <v>0</v>
      </c>
    </row>
    <row r="19" spans="2:10" x14ac:dyDescent="0.3">
      <c r="B19" s="1">
        <v>45963</v>
      </c>
      <c r="C19" t="s">
        <v>116</v>
      </c>
      <c r="D19">
        <f>SUMIFS(Table14[Debit], Table14[Date], Table5[[#This Row],[Date]], Table14[Party], "Rashan")</f>
        <v>0</v>
      </c>
      <c r="H19" s="1">
        <v>45963</v>
      </c>
      <c r="J19">
        <f>SUMIFS(Table14[Debit], Table14[Date], Table15[[#This Row],[Date]], Table14[Party], "Parts")</f>
        <v>0</v>
      </c>
    </row>
    <row r="20" spans="2:10" x14ac:dyDescent="0.3">
      <c r="B20" s="1">
        <v>45964</v>
      </c>
      <c r="C20" t="s">
        <v>116</v>
      </c>
      <c r="D20">
        <f>SUMIFS(Table14[Debit], Table14[Date], Table5[[#This Row],[Date]], Table14[Party], "Rashan")</f>
        <v>0</v>
      </c>
      <c r="H20" s="1">
        <v>45964</v>
      </c>
      <c r="J20">
        <f>SUMIFS(Table14[Debit], Table14[Date], Table15[[#This Row],[Date]], Table14[Party], "Parts")</f>
        <v>0</v>
      </c>
    </row>
    <row r="21" spans="2:10" x14ac:dyDescent="0.3">
      <c r="B21" s="1">
        <v>45965</v>
      </c>
      <c r="C21" t="s">
        <v>116</v>
      </c>
      <c r="D21">
        <f>SUMIFS(Table14[Debit], Table14[Date], Table5[[#This Row],[Date]], Table14[Party], "Rashan")</f>
        <v>0</v>
      </c>
      <c r="H21" s="1">
        <v>45965</v>
      </c>
      <c r="J21">
        <f>SUMIFS(Table14[Debit], Table14[Date], Table15[[#This Row],[Date]], Table14[Party], "Parts")</f>
        <v>0</v>
      </c>
    </row>
    <row r="22" spans="2:10" x14ac:dyDescent="0.3">
      <c r="B22" s="1">
        <v>45966</v>
      </c>
      <c r="C22" t="s">
        <v>116</v>
      </c>
      <c r="D22">
        <f>SUMIFS(Table14[Debit], Table14[Date], Table5[[#This Row],[Date]], Table14[Party], "Rashan")</f>
        <v>0</v>
      </c>
      <c r="H22" s="1">
        <v>45966</v>
      </c>
      <c r="J22">
        <f>SUMIFS(Table14[Debit], Table14[Date], Table15[[#This Row],[Date]], Table14[Party], "Parts")</f>
        <v>0</v>
      </c>
    </row>
    <row r="23" spans="2:10" x14ac:dyDescent="0.3">
      <c r="B23" s="1">
        <v>45967</v>
      </c>
      <c r="C23" t="s">
        <v>116</v>
      </c>
      <c r="D23">
        <f>SUMIFS(Table14[Debit], Table14[Date], Table5[[#This Row],[Date]], Table14[Party], "Rashan")</f>
        <v>0</v>
      </c>
      <c r="H23" s="1">
        <v>45967</v>
      </c>
      <c r="J23">
        <f>SUMIFS(Table14[Debit], Table14[Date], Table15[[#This Row],[Date]], Table14[Party], "Parts")</f>
        <v>0</v>
      </c>
    </row>
    <row r="24" spans="2:10" x14ac:dyDescent="0.3">
      <c r="B24" s="1">
        <v>45968</v>
      </c>
      <c r="C24" t="s">
        <v>116</v>
      </c>
      <c r="D24">
        <f>SUMIFS(Table14[Debit], Table14[Date], Table5[[#This Row],[Date]], Table14[Party], "Rashan")</f>
        <v>0</v>
      </c>
      <c r="H24" s="1">
        <v>45968</v>
      </c>
      <c r="J24">
        <f>SUMIFS(Table14[Debit], Table14[Date], Table15[[#This Row],[Date]], Table14[Party], "Parts")</f>
        <v>0</v>
      </c>
    </row>
    <row r="25" spans="2:10" x14ac:dyDescent="0.3">
      <c r="B25" s="1">
        <v>45969</v>
      </c>
      <c r="C25" t="s">
        <v>116</v>
      </c>
      <c r="D25">
        <f>SUMIFS(Table14[Debit], Table14[Date], Table5[[#This Row],[Date]], Table14[Party], "Rashan")</f>
        <v>0</v>
      </c>
      <c r="H25" s="1">
        <v>45969</v>
      </c>
      <c r="J25">
        <f>SUMIFS(Table14[Debit], Table14[Date], Table15[[#This Row],[Date]], Table14[Party], "Parts")</f>
        <v>0</v>
      </c>
    </row>
    <row r="26" spans="2:10" x14ac:dyDescent="0.3">
      <c r="B26" s="1">
        <v>45970</v>
      </c>
      <c r="C26" t="s">
        <v>116</v>
      </c>
      <c r="D26">
        <f>SUMIFS(Table14[Debit], Table14[Date], Table5[[#This Row],[Date]], Table14[Party], "Rashan")</f>
        <v>0</v>
      </c>
      <c r="H26" s="1">
        <v>45970</v>
      </c>
      <c r="J26">
        <f>SUMIFS(Table14[Debit], Table14[Date], Table15[[#This Row],[Date]], Table14[Party], "Parts")</f>
        <v>0</v>
      </c>
    </row>
    <row r="27" spans="2:10" x14ac:dyDescent="0.3">
      <c r="B27" s="1">
        <v>45971</v>
      </c>
      <c r="C27" t="s">
        <v>116</v>
      </c>
      <c r="D27">
        <f>SUMIFS(Table14[Debit], Table14[Date], Table5[[#This Row],[Date]], Table14[Party], "Rashan")</f>
        <v>0</v>
      </c>
      <c r="H27" s="1">
        <v>45971</v>
      </c>
      <c r="J27">
        <f>SUMIFS(Table14[Debit], Table14[Date], Table15[[#This Row],[Date]], Table14[Party], "Parts")</f>
        <v>0</v>
      </c>
    </row>
    <row r="28" spans="2:10" x14ac:dyDescent="0.3">
      <c r="B28" s="1">
        <v>45972</v>
      </c>
      <c r="C28" t="s">
        <v>116</v>
      </c>
      <c r="D28">
        <f>SUMIFS(Table14[Debit], Table14[Date], Table5[[#This Row],[Date]], Table14[Party], "Rashan")</f>
        <v>0</v>
      </c>
      <c r="H28" s="1">
        <v>45972</v>
      </c>
      <c r="J28">
        <f>SUMIFS(Table14[Debit], Table14[Date], Table15[[#This Row],[Date]], Table14[Party], "Parts")</f>
        <v>0</v>
      </c>
    </row>
    <row r="29" spans="2:10" x14ac:dyDescent="0.3">
      <c r="B29" s="1">
        <v>45973</v>
      </c>
      <c r="C29" t="s">
        <v>116</v>
      </c>
      <c r="D29">
        <f>SUMIFS(Table14[Debit], Table14[Date], Table5[[#This Row],[Date]], Table14[Party], "Rashan")</f>
        <v>0</v>
      </c>
      <c r="H29" s="1">
        <v>45973</v>
      </c>
      <c r="J29">
        <f>SUMIFS(Table14[Debit], Table14[Date], Table15[[#This Row],[Date]], Table14[Party], "Parts")</f>
        <v>0</v>
      </c>
    </row>
    <row r="30" spans="2:10" x14ac:dyDescent="0.3">
      <c r="B30" s="1">
        <v>45974</v>
      </c>
      <c r="C30" t="s">
        <v>116</v>
      </c>
      <c r="D30">
        <f>SUMIFS(Table14[Debit], Table14[Date], Table5[[#This Row],[Date]], Table14[Party], "Rashan")</f>
        <v>0</v>
      </c>
      <c r="H30" s="1">
        <v>45974</v>
      </c>
      <c r="J30">
        <f>SUMIFS(Table14[Debit], Table14[Date], Table15[[#This Row],[Date]], Table14[Party], "Parts")</f>
        <v>0</v>
      </c>
    </row>
    <row r="31" spans="2:10" x14ac:dyDescent="0.3">
      <c r="B31" s="1">
        <v>45975</v>
      </c>
      <c r="C31" t="s">
        <v>116</v>
      </c>
      <c r="D31">
        <f>SUMIFS(Table14[Debit], Table14[Date], Table5[[#This Row],[Date]], Table14[Party], "Rashan")</f>
        <v>0</v>
      </c>
      <c r="H31" s="1">
        <v>45975</v>
      </c>
      <c r="J31">
        <f>SUMIFS(Table14[Debit], Table14[Date], Table15[[#This Row],[Date]], Table14[Party], "Parts")</f>
        <v>0</v>
      </c>
    </row>
    <row r="32" spans="2:10" x14ac:dyDescent="0.3">
      <c r="B32" s="1">
        <v>45976</v>
      </c>
      <c r="C32" t="s">
        <v>116</v>
      </c>
      <c r="D32">
        <f>SUMIFS(Table14[Debit], Table14[Date], Table5[[#This Row],[Date]], Table14[Party], "Rashan")</f>
        <v>0</v>
      </c>
      <c r="H32" s="1">
        <v>45976</v>
      </c>
      <c r="J32">
        <f>SUMIFS(Table14[Debit], Table14[Date], Table15[[#This Row],[Date]], Table14[Party], "Parts")</f>
        <v>0</v>
      </c>
    </row>
    <row r="33" spans="2:10" x14ac:dyDescent="0.3">
      <c r="B33" s="1">
        <v>45977</v>
      </c>
      <c r="C33" t="s">
        <v>116</v>
      </c>
      <c r="D33">
        <f>SUMIFS(Table14[Debit], Table14[Date], Table5[[#This Row],[Date]], Table14[Party], "Rashan")</f>
        <v>0</v>
      </c>
      <c r="H33" s="1">
        <v>45977</v>
      </c>
      <c r="J33">
        <f>SUMIFS(Table14[Debit], Table14[Date], Table15[[#This Row],[Date]], Table14[Party], "Parts")</f>
        <v>0</v>
      </c>
    </row>
    <row r="34" spans="2:10" x14ac:dyDescent="0.3">
      <c r="B34" s="1">
        <v>45978</v>
      </c>
      <c r="C34" t="s">
        <v>116</v>
      </c>
      <c r="D34">
        <f>SUMIFS(Table14[Debit], Table14[Date], Table5[[#This Row],[Date]], Table14[Party], "Rashan")</f>
        <v>0</v>
      </c>
      <c r="H34" s="1">
        <v>45978</v>
      </c>
      <c r="J34">
        <f>SUMIFS(Table14[Debit], Table14[Date], Table15[[#This Row],[Date]], Table14[Party], "Parts")</f>
        <v>0</v>
      </c>
    </row>
    <row r="35" spans="2:10" x14ac:dyDescent="0.3">
      <c r="B35" s="1"/>
      <c r="D35">
        <f>SUM(Table5[Amount])</f>
        <v>38245</v>
      </c>
      <c r="H35" s="1"/>
      <c r="J35">
        <f>SUM(Table15[Amount])</f>
        <v>224720</v>
      </c>
    </row>
  </sheetData>
  <pageMargins left="0.7" right="0.7" top="0.75" bottom="0.75" header="0.3" footer="0.3"/>
  <tableParts count="2">
    <tablePart r:id="rId1"/>
    <tablePart r:id="rId2"/>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E5FCD-38DA-4943-8A91-71F737A33574}">
  <dimension ref="A1:C28"/>
  <sheetViews>
    <sheetView workbookViewId="0">
      <selection activeCell="C2" sqref="C2"/>
    </sheetView>
  </sheetViews>
  <sheetFormatPr defaultRowHeight="14.4" x14ac:dyDescent="0.3"/>
  <cols>
    <col min="1" max="1" width="16.77734375" customWidth="1"/>
    <col min="2" max="2" width="11.6640625" customWidth="1"/>
    <col min="3" max="3" width="17" customWidth="1"/>
  </cols>
  <sheetData>
    <row r="1" spans="1:3" x14ac:dyDescent="0.3">
      <c r="A1" t="s">
        <v>2</v>
      </c>
      <c r="B1" t="s">
        <v>17</v>
      </c>
      <c r="C1" t="s">
        <v>18</v>
      </c>
    </row>
    <row r="2" spans="1:3" ht="18" x14ac:dyDescent="0.35">
      <c r="A2" s="86" t="str">
        <f>Billing!Q5</f>
        <v>BSC</v>
      </c>
      <c r="B2" s="14">
        <f>Billing!AA5</f>
        <v>16815241</v>
      </c>
      <c r="C2" s="101">
        <f>Billing!AB5</f>
        <v>553341.66276518255</v>
      </c>
    </row>
    <row r="3" spans="1:3" ht="18" x14ac:dyDescent="0.35">
      <c r="A3" s="86" t="str">
        <f>Billing!Q6</f>
        <v>Ejaz Sahab</v>
      </c>
      <c r="B3" s="14">
        <f>Billing!AA6</f>
        <v>859904</v>
      </c>
      <c r="C3" s="101">
        <f>Billing!AB6</f>
        <v>1155421.5303584493</v>
      </c>
    </row>
    <row r="4" spans="1:3" ht="18" x14ac:dyDescent="0.35">
      <c r="A4" s="86" t="str">
        <f>Billing!Q7</f>
        <v>Arshad</v>
      </c>
      <c r="B4" s="14">
        <f>Billing!AA7</f>
        <v>3093935</v>
      </c>
      <c r="C4" s="102">
        <f>Billing!AB7</f>
        <v>157197.04096561857</v>
      </c>
    </row>
    <row r="5" spans="1:3" ht="18" x14ac:dyDescent="0.35">
      <c r="A5" s="86" t="str">
        <f>Billing!Q8</f>
        <v>Shehzad Kamoki</v>
      </c>
      <c r="B5" s="14">
        <f>Billing!AA8</f>
        <v>1268740</v>
      </c>
      <c r="C5" s="102">
        <f>Billing!AB8</f>
        <v>530.34403803967871</v>
      </c>
    </row>
    <row r="6" spans="1:3" ht="18" x14ac:dyDescent="0.35">
      <c r="A6" s="86" t="str">
        <f>Billing!Q9</f>
        <v>Sufi Nawaz Sahab</v>
      </c>
      <c r="B6" s="14">
        <f>Billing!AA9</f>
        <v>10129100</v>
      </c>
      <c r="C6" s="101">
        <f>Billing!AB9</f>
        <v>1109704.4725676663</v>
      </c>
    </row>
    <row r="7" spans="1:3" ht="18" x14ac:dyDescent="0.35">
      <c r="A7" s="86" t="str">
        <f>Billing!Q10</f>
        <v>Sajad Khan</v>
      </c>
      <c r="B7" s="14">
        <f>Billing!AA10</f>
        <v>4817947</v>
      </c>
      <c r="C7" s="101">
        <f>Billing!AB10</f>
        <v>917.30138990469277</v>
      </c>
    </row>
    <row r="8" spans="1:3" ht="18" x14ac:dyDescent="0.35">
      <c r="A8" s="86" t="str">
        <f>Billing!Q11</f>
        <v>Raaz Fabrics</v>
      </c>
      <c r="B8" s="14">
        <f>Billing!AA11</f>
        <v>600000</v>
      </c>
      <c r="C8" s="101">
        <f>Billing!AB11</f>
        <v>90919.89758595475</v>
      </c>
    </row>
    <row r="9" spans="1:3" ht="18" x14ac:dyDescent="0.35">
      <c r="A9" s="86" t="str">
        <f>Billing!Q12</f>
        <v>Azam</v>
      </c>
      <c r="B9" s="14">
        <f>Billing!AA12</f>
        <v>1617620</v>
      </c>
      <c r="C9" s="102">
        <f>Billing!AB12</f>
        <v>467.05193855194375</v>
      </c>
    </row>
    <row r="10" spans="1:3" ht="18" x14ac:dyDescent="0.35">
      <c r="A10" s="86" t="str">
        <f>Billing!Q13</f>
        <v>Ubaidullah</v>
      </c>
      <c r="B10" s="14">
        <f>Billing!AA13</f>
        <v>630150</v>
      </c>
      <c r="C10" s="101">
        <f>Billing!AB13</f>
        <v>1084.4550109730335</v>
      </c>
    </row>
    <row r="11" spans="1:3" ht="18" x14ac:dyDescent="0.35">
      <c r="A11" s="86" t="str">
        <f>Billing!Q14</f>
        <v>Ashraf Zia</v>
      </c>
      <c r="B11" s="14">
        <f>Billing!AA14</f>
        <v>0</v>
      </c>
      <c r="C11" s="101">
        <f>Billing!AB14</f>
        <v>255724.21360643749</v>
      </c>
    </row>
    <row r="12" spans="1:3" ht="18" x14ac:dyDescent="0.35">
      <c r="A12" s="86" t="str">
        <f>Billing!Q15</f>
        <v>Hafiz Qureshi</v>
      </c>
      <c r="B12" s="14">
        <f>Billing!AA15</f>
        <v>400000</v>
      </c>
      <c r="C12" s="101">
        <f>Billing!AB15</f>
        <v>542053.76737381134</v>
      </c>
    </row>
    <row r="13" spans="1:3" ht="18" x14ac:dyDescent="0.35">
      <c r="A13" s="86" t="str">
        <f>Billing!Q16</f>
        <v>Badshah Fabrics</v>
      </c>
      <c r="B13" s="14">
        <f>Billing!AA16</f>
        <v>1870000</v>
      </c>
      <c r="C13" s="101">
        <f>Billing!AB16</f>
        <v>1475932.6993416245</v>
      </c>
    </row>
    <row r="14" spans="1:3" ht="18" x14ac:dyDescent="0.35">
      <c r="A14" t="str">
        <f>Billing!Q17</f>
        <v>Reject</v>
      </c>
      <c r="B14" s="14">
        <f>Billing!AA17</f>
        <v>0</v>
      </c>
      <c r="C14" s="101">
        <f>Billing!AB17</f>
        <v>0</v>
      </c>
    </row>
    <row r="15" spans="1:3" ht="18" x14ac:dyDescent="0.35">
      <c r="A15" t="str">
        <f>Billing!Q18</f>
        <v>Amjad 7up</v>
      </c>
      <c r="B15" s="14">
        <f>Billing!AA18</f>
        <v>400000</v>
      </c>
      <c r="C15" s="101">
        <f>Billing!AB18</f>
        <v>83851.499634235573</v>
      </c>
    </row>
    <row r="16" spans="1:3" ht="18" x14ac:dyDescent="0.35">
      <c r="A16" t="str">
        <f>Billing!Q19</f>
        <v>Hazrat Khan</v>
      </c>
      <c r="B16" s="14">
        <f>Billing!AA19</f>
        <v>95000</v>
      </c>
      <c r="C16" s="101">
        <f>Billing!AB19</f>
        <v>-5844.9158741770225</v>
      </c>
    </row>
    <row r="17" spans="1:3" ht="18" x14ac:dyDescent="0.35">
      <c r="A17" t="str">
        <f>Billing!Q20</f>
        <v>Haseeb Shamsi</v>
      </c>
      <c r="B17" s="14">
        <f>Billing!AA20</f>
        <v>256200</v>
      </c>
      <c r="C17" s="101">
        <f>Billing!AB20</f>
        <v>72.860277981031686</v>
      </c>
    </row>
    <row r="18" spans="1:3" ht="18" x14ac:dyDescent="0.35">
      <c r="A18" t="str">
        <f>Billing!Q21</f>
        <v>Faizan</v>
      </c>
      <c r="B18" s="14">
        <f>Billing!AA21</f>
        <v>415571</v>
      </c>
      <c r="C18" s="102">
        <f>Billing!AB21</f>
        <v>10.565471836132929</v>
      </c>
    </row>
    <row r="19" spans="1:3" ht="18" x14ac:dyDescent="0.35">
      <c r="A19" t="str">
        <f>Billing!Q22</f>
        <v>Shafique Ansari</v>
      </c>
      <c r="B19" s="14">
        <f>Billing!AA22</f>
        <v>98000</v>
      </c>
      <c r="C19" s="102">
        <f>Billing!AB22</f>
        <v>643360.64374542807</v>
      </c>
    </row>
    <row r="20" spans="1:3" ht="18" x14ac:dyDescent="0.35">
      <c r="A20" t="str">
        <f>Billing!Q23</f>
        <v>Amjad sohail</v>
      </c>
      <c r="B20" s="14">
        <f>Billing!AA23</f>
        <v>300000</v>
      </c>
      <c r="C20" s="101">
        <f>Billing!AB23</f>
        <v>-280243.23335771763</v>
      </c>
    </row>
    <row r="21" spans="1:3" ht="18" x14ac:dyDescent="0.35">
      <c r="A21">
        <f>Billing!Q24</f>
        <v>0</v>
      </c>
      <c r="B21" s="14">
        <f>Billing!AA24</f>
        <v>0</v>
      </c>
      <c r="C21" s="101">
        <f>Billing!AB24</f>
        <v>0</v>
      </c>
    </row>
    <row r="22" spans="1:3" ht="18" x14ac:dyDescent="0.35">
      <c r="A22">
        <f>Billing!Q25</f>
        <v>0</v>
      </c>
      <c r="B22" s="14">
        <f>Billing!AA25</f>
        <v>0</v>
      </c>
      <c r="C22" s="101">
        <f>Billing!AB25</f>
        <v>0</v>
      </c>
    </row>
    <row r="23" spans="1:3" ht="18" x14ac:dyDescent="0.35">
      <c r="A23">
        <f>Billing!Q26</f>
        <v>0</v>
      </c>
      <c r="B23" s="14">
        <f>Billing!AA26</f>
        <v>0</v>
      </c>
      <c r="C23" s="101">
        <f>Billing!AB26</f>
        <v>0</v>
      </c>
    </row>
    <row r="24" spans="1:3" ht="18" x14ac:dyDescent="0.35">
      <c r="A24">
        <f>Billing!Q27</f>
        <v>0</v>
      </c>
      <c r="B24" s="14">
        <f>Billing!AA27</f>
        <v>0</v>
      </c>
      <c r="C24" s="101">
        <f>Billing!AB27</f>
        <v>0</v>
      </c>
    </row>
    <row r="25" spans="1:3" ht="18" x14ac:dyDescent="0.35">
      <c r="A25">
        <f>Billing!Q28</f>
        <v>0</v>
      </c>
      <c r="B25" s="14">
        <f>Billing!AA28</f>
        <v>0</v>
      </c>
      <c r="C25" s="101">
        <f>Billing!AB28</f>
        <v>0</v>
      </c>
    </row>
    <row r="26" spans="1:3" ht="18" x14ac:dyDescent="0.35">
      <c r="A26">
        <f>Billing!Q29</f>
        <v>0</v>
      </c>
      <c r="B26" s="14">
        <f>Billing!AA29</f>
        <v>0</v>
      </c>
      <c r="C26" s="101">
        <f>Billing!AB29</f>
        <v>0</v>
      </c>
    </row>
    <row r="27" spans="1:3" ht="18" x14ac:dyDescent="0.35">
      <c r="A27">
        <f>Billing!Q30</f>
        <v>0</v>
      </c>
      <c r="B27" s="14">
        <f>Billing!AA30</f>
        <v>0</v>
      </c>
      <c r="C27" s="101">
        <f>Billing!AB30</f>
        <v>0</v>
      </c>
    </row>
    <row r="28" spans="1:3" ht="18" x14ac:dyDescent="0.35">
      <c r="A28">
        <f>Billing!Q31</f>
        <v>0</v>
      </c>
      <c r="B28" s="14">
        <f>Billing!AA31</f>
        <v>0</v>
      </c>
      <c r="C28" s="101">
        <f>Billing!AB31</f>
        <v>0</v>
      </c>
    </row>
  </sheetData>
  <pageMargins left="0.7" right="0.7" top="0.75" bottom="0.75" header="0.3" footer="0.3"/>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6ADEE5-30F1-4E4F-B630-8B4E4FCA344C}">
  <dimension ref="A1:B18"/>
  <sheetViews>
    <sheetView zoomScale="146" workbookViewId="0">
      <selection activeCell="B7" sqref="B7"/>
    </sheetView>
  </sheetViews>
  <sheetFormatPr defaultRowHeight="14.4" x14ac:dyDescent="0.3"/>
  <cols>
    <col min="1" max="1" width="13.44140625" customWidth="1"/>
    <col min="2" max="2" width="15.77734375" customWidth="1"/>
  </cols>
  <sheetData>
    <row r="1" spans="1:2" x14ac:dyDescent="0.3">
      <c r="A1" t="s">
        <v>172</v>
      </c>
      <c r="B1" t="s">
        <v>69</v>
      </c>
    </row>
    <row r="2" spans="1:2" x14ac:dyDescent="0.3">
      <c r="A2" t="str">
        <f>Billing!Q5</f>
        <v>BSC</v>
      </c>
      <c r="B2" s="10">
        <f>_xlfn.XLOOKUP($A2,[1]Billing!$O$5:$O$29,[1]Billing!$W$5:$W$29)</f>
        <v>12854653</v>
      </c>
    </row>
    <row r="3" spans="1:2" x14ac:dyDescent="0.3">
      <c r="A3" t="str">
        <f>Billing!Q6</f>
        <v>Ejaz Sahab</v>
      </c>
      <c r="B3" s="10">
        <f>_xlfn.XLOOKUP($A3,[1]Billing!$O$5:$O$29,[1]Billing!$W$5:$W$29)</f>
        <v>859904</v>
      </c>
    </row>
    <row r="4" spans="1:2" x14ac:dyDescent="0.3">
      <c r="A4" t="str">
        <f>Billing!Q7</f>
        <v>Arshad</v>
      </c>
      <c r="B4" s="10">
        <f>_xlfn.XLOOKUP($A4,[1]Billing!$O$5:$O$29,[1]Billing!$W$5:$W$29)</f>
        <v>2306701</v>
      </c>
    </row>
    <row r="5" spans="1:2" x14ac:dyDescent="0.3">
      <c r="A5" t="str">
        <f>Billing!Q8</f>
        <v>Shehzad Kamoki</v>
      </c>
      <c r="B5" s="10">
        <f>_xlfn.XLOOKUP($A5,[1]Billing!$O$5:$O$29,[1]Billing!$W$5:$W$29)</f>
        <v>1268740</v>
      </c>
    </row>
    <row r="6" spans="1:2" x14ac:dyDescent="0.3">
      <c r="A6" t="str">
        <f>Billing!Q9</f>
        <v>Sufi Nawaz Sahab</v>
      </c>
      <c r="B6" s="10">
        <f>_xlfn.XLOOKUP($A6,[1]Billing!$O$5:$O$29,[1]Billing!$W$5:$W$29)</f>
        <v>8629100</v>
      </c>
    </row>
    <row r="7" spans="1:2" x14ac:dyDescent="0.3">
      <c r="A7" t="str">
        <f>Billing!Q10</f>
        <v>Sajad Khan</v>
      </c>
      <c r="B7" s="10">
        <f>_xlfn.XLOOKUP($A7,[1]Billing!$O$5:$O$29,[1]Billing!$W$5:$W$29)</f>
        <v>3751266</v>
      </c>
    </row>
    <row r="8" spans="1:2" x14ac:dyDescent="0.3">
      <c r="A8" t="str">
        <f>Billing!Q11</f>
        <v>Raaz Fabrics</v>
      </c>
      <c r="B8" s="10">
        <f>_xlfn.XLOOKUP($A8,[1]Billing!$O$5:$O$29,[1]Billing!$W$5:$W$29)</f>
        <v>600000</v>
      </c>
    </row>
    <row r="9" spans="1:2" x14ac:dyDescent="0.3">
      <c r="A9" t="str">
        <f>Billing!Q12</f>
        <v>Azam</v>
      </c>
      <c r="B9" s="10">
        <f>_xlfn.XLOOKUP($A9,[1]Billing!$O$5:$O$29,[1]Billing!$W$5:$W$29)</f>
        <v>1617620</v>
      </c>
    </row>
    <row r="10" spans="1:2" x14ac:dyDescent="0.3">
      <c r="A10" t="str">
        <f>Billing!Q13</f>
        <v>Ubaidullah</v>
      </c>
      <c r="B10" s="10">
        <f>_xlfn.XLOOKUP($A10,[1]Billing!$O$5:$O$29,[1]Billing!$W$5:$W$29)</f>
        <v>451150</v>
      </c>
    </row>
    <row r="11" spans="1:2" x14ac:dyDescent="0.3">
      <c r="A11" t="str">
        <f>Billing!Q14</f>
        <v>Ashraf Zia</v>
      </c>
      <c r="B11" s="10">
        <f>_xlfn.XLOOKUP($A11,[1]Billing!$O$5:$O$29,[1]Billing!$W$5:$W$29)</f>
        <v>0</v>
      </c>
    </row>
    <row r="12" spans="1:2" x14ac:dyDescent="0.3">
      <c r="A12" t="str">
        <f>Billing!Q15</f>
        <v>Hafiz Qureshi</v>
      </c>
      <c r="B12" s="10">
        <f>_xlfn.XLOOKUP($A12,[1]Billing!$O$5:$O$29,[1]Billing!$W$5:$W$29)</f>
        <v>400000</v>
      </c>
    </row>
    <row r="13" spans="1:2" x14ac:dyDescent="0.3">
      <c r="A13" t="str">
        <f>Billing!Q16</f>
        <v>Badshah Fabrics</v>
      </c>
      <c r="B13" s="10">
        <f>_xlfn.XLOOKUP($A13,[1]Billing!$O$5:$O$29,[1]Billing!$W$5:$W$29)</f>
        <v>1370000</v>
      </c>
    </row>
    <row r="14" spans="1:2" x14ac:dyDescent="0.3">
      <c r="A14" t="str">
        <f>Billing!Q17</f>
        <v>Reject</v>
      </c>
      <c r="B14" s="10">
        <f>_xlfn.XLOOKUP($A14,[1]Billing!$O$5:$O$29,[1]Billing!$W$5:$W$29)</f>
        <v>0</v>
      </c>
    </row>
    <row r="15" spans="1:2" x14ac:dyDescent="0.3">
      <c r="A15" t="str">
        <f>Billing!Q18</f>
        <v>Amjad 7up</v>
      </c>
      <c r="B15" s="10">
        <f>_xlfn.XLOOKUP($A15,[1]Billing!$O$5:$O$29,[1]Billing!$W$5:$W$29)</f>
        <v>0</v>
      </c>
    </row>
    <row r="16" spans="1:2" x14ac:dyDescent="0.3">
      <c r="A16" t="str">
        <f>Billing!Q19</f>
        <v>Hazrat Khan</v>
      </c>
      <c r="B16" s="10">
        <f>_xlfn.XLOOKUP($A16,[1]Billing!$O$5:$O$29,[1]Billing!$W$5:$W$29)</f>
        <v>0</v>
      </c>
    </row>
    <row r="17" spans="1:2" x14ac:dyDescent="0.3">
      <c r="A17" t="str">
        <f>Billing!Q20</f>
        <v>Haseeb Shamsi</v>
      </c>
      <c r="B17" s="10">
        <f>_xlfn.XLOOKUP($A17,[1]Billing!$O$5:$O$29,[1]Billing!$W$5:$W$29)</f>
        <v>0</v>
      </c>
    </row>
    <row r="18" spans="1:2" x14ac:dyDescent="0.3">
      <c r="A18" t="str">
        <f>Billing!Q21</f>
        <v>Faizan</v>
      </c>
      <c r="B18" s="10" t="e">
        <f>_xlfn.XLOOKUP($A18,[1]Billing!$O$5:$O$29,[1]Billing!$W$5:$W$29)</f>
        <v>#N/A</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B653170-0ABA-4B0E-A63E-D518C37296D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Billing</vt:lpstr>
      <vt:lpstr>Bill Print</vt:lpstr>
      <vt:lpstr>Expenses</vt:lpstr>
      <vt:lpstr>Profit</vt:lpstr>
      <vt:lpstr>Transport</vt:lpstr>
      <vt:lpstr>ledger</vt:lpstr>
      <vt:lpstr>Wood</vt:lpstr>
      <vt:lpstr>Cashbook</vt:lpstr>
      <vt:lpstr>Dyes</vt:lpstr>
      <vt:lpstr>Finish</vt:lpstr>
      <vt:lpstr>Electricity</vt:lpstr>
      <vt:lpstr>Miscellaneous</vt:lpstr>
      <vt:lpstr>Salary Acc</vt:lpstr>
      <vt:lpstr>pivot </vt:lpstr>
      <vt:lpstr>Running Acc</vt:lpstr>
      <vt:lpstr>Balance</vt:lpstr>
      <vt:lpstr>Cashflow</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Muhammad  Omer</dc:creator>
  <cp:keywords/>
  <dc:description/>
  <cp:lastModifiedBy>Muhammad  Omer</cp:lastModifiedBy>
  <cp:revision/>
  <cp:lastPrinted>2025-09-30T19:56:49Z</cp:lastPrinted>
  <dcterms:created xsi:type="dcterms:W3CDTF">2025-06-24T04:42:48Z</dcterms:created>
  <dcterms:modified xsi:type="dcterms:W3CDTF">2025-10-29T22:08:10Z</dcterms:modified>
  <cp:category/>
  <cp:contentStatus/>
</cp:coreProperties>
</file>