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707" documentId="8_{4BA2F63F-AD4E-4F04-A724-5F712AF3C5FD}" xr6:coauthVersionLast="47" xr6:coauthVersionMax="47" xr10:uidLastSave="{F80F214C-A6D9-4328-81A7-7138AE737C1F}"/>
  <bookViews>
    <workbookView xWindow="-108" yWindow="-108" windowWidth="23256" windowHeight="12456"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4" i="1" l="1" a="1"/>
  <c r="J64" i="1" s="1"/>
  <c r="J65" i="1" a="1"/>
  <c r="J65" i="1" s="1"/>
  <c r="J66" i="1" a="1"/>
  <c r="J66" i="1"/>
  <c r="J67" i="1" a="1"/>
  <c r="J67" i="1" s="1"/>
  <c r="J68" i="1" a="1"/>
  <c r="J68" i="1" s="1"/>
  <c r="J69" i="1" a="1"/>
  <c r="J69" i="1"/>
  <c r="J70" i="1" a="1"/>
  <c r="J70" i="1" s="1"/>
  <c r="J71" i="1" a="1"/>
  <c r="J71" i="1" s="1"/>
  <c r="J72" i="1" a="1"/>
  <c r="J72" i="1" s="1"/>
  <c r="J63" i="1" a="1"/>
  <c r="J63" i="1" s="1"/>
  <c r="J62" i="1" a="1"/>
  <c r="J62" i="1" s="1"/>
  <c r="I63" i="1"/>
  <c r="I64" i="1"/>
  <c r="I65" i="1"/>
  <c r="I66" i="1"/>
  <c r="I67" i="1"/>
  <c r="I68" i="1"/>
  <c r="I69" i="1"/>
  <c r="I70" i="1"/>
  <c r="I71" i="1"/>
  <c r="I72" i="1"/>
  <c r="H69" i="1"/>
  <c r="H70" i="1"/>
  <c r="H71" i="1"/>
  <c r="H72" i="1"/>
  <c r="H66" i="1"/>
  <c r="H67" i="1"/>
  <c r="H68" i="1"/>
  <c r="H64" i="1"/>
  <c r="H65" i="1"/>
  <c r="H29" i="6"/>
  <c r="H28" i="6"/>
  <c r="I28" i="6" s="1"/>
  <c r="H27" i="6"/>
  <c r="I27" i="6" s="1"/>
  <c r="G26" i="6"/>
  <c r="G27" i="6"/>
  <c r="G28" i="6"/>
  <c r="G29" i="6"/>
  <c r="K6" i="6" s="1"/>
  <c r="C4" i="8" s="1"/>
  <c r="G30" i="6"/>
  <c r="I26" i="6"/>
  <c r="I29" i="6"/>
  <c r="I30" i="6"/>
  <c r="I58" i="1"/>
  <c r="J58" i="1" s="1" a="1"/>
  <c r="J58" i="1" s="1"/>
  <c r="I59" i="1"/>
  <c r="J59" i="1" s="1" a="1"/>
  <c r="J59" i="1" s="1"/>
  <c r="I60" i="1"/>
  <c r="J60" i="1" s="1" a="1"/>
  <c r="J60" i="1" s="1"/>
  <c r="I61" i="1"/>
  <c r="J61" i="1" a="1"/>
  <c r="J61" i="1" s="1"/>
  <c r="I62" i="1"/>
  <c r="G63" i="1"/>
  <c r="H25" i="6"/>
  <c r="I25" i="6" s="1"/>
  <c r="H24" i="6"/>
  <c r="I24" i="6" s="1"/>
  <c r="D2" i="17"/>
  <c r="I50" i="1"/>
  <c r="J50" i="1" a="1"/>
  <c r="J50" i="1" s="1"/>
  <c r="I51" i="1"/>
  <c r="J51" i="1" s="1" a="1"/>
  <c r="J51" i="1" s="1"/>
  <c r="I52" i="1"/>
  <c r="J52" i="1" a="1"/>
  <c r="J52" i="1" s="1"/>
  <c r="I53" i="1"/>
  <c r="J53" i="1" a="1"/>
  <c r="J53" i="1" s="1"/>
  <c r="I54" i="1"/>
  <c r="J54" i="1" s="1" a="1"/>
  <c r="J54" i="1" s="1"/>
  <c r="I55" i="1"/>
  <c r="J55" i="1" s="1" a="1"/>
  <c r="J55" i="1" s="1"/>
  <c r="I56" i="1"/>
  <c r="J56" i="1" a="1"/>
  <c r="J56" i="1" s="1"/>
  <c r="I57" i="1"/>
  <c r="J57" i="1" s="1" a="1"/>
  <c r="J57" i="1" s="1"/>
  <c r="F8" i="15"/>
  <c r="F9" i="15"/>
  <c r="H22" i="6"/>
  <c r="I22" i="6" s="1"/>
  <c r="H21" i="6"/>
  <c r="I21" i="6" s="1"/>
  <c r="G22" i="6"/>
  <c r="G23" i="6"/>
  <c r="G24" i="6"/>
  <c r="G25" i="6"/>
  <c r="I23" i="6"/>
  <c r="H20" i="6"/>
  <c r="I20" i="6" s="1"/>
  <c r="G20" i="6"/>
  <c r="G21" i="6"/>
  <c r="H19" i="6"/>
  <c r="I19" i="6" s="1"/>
  <c r="H16" i="6"/>
  <c r="I16" i="6" s="1"/>
  <c r="H17" i="6"/>
  <c r="I17" i="6"/>
  <c r="H18" i="6"/>
  <c r="I18" i="6" s="1"/>
  <c r="G18" i="6"/>
  <c r="G19" i="6"/>
  <c r="G16" i="6"/>
  <c r="G17" i="6"/>
  <c r="I47" i="1"/>
  <c r="J47" i="1" s="1" a="1"/>
  <c r="J47" i="1" s="1"/>
  <c r="I48" i="1"/>
  <c r="J48" i="1" a="1"/>
  <c r="J48" i="1" s="1"/>
  <c r="I49" i="1"/>
  <c r="J49" i="1" s="1" a="1"/>
  <c r="J49" i="1" s="1"/>
  <c r="I44" i="1"/>
  <c r="J44" i="1" s="1" a="1"/>
  <c r="J44" i="1" s="1"/>
  <c r="I45" i="1"/>
  <c r="J45" i="1" s="1" a="1"/>
  <c r="J45" i="1" s="1"/>
  <c r="I46" i="1"/>
  <c r="J46" i="1" a="1"/>
  <c r="J46" i="1" s="1"/>
  <c r="C37" i="17"/>
  <c r="C171" i="17" s="1"/>
  <c r="K4" i="17" s="1"/>
  <c r="C48" i="17"/>
  <c r="C7" i="8" s="1"/>
  <c r="I43" i="1"/>
  <c r="J43" i="1" s="1" a="1"/>
  <c r="J43" i="1" s="1"/>
  <c r="I42" i="1"/>
  <c r="J42" i="1" s="1" a="1"/>
  <c r="J42" i="1" s="1"/>
  <c r="I41" i="1"/>
  <c r="J41" i="1" s="1" a="1"/>
  <c r="J41" i="1" s="1"/>
  <c r="I40" i="1"/>
  <c r="J40" i="1" s="1" a="1"/>
  <c r="J40" i="1" s="1"/>
  <c r="I39" i="1"/>
  <c r="J39" i="1" s="1" a="1"/>
  <c r="J39" i="1" s="1"/>
  <c r="I38" i="1"/>
  <c r="J38" i="1" s="1" a="1"/>
  <c r="J38" i="1" s="1"/>
  <c r="I37" i="1"/>
  <c r="J37" i="1" a="1"/>
  <c r="J37" i="1" s="1"/>
  <c r="I36" i="1"/>
  <c r="J36" i="1" s="1" a="1"/>
  <c r="J36" i="1" s="1"/>
  <c r="I35" i="1"/>
  <c r="J35" i="1" s="1" a="1"/>
  <c r="J35" i="1" s="1"/>
  <c r="I34" i="1"/>
  <c r="J34" i="1" s="1" a="1"/>
  <c r="J34" i="1" s="1"/>
  <c r="P26" i="9" a="1"/>
  <c r="P26" i="9" s="1"/>
  <c r="Q26" i="9" a="1"/>
  <c r="Q26" i="9" s="1"/>
  <c r="R26" i="9" a="1"/>
  <c r="R26" i="9" s="1"/>
  <c r="S26" i="9" a="1"/>
  <c r="S26" i="9" s="1"/>
  <c r="T26" i="9" a="1"/>
  <c r="T26" i="9" s="1"/>
  <c r="U26" i="9" a="1"/>
  <c r="U26" i="9" s="1"/>
  <c r="W26" i="9"/>
  <c r="P27" i="9" a="1"/>
  <c r="P27" i="9" s="1"/>
  <c r="Q27" i="9" a="1"/>
  <c r="Q27" i="9" s="1"/>
  <c r="R27" i="9" a="1"/>
  <c r="R27" i="9" s="1"/>
  <c r="S27" i="9" a="1"/>
  <c r="S27" i="9" s="1"/>
  <c r="T27" i="9" a="1"/>
  <c r="T27" i="9" s="1"/>
  <c r="U27" i="9" a="1"/>
  <c r="U27" i="9" s="1"/>
  <c r="W27" i="9"/>
  <c r="B24" i="20"/>
  <c r="P28" i="9" a="1"/>
  <c r="P28" i="9" s="1"/>
  <c r="Q28" i="9" a="1"/>
  <c r="Q28" i="9" s="1"/>
  <c r="R28" i="9" a="1"/>
  <c r="R28" i="9" s="1"/>
  <c r="S28" i="9" a="1"/>
  <c r="S28" i="9" s="1"/>
  <c r="T28" i="9" a="1"/>
  <c r="T28" i="9" s="1"/>
  <c r="U28" i="9" a="1"/>
  <c r="U28" i="9" s="1"/>
  <c r="W28" i="9"/>
  <c r="B25" i="20" s="1"/>
  <c r="P29" i="9" a="1"/>
  <c r="P29" i="9" s="1"/>
  <c r="Q29" i="9" a="1"/>
  <c r="Q29" i="9" s="1"/>
  <c r="R29" i="9" a="1"/>
  <c r="R29" i="9" s="1"/>
  <c r="S29" i="9" a="1"/>
  <c r="S29" i="9" s="1"/>
  <c r="T29" i="9" a="1"/>
  <c r="T29" i="9" s="1"/>
  <c r="U29" i="9" a="1"/>
  <c r="U29" i="9" s="1"/>
  <c r="W29" i="9"/>
  <c r="B26" i="20" s="1"/>
  <c r="P30" i="9" a="1"/>
  <c r="P30" i="9" s="1"/>
  <c r="Q30" i="9" a="1"/>
  <c r="Q30" i="9" s="1"/>
  <c r="R30" i="9" a="1"/>
  <c r="R30" i="9" s="1"/>
  <c r="S30" i="9" a="1"/>
  <c r="S30" i="9" s="1"/>
  <c r="T30" i="9" a="1"/>
  <c r="T30" i="9" s="1"/>
  <c r="U30" i="9" a="1"/>
  <c r="U30" i="9" s="1"/>
  <c r="W30" i="9"/>
  <c r="B27" i="20" s="1"/>
  <c r="P31" i="9" a="1"/>
  <c r="P31" i="9" s="1"/>
  <c r="Q31" i="9" a="1"/>
  <c r="Q31" i="9" s="1"/>
  <c r="R31" i="9" a="1"/>
  <c r="R31" i="9" s="1"/>
  <c r="S31" i="9" a="1"/>
  <c r="S31" i="9" s="1"/>
  <c r="T31" i="9" a="1"/>
  <c r="T31" i="9" s="1"/>
  <c r="U31" i="9" a="1"/>
  <c r="U31" i="9" s="1"/>
  <c r="W31" i="9"/>
  <c r="B28" i="20" s="1"/>
  <c r="P32" i="9" a="1"/>
  <c r="P32" i="9" s="1"/>
  <c r="Q32" i="9" a="1"/>
  <c r="Q32" i="9" s="1"/>
  <c r="R32" i="9" a="1"/>
  <c r="R32" i="9" s="1"/>
  <c r="S32" i="9" a="1"/>
  <c r="S32" i="9" s="1"/>
  <c r="T32" i="9" a="1"/>
  <c r="T32" i="9" s="1"/>
  <c r="U32" i="9" a="1"/>
  <c r="U32" i="9" s="1"/>
  <c r="W32" i="9"/>
  <c r="P33" i="9" a="1"/>
  <c r="P33" i="9" s="1"/>
  <c r="Q33" i="9" a="1"/>
  <c r="Q33" i="9" s="1"/>
  <c r="R33" i="9" a="1"/>
  <c r="R33" i="9" s="1"/>
  <c r="S33" i="9" a="1"/>
  <c r="S33" i="9" s="1"/>
  <c r="T33" i="9" a="1"/>
  <c r="T33" i="9" s="1"/>
  <c r="U33" i="9" a="1"/>
  <c r="U33" i="9" s="1"/>
  <c r="W33" i="9"/>
  <c r="P34" i="9" a="1"/>
  <c r="P34" i="9" s="1"/>
  <c r="Q34" i="9" a="1"/>
  <c r="Q34" i="9" s="1"/>
  <c r="R34" i="9" a="1"/>
  <c r="R34" i="9" s="1"/>
  <c r="S34" i="9" a="1"/>
  <c r="S34" i="9" s="1"/>
  <c r="T34" i="9" a="1"/>
  <c r="T34" i="9" s="1"/>
  <c r="U34" i="9" a="1"/>
  <c r="U34" i="9" s="1"/>
  <c r="W34" i="9"/>
  <c r="P35" i="9" a="1"/>
  <c r="P35" i="9" s="1"/>
  <c r="Q35" i="9" a="1"/>
  <c r="Q35" i="9" s="1"/>
  <c r="R35" i="9" a="1"/>
  <c r="R35" i="9" s="1"/>
  <c r="S35" i="9" a="1"/>
  <c r="S35" i="9" s="1"/>
  <c r="T35" i="9" a="1"/>
  <c r="T35" i="9" s="1"/>
  <c r="U35" i="9" a="1"/>
  <c r="U35" i="9" s="1"/>
  <c r="W35" i="9"/>
  <c r="H15" i="6"/>
  <c r="I15" i="6" s="1"/>
  <c r="G13" i="6"/>
  <c r="G14" i="6"/>
  <c r="G15" i="6"/>
  <c r="I13" i="6"/>
  <c r="I14" i="6"/>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G8" i="15"/>
  <c r="G9" i="15"/>
  <c r="H9" i="15" s="1"/>
  <c r="B84" i="9" a="1"/>
  <c r="B84" i="9" s="1"/>
  <c r="J27" i="15"/>
  <c r="J26" i="15"/>
  <c r="J25" i="15"/>
  <c r="J30" i="15"/>
  <c r="C6" i="8"/>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A23" i="20"/>
  <c r="A24" i="20"/>
  <c r="A25" i="20"/>
  <c r="A26" i="20"/>
  <c r="A27" i="20"/>
  <c r="A28" i="20"/>
  <c r="O5" i="9" a="1"/>
  <c r="B49" i="9" a="1"/>
  <c r="G64" i="9" a="1"/>
  <c r="G64" i="9" s="1"/>
  <c r="H64" i="9" a="1"/>
  <c r="H64" i="9" s="1"/>
  <c r="J64"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c r="I21" i="2"/>
  <c r="D21" i="2"/>
  <c r="F22" i="2"/>
  <c r="F23" i="2"/>
  <c r="H23" i="2"/>
  <c r="I23" i="2"/>
  <c r="D23" i="2"/>
  <c r="F24" i="2"/>
  <c r="H24" i="2"/>
  <c r="I24" i="2"/>
  <c r="D24" i="2"/>
  <c r="F25" i="2"/>
  <c r="G25" i="2"/>
  <c r="H62" i="1"/>
  <c r="F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E21" i="2"/>
  <c r="N4" i="17"/>
  <c r="F20" i="2"/>
  <c r="H20" i="2"/>
  <c r="I20" i="2"/>
  <c r="D20" i="2"/>
  <c r="E15" i="2"/>
  <c r="F15" i="2"/>
  <c r="H15" i="2"/>
  <c r="I15" i="2"/>
  <c r="D15" i="2"/>
  <c r="E16" i="2"/>
  <c r="E17" i="2"/>
  <c r="E18" i="2"/>
  <c r="E19" i="2"/>
  <c r="E7" i="2"/>
  <c r="E8" i="2"/>
  <c r="E9" i="2"/>
  <c r="E10" i="2"/>
  <c r="E11" i="2"/>
  <c r="E12" i="2"/>
  <c r="E13" i="2"/>
  <c r="E14" i="2"/>
  <c r="E5" i="2"/>
  <c r="E6" i="2"/>
  <c r="E4" i="2"/>
  <c r="F13" i="2"/>
  <c r="H13" i="2"/>
  <c r="I13" i="2"/>
  <c r="D13" i="2"/>
  <c r="F14" i="2"/>
  <c r="H14" i="2"/>
  <c r="I14" i="2"/>
  <c r="D14" i="2"/>
  <c r="F16" i="2"/>
  <c r="H16" i="2"/>
  <c r="I16" i="2"/>
  <c r="D16" i="2"/>
  <c r="F17" i="2"/>
  <c r="H17" i="2"/>
  <c r="I17" i="2"/>
  <c r="D17" i="2"/>
  <c r="F18" i="2"/>
  <c r="H18" i="2"/>
  <c r="I18" i="2"/>
  <c r="D18" i="2"/>
  <c r="F19" i="2"/>
  <c r="H19" i="2"/>
  <c r="I19" i="2"/>
  <c r="D19" i="2"/>
  <c r="C8" i="8"/>
  <c r="F11" i="2"/>
  <c r="H11" i="2"/>
  <c r="I11" i="2"/>
  <c r="F10" i="2"/>
  <c r="H10" i="2"/>
  <c r="I10" i="2"/>
  <c r="D10" i="2"/>
  <c r="F6" i="2"/>
  <c r="H6" i="2"/>
  <c r="I6" i="2"/>
  <c r="D6" i="2"/>
  <c r="F7" i="2"/>
  <c r="H7" i="2"/>
  <c r="I7" i="2"/>
  <c r="D7" i="2"/>
  <c r="F8" i="2"/>
  <c r="F9" i="2"/>
  <c r="H9" i="2"/>
  <c r="I9" i="2"/>
  <c r="D9" i="2"/>
  <c r="N3" i="7"/>
  <c r="N5" i="7"/>
  <c r="E6" i="11"/>
  <c r="D6" i="11"/>
  <c r="F12" i="2"/>
  <c r="H12" i="2"/>
  <c r="I12" i="2"/>
  <c r="D12" i="2"/>
  <c r="F5" i="2"/>
  <c r="H5" i="2"/>
  <c r="I5" i="2"/>
  <c r="D5" i="2"/>
  <c r="F3" i="2"/>
  <c r="F4" i="2"/>
  <c r="H4" i="2"/>
  <c r="I4" i="2"/>
  <c r="D4" i="2"/>
  <c r="J15" i="14"/>
  <c r="H92" i="2"/>
  <c r="I92" i="2"/>
  <c r="D92" i="2"/>
  <c r="G76" i="2"/>
  <c r="G88" i="2"/>
  <c r="G81" i="2"/>
  <c r="G72" i="2"/>
  <c r="G87" i="2"/>
  <c r="H94" i="2"/>
  <c r="I94" i="2"/>
  <c r="D94" i="2"/>
  <c r="G91" i="2"/>
  <c r="G90" i="2"/>
  <c r="H89" i="2"/>
  <c r="I89" i="2"/>
  <c r="D89" i="2"/>
  <c r="E8" i="7"/>
  <c r="G83" i="2"/>
  <c r="G80" i="2"/>
  <c r="H98" i="2"/>
  <c r="I98" i="2"/>
  <c r="D98" i="2"/>
  <c r="H93" i="2"/>
  <c r="I93" i="2"/>
  <c r="D93" i="2"/>
  <c r="G85" i="2"/>
  <c r="H88" i="2"/>
  <c r="I88" i="2"/>
  <c r="D88" i="2"/>
  <c r="G41" i="2"/>
  <c r="H95" i="2"/>
  <c r="I95" i="2"/>
  <c r="D95" i="2"/>
  <c r="G84" i="2"/>
  <c r="H97" i="2"/>
  <c r="I97" i="2"/>
  <c r="D97" i="2"/>
  <c r="G71" i="2"/>
  <c r="G60" i="2"/>
  <c r="G50" i="2"/>
  <c r="G67" i="2"/>
  <c r="G42" i="2"/>
  <c r="G36" i="2"/>
  <c r="G55" i="2"/>
  <c r="H72" i="2"/>
  <c r="I72" i="2"/>
  <c r="D72" i="2"/>
  <c r="G58" i="2"/>
  <c r="G35" i="2"/>
  <c r="G86" i="2"/>
  <c r="G70" i="2"/>
  <c r="G56" i="2"/>
  <c r="G39" i="2"/>
  <c r="G65" i="2"/>
  <c r="G44" i="2"/>
  <c r="G77" i="2"/>
  <c r="G75" i="2"/>
  <c r="G45" i="2"/>
  <c r="G64" i="2"/>
  <c r="G74" i="2"/>
  <c r="G68" i="2"/>
  <c r="G82" i="2"/>
  <c r="G78" i="2"/>
  <c r="H85" i="2"/>
  <c r="I85" i="2"/>
  <c r="D85" i="2"/>
  <c r="G47" i="2"/>
  <c r="H10" i="1"/>
  <c r="G46" i="2"/>
  <c r="G79" i="2"/>
  <c r="G49" i="2"/>
  <c r="G26" i="2"/>
  <c r="G30" i="2"/>
  <c r="G52" i="2"/>
  <c r="H56" i="2"/>
  <c r="I56" i="2"/>
  <c r="D56" i="2"/>
  <c r="G53" i="2"/>
  <c r="H82" i="2"/>
  <c r="I82" i="2"/>
  <c r="D82" i="2"/>
  <c r="G27" i="2"/>
  <c r="G34" i="2"/>
  <c r="G38" i="2"/>
  <c r="G37" i="2"/>
  <c r="G28" i="2"/>
  <c r="H26" i="2"/>
  <c r="I26" i="2"/>
  <c r="D26" i="2"/>
  <c r="G40" i="2"/>
  <c r="G59" i="2"/>
  <c r="G29" i="2"/>
  <c r="G63" i="2"/>
  <c r="H74" i="2"/>
  <c r="I74" i="2"/>
  <c r="D74" i="2"/>
  <c r="H81" i="2"/>
  <c r="I81" i="2"/>
  <c r="D81" i="2"/>
  <c r="H76" i="2"/>
  <c r="I76" i="2"/>
  <c r="D76" i="2"/>
  <c r="G32" i="2"/>
  <c r="G43" i="2"/>
  <c r="G33" i="2"/>
  <c r="G73" i="2"/>
  <c r="G69" i="2"/>
  <c r="G66" i="2"/>
  <c r="G62" i="2"/>
  <c r="G57" i="2"/>
  <c r="H33" i="2"/>
  <c r="I33" i="2"/>
  <c r="D33" i="2"/>
  <c r="H41" i="2"/>
  <c r="I41" i="2"/>
  <c r="D41" i="2"/>
  <c r="H65" i="2"/>
  <c r="I65" i="2"/>
  <c r="D65" i="2"/>
  <c r="G51" i="2"/>
  <c r="G54" i="2"/>
  <c r="G48" i="2"/>
  <c r="G31" i="2"/>
  <c r="H36" i="2"/>
  <c r="I36" i="2"/>
  <c r="D36" i="2"/>
  <c r="H42" i="2"/>
  <c r="I42" i="2"/>
  <c r="D42" i="2"/>
  <c r="G61" i="2"/>
  <c r="H5" i="1"/>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E37" i="7"/>
  <c r="C5" i="8"/>
  <c r="B2" i="2"/>
  <c r="H25" i="2"/>
  <c r="I25" i="2"/>
  <c r="D25" i="2"/>
  <c r="G23" i="2"/>
  <c r="H60" i="1"/>
  <c r="H63" i="1"/>
  <c r="G19" i="2"/>
  <c r="G18" i="2"/>
  <c r="H52" i="1"/>
  <c r="G24" i="2"/>
  <c r="H61" i="1"/>
  <c r="G21" i="2"/>
  <c r="H58" i="1"/>
  <c r="G20" i="2"/>
  <c r="H54" i="1"/>
  <c r="G8" i="2"/>
  <c r="D3" i="17"/>
  <c r="G17" i="2"/>
  <c r="H51" i="1"/>
  <c r="G9" i="2"/>
  <c r="H41" i="1"/>
  <c r="G22" i="2"/>
  <c r="H59" i="1"/>
  <c r="H8" i="2"/>
  <c r="I8" i="2"/>
  <c r="D8" i="2"/>
  <c r="G4" i="2"/>
  <c r="H40" i="1"/>
  <c r="H39" i="1"/>
  <c r="H56" i="1"/>
  <c r="H57" i="1"/>
  <c r="H53" i="1"/>
  <c r="G6" i="2"/>
  <c r="H37" i="1"/>
  <c r="H55" i="1"/>
  <c r="G14" i="2"/>
  <c r="H48" i="1"/>
  <c r="H22" i="2"/>
  <c r="I22" i="2"/>
  <c r="D22" i="2"/>
  <c r="F10" i="15"/>
  <c r="G5" i="2"/>
  <c r="H35" i="1"/>
  <c r="G11" i="2"/>
  <c r="H43" i="1"/>
  <c r="G7" i="2"/>
  <c r="H38" i="1"/>
  <c r="G12" i="2"/>
  <c r="H46" i="1"/>
  <c r="G16" i="2"/>
  <c r="H50" i="1"/>
  <c r="G10" i="2"/>
  <c r="H42" i="1"/>
  <c r="G13" i="2"/>
  <c r="H47" i="1"/>
  <c r="H44" i="1"/>
  <c r="H36" i="1"/>
  <c r="G15" i="2"/>
  <c r="H49" i="1"/>
  <c r="G31" i="6"/>
  <c r="H45" i="1"/>
  <c r="H34" i="1"/>
  <c r="I21" i="1"/>
  <c r="J21" i="1" a="1"/>
  <c r="J21" i="1" s="1"/>
  <c r="I29" i="1"/>
  <c r="J29" i="1" s="1" a="1"/>
  <c r="J29" i="1" s="1"/>
  <c r="I24" i="1"/>
  <c r="J24" i="1" s="1" a="1"/>
  <c r="J24" i="1" s="1"/>
  <c r="I27" i="1"/>
  <c r="J27" i="1" s="1" a="1"/>
  <c r="J27" i="1" s="1"/>
  <c r="I20" i="1"/>
  <c r="J20" i="1" a="1"/>
  <c r="J20" i="1" s="1"/>
  <c r="I18" i="1"/>
  <c r="J18" i="1" s="1" a="1"/>
  <c r="J18" i="1" s="1"/>
  <c r="I16" i="1"/>
  <c r="J16" i="1" s="1" a="1"/>
  <c r="J16" i="1" s="1"/>
  <c r="I15" i="1"/>
  <c r="J15" i="1" s="1" a="1"/>
  <c r="J15" i="1" s="1"/>
  <c r="I3" i="1"/>
  <c r="J3" i="1" s="1" a="1"/>
  <c r="J3" i="1" s="1"/>
  <c r="I33" i="1"/>
  <c r="J33" i="1" s="1" a="1"/>
  <c r="J33" i="1" s="1"/>
  <c r="I14" i="1"/>
  <c r="J14" i="1" a="1"/>
  <c r="J14" i="1" s="1"/>
  <c r="I4" i="1"/>
  <c r="J4" i="1" s="1" a="1"/>
  <c r="J4" i="1" s="1"/>
  <c r="I32" i="1"/>
  <c r="J32" i="1" a="1"/>
  <c r="J32" i="1" s="1"/>
  <c r="I13" i="1"/>
  <c r="J13" i="1" s="1" a="1"/>
  <c r="J13" i="1" s="1"/>
  <c r="I12" i="1"/>
  <c r="J12" i="1" a="1"/>
  <c r="J12" i="1" s="1"/>
  <c r="I31" i="1"/>
  <c r="J31" i="1" s="1" a="1"/>
  <c r="J31" i="1" s="1"/>
  <c r="I11" i="1"/>
  <c r="J11" i="1" s="1" a="1"/>
  <c r="J11" i="1" s="1"/>
  <c r="I22" i="1"/>
  <c r="J22" i="1" s="1" a="1"/>
  <c r="J22" i="1" s="1"/>
  <c r="I30" i="1"/>
  <c r="J30" i="1" a="1"/>
  <c r="J30" i="1" s="1"/>
  <c r="I6" i="1"/>
  <c r="I10" i="1"/>
  <c r="J10" i="1" s="1" a="1"/>
  <c r="J10" i="1" s="1"/>
  <c r="I26" i="1"/>
  <c r="J26" i="1" s="1" a="1"/>
  <c r="J26" i="1" s="1"/>
  <c r="I25" i="1"/>
  <c r="J25" i="1" a="1"/>
  <c r="J25" i="1" s="1"/>
  <c r="I5" i="1"/>
  <c r="J5" i="1" s="1" a="1"/>
  <c r="J5" i="1" s="1"/>
  <c r="I19" i="1"/>
  <c r="J19" i="1" a="1"/>
  <c r="J19" i="1" s="1"/>
  <c r="I23" i="1"/>
  <c r="J23" i="1" s="1" a="1"/>
  <c r="J23" i="1" s="1"/>
  <c r="I2" i="1"/>
  <c r="J2" i="1" s="1" a="1"/>
  <c r="J2" i="1" s="1"/>
  <c r="I28" i="1"/>
  <c r="J28" i="1" s="1" a="1"/>
  <c r="J28" i="1" s="1"/>
  <c r="I17" i="1"/>
  <c r="J17" i="1" a="1"/>
  <c r="J17" i="1" s="1"/>
  <c r="I8" i="1"/>
  <c r="J8" i="1" a="1"/>
  <c r="J8" i="1" s="1"/>
  <c r="I9" i="1"/>
  <c r="J9" i="1" s="1" a="1"/>
  <c r="J9" i="1" s="1"/>
  <c r="I7" i="1"/>
  <c r="J7" i="1" a="1"/>
  <c r="J7" i="1" s="1"/>
  <c r="C2" i="2"/>
  <c r="H50" i="9" l="1" a="1"/>
  <c r="H50" i="9" s="1"/>
  <c r="R25" i="9" a="1"/>
  <c r="R25" i="9" s="1"/>
  <c r="G69" i="9" a="1"/>
  <c r="G69" i="9" s="1"/>
  <c r="W24" i="9"/>
  <c r="W25" i="9"/>
  <c r="B22" i="20" s="1"/>
  <c r="H69" i="9" a="1"/>
  <c r="H69" i="9" s="1"/>
  <c r="T25" i="9" a="1"/>
  <c r="T25" i="9" s="1"/>
  <c r="A22" i="20"/>
  <c r="J69" i="9"/>
  <c r="Q25" i="9" a="1"/>
  <c r="Q25" i="9" s="1"/>
  <c r="P25" i="9" a="1"/>
  <c r="P25" i="9" s="1"/>
  <c r="S25" i="9" a="1"/>
  <c r="S25" i="9" s="1"/>
  <c r="U25" i="9" a="1"/>
  <c r="U25" i="9" s="1"/>
  <c r="J99" i="9"/>
  <c r="G98" i="9"/>
  <c r="E95" i="9"/>
  <c r="R16" i="9" s="1" a="1"/>
  <c r="R16" i="9" s="1"/>
  <c r="F95" i="9"/>
  <c r="J87" i="9"/>
  <c r="T24" i="9" a="1"/>
  <c r="T24" i="9" s="1"/>
  <c r="J85" i="9"/>
  <c r="W6" i="9" s="1"/>
  <c r="B3" i="20" s="1"/>
  <c r="G56" i="9" a="1"/>
  <c r="G56" i="9" s="1"/>
  <c r="F90" i="9"/>
  <c r="S11" i="9" s="1" a="1"/>
  <c r="S11" i="9" s="1"/>
  <c r="T21" i="9" a="1"/>
  <c r="T21" i="9" s="1"/>
  <c r="H89" i="9"/>
  <c r="U10" i="9" s="1" a="1"/>
  <c r="U10" i="9" s="1"/>
  <c r="E96" i="9"/>
  <c r="R17" i="9" s="1" a="1"/>
  <c r="R17" i="9" s="1"/>
  <c r="G65" i="9" a="1"/>
  <c r="G65" i="9" s="1"/>
  <c r="C96" i="9"/>
  <c r="P17" i="9" s="1" a="1"/>
  <c r="P17" i="9" s="1"/>
  <c r="F97" i="9"/>
  <c r="S18" i="9" s="1" a="1"/>
  <c r="S18" i="9" s="1"/>
  <c r="D96" i="9"/>
  <c r="Q17" i="9" s="1" a="1"/>
  <c r="Q17" i="9" s="1"/>
  <c r="H96" i="9"/>
  <c r="U17" i="9" s="1" a="1"/>
  <c r="U17" i="9" s="1"/>
  <c r="D94" i="9"/>
  <c r="Q15" i="9" s="1" a="1"/>
  <c r="Q15" i="9" s="1"/>
  <c r="H87" i="9"/>
  <c r="U8" i="9" s="1" a="1"/>
  <c r="U8" i="9" s="1"/>
  <c r="S21" i="9" a="1"/>
  <c r="S21" i="9" s="1"/>
  <c r="U21" i="9" a="1"/>
  <c r="U21" i="9" s="1"/>
  <c r="H56" i="9" a="1"/>
  <c r="H56" i="9" s="1"/>
  <c r="I56" i="9" s="1"/>
  <c r="K56" i="9" s="1"/>
  <c r="H97" i="9"/>
  <c r="U18" i="9" s="1" a="1"/>
  <c r="U18" i="9" s="1"/>
  <c r="H90" i="9"/>
  <c r="C99" i="9"/>
  <c r="P20" i="9" s="1" a="1"/>
  <c r="P20" i="9" s="1"/>
  <c r="J97" i="9"/>
  <c r="W18" i="9" s="1"/>
  <c r="A11" i="21"/>
  <c r="B11" i="21" s="1"/>
  <c r="J53" i="9"/>
  <c r="G59" i="9" a="1"/>
  <c r="G59" i="9" s="1"/>
  <c r="H68" i="9" a="1"/>
  <c r="H68" i="9" s="1"/>
  <c r="S23" i="9" a="1"/>
  <c r="S23" i="9" s="1"/>
  <c r="H60" i="9" a="1"/>
  <c r="H60" i="9" s="1"/>
  <c r="J59" i="9"/>
  <c r="H59" i="9" a="1"/>
  <c r="H59" i="9" s="1"/>
  <c r="G99" i="9"/>
  <c r="T20" i="9" s="1" a="1"/>
  <c r="T20" i="9" s="1"/>
  <c r="G91" i="9"/>
  <c r="T12" i="9" s="1" a="1"/>
  <c r="T12" i="9" s="1"/>
  <c r="F85" i="9"/>
  <c r="S6" i="9" s="1" a="1"/>
  <c r="S6" i="9" s="1"/>
  <c r="F87" i="9"/>
  <c r="S8" i="9" s="1" a="1"/>
  <c r="S8" i="9" s="1"/>
  <c r="H52" i="9" a="1"/>
  <c r="H52" i="9" s="1"/>
  <c r="P23" i="9" a="1"/>
  <c r="P23" i="9" s="1"/>
  <c r="H58" i="9" a="1"/>
  <c r="H58" i="9" s="1"/>
  <c r="H61" i="9" a="1"/>
  <c r="H61" i="9" s="1"/>
  <c r="G90" i="9"/>
  <c r="T11" i="9" s="1" a="1"/>
  <c r="T11" i="9" s="1"/>
  <c r="H93" i="9"/>
  <c r="U14" i="9" s="1" a="1"/>
  <c r="U14" i="9" s="1"/>
  <c r="D97" i="9"/>
  <c r="Q18" i="9" s="1" a="1"/>
  <c r="Q18" i="9" s="1"/>
  <c r="J94" i="9"/>
  <c r="W15" i="9" s="1"/>
  <c r="B12" i="20" s="1"/>
  <c r="D99" i="9"/>
  <c r="Q20" i="9" s="1" a="1"/>
  <c r="Q20" i="9" s="1"/>
  <c r="C94" i="9"/>
  <c r="P15" i="9" s="1" a="1"/>
  <c r="P15" i="9" s="1"/>
  <c r="G50" i="9" a="1"/>
  <c r="G50" i="9" s="1"/>
  <c r="I50" i="9" s="1"/>
  <c r="B7" i="9"/>
  <c r="G53" i="9" a="1"/>
  <c r="G53" i="9" s="1"/>
  <c r="J56" i="9"/>
  <c r="H65" i="9" a="1"/>
  <c r="H65" i="9" s="1"/>
  <c r="J92" i="9"/>
  <c r="W13" i="9" s="1"/>
  <c r="B10" i="20" s="1"/>
  <c r="G92" i="9"/>
  <c r="T13" i="9" s="1" a="1"/>
  <c r="T13" i="9" s="1"/>
  <c r="G86" i="9"/>
  <c r="T7" i="9" s="1" a="1"/>
  <c r="T7" i="9" s="1"/>
  <c r="G87" i="9"/>
  <c r="T8" i="9" s="1" a="1"/>
  <c r="T8" i="9" s="1"/>
  <c r="F99" i="9"/>
  <c r="S20" i="9" s="1" a="1"/>
  <c r="S20" i="9" s="1"/>
  <c r="J65" i="9"/>
  <c r="B18" i="9"/>
  <c r="C18" i="9" s="1"/>
  <c r="E99" i="9"/>
  <c r="E94" i="9"/>
  <c r="D98" i="9"/>
  <c r="Q19" i="9" s="1" a="1"/>
  <c r="Q19" i="9" s="1"/>
  <c r="C86" i="9"/>
  <c r="P7" i="9" s="1" a="1"/>
  <c r="P7" i="9" s="1"/>
  <c r="B13" i="9"/>
  <c r="E13" i="9" s="1"/>
  <c r="J51" i="9"/>
  <c r="P22" i="9" a="1"/>
  <c r="P22" i="9" s="1"/>
  <c r="J93" i="9"/>
  <c r="W14" i="9" s="1"/>
  <c r="B11" i="20" s="1"/>
  <c r="G96" i="9"/>
  <c r="T17" i="9" s="1" a="1"/>
  <c r="T17" i="9" s="1"/>
  <c r="E92" i="9"/>
  <c r="R13" i="9" s="1" a="1"/>
  <c r="R13" i="9" s="1"/>
  <c r="F94" i="9"/>
  <c r="S15" i="9" s="1" a="1"/>
  <c r="S15" i="9" s="1"/>
  <c r="E87" i="9"/>
  <c r="R8" i="9" s="1" a="1"/>
  <c r="R8" i="9" s="1"/>
  <c r="G63" i="9" a="1"/>
  <c r="G63" i="9" s="1"/>
  <c r="J61" i="9"/>
  <c r="P24" i="9" a="1"/>
  <c r="P24" i="9" s="1"/>
  <c r="J62" i="9"/>
  <c r="B15" i="9"/>
  <c r="E15" i="9" s="1"/>
  <c r="H98" i="9"/>
  <c r="I98" i="9" s="1"/>
  <c r="C93" i="9"/>
  <c r="P14" i="9" s="1" a="1"/>
  <c r="P14" i="9" s="1"/>
  <c r="B11" i="9"/>
  <c r="E11" i="9" s="1"/>
  <c r="H63" i="9" a="1"/>
  <c r="H63" i="9" s="1"/>
  <c r="R19" i="9" a="1"/>
  <c r="R19" i="9" s="1"/>
  <c r="G94" i="9"/>
  <c r="T15" i="9" s="1" a="1"/>
  <c r="T15" i="9" s="1"/>
  <c r="D87" i="9"/>
  <c r="Q8" i="9" s="1" a="1"/>
  <c r="Q8" i="9" s="1"/>
  <c r="S24" i="9" a="1"/>
  <c r="S24" i="9" s="1"/>
  <c r="D95" i="9"/>
  <c r="Q16" i="9" s="1" a="1"/>
  <c r="Q16" i="9" s="1"/>
  <c r="F88" i="9"/>
  <c r="S9" i="9" s="1" a="1"/>
  <c r="S9" i="9" s="1"/>
  <c r="G95" i="9"/>
  <c r="T16" i="9" s="1" a="1"/>
  <c r="T16" i="9" s="1"/>
  <c r="G57" i="9" a="1"/>
  <c r="G57" i="9" s="1"/>
  <c r="C88" i="9"/>
  <c r="P9" i="9" s="1" a="1"/>
  <c r="P9" i="9" s="1"/>
  <c r="U24" i="9" a="1"/>
  <c r="U24" i="9" s="1"/>
  <c r="H62" i="9" a="1"/>
  <c r="H62" i="9" s="1"/>
  <c r="E98" i="9"/>
  <c r="G93" i="9"/>
  <c r="T14" i="9" s="1" a="1"/>
  <c r="T14" i="9" s="1"/>
  <c r="V14" i="9" s="1"/>
  <c r="C95" i="9"/>
  <c r="P16" i="9" s="1" a="1"/>
  <c r="P16" i="9" s="1"/>
  <c r="E86" i="9"/>
  <c r="R7" i="9" s="1" a="1"/>
  <c r="R7" i="9" s="1"/>
  <c r="A11" i="20"/>
  <c r="G60" i="9" a="1"/>
  <c r="G60" i="9" s="1"/>
  <c r="R22" i="9" a="1"/>
  <c r="R22" i="9" s="1"/>
  <c r="A10" i="21"/>
  <c r="B10" i="21" s="1"/>
  <c r="W21" i="9"/>
  <c r="B18" i="20" s="1"/>
  <c r="A15" i="21"/>
  <c r="B15" i="21" s="1"/>
  <c r="U22" i="9" a="1"/>
  <c r="U22" i="9" s="1"/>
  <c r="A8" i="21"/>
  <c r="B8" i="21" s="1"/>
  <c r="G68" i="9" a="1"/>
  <c r="G68" i="9" s="1"/>
  <c r="W8" i="9"/>
  <c r="B5" i="20" s="1"/>
  <c r="F92" i="9"/>
  <c r="S13" i="9" s="1" a="1"/>
  <c r="S13" i="9" s="1"/>
  <c r="D89" i="9"/>
  <c r="Q10" i="9" s="1" a="1"/>
  <c r="Q10" i="9" s="1"/>
  <c r="H85" i="9"/>
  <c r="U6" i="9" s="1" a="1"/>
  <c r="U6" i="9" s="1"/>
  <c r="D85" i="9"/>
  <c r="Q6" i="9" s="1" a="1"/>
  <c r="Q6" i="9" s="1"/>
  <c r="C91" i="9"/>
  <c r="P12" i="9" s="1" a="1"/>
  <c r="P12" i="9" s="1"/>
  <c r="E97" i="9"/>
  <c r="R18" i="9" s="1" a="1"/>
  <c r="R18" i="9" s="1"/>
  <c r="W22" i="9"/>
  <c r="B19" i="20" s="1"/>
  <c r="A3" i="20"/>
  <c r="J66" i="9"/>
  <c r="Q24" i="9" a="1"/>
  <c r="Q24" i="9" s="1"/>
  <c r="J58" i="9"/>
  <c r="J68" i="9"/>
  <c r="A12" i="20"/>
  <c r="R24" i="9" a="1"/>
  <c r="R24" i="9" s="1"/>
  <c r="J63" i="9"/>
  <c r="B5" i="9"/>
  <c r="C5" i="9" s="1"/>
  <c r="E85" i="9"/>
  <c r="R6" i="9" s="1" a="1"/>
  <c r="R6" i="9" s="1"/>
  <c r="J89" i="9"/>
  <c r="W10" i="9" s="1"/>
  <c r="B7" i="20" s="1"/>
  <c r="H86" i="9"/>
  <c r="U7" i="9" s="1" a="1"/>
  <c r="U7" i="9" s="1"/>
  <c r="H91" i="9"/>
  <c r="U12" i="9" s="1" a="1"/>
  <c r="U12" i="9" s="1"/>
  <c r="C87" i="9"/>
  <c r="P8" i="9" s="1" a="1"/>
  <c r="P8" i="9" s="1"/>
  <c r="A9" i="21"/>
  <c r="B9" i="21" s="1"/>
  <c r="A9" i="20"/>
  <c r="H51" i="9" a="1"/>
  <c r="H51" i="9" s="1"/>
  <c r="J50" i="9"/>
  <c r="T23" i="9" a="1"/>
  <c r="T23" i="9" s="1"/>
  <c r="V35" i="9"/>
  <c r="X35" i="9" s="1"/>
  <c r="V31" i="9"/>
  <c r="X31" i="9" s="1"/>
  <c r="C28" i="20" s="1"/>
  <c r="V29" i="9"/>
  <c r="X29" i="9" s="1"/>
  <c r="C26" i="20" s="1"/>
  <c r="V30" i="9"/>
  <c r="X30" i="9" s="1"/>
  <c r="C27" i="20" s="1"/>
  <c r="V33" i="9"/>
  <c r="X33" i="9" s="1"/>
  <c r="V28" i="9"/>
  <c r="X28" i="9" s="1"/>
  <c r="C25" i="20" s="1"/>
  <c r="V32" i="9"/>
  <c r="X32" i="9" s="1"/>
  <c r="V34" i="9"/>
  <c r="X34" i="9" s="1"/>
  <c r="V27" i="9"/>
  <c r="X27" i="9" s="1"/>
  <c r="C24" i="20" s="1"/>
  <c r="W23" i="9"/>
  <c r="B20" i="20" s="1"/>
  <c r="I64" i="9"/>
  <c r="K64" i="9" s="1"/>
  <c r="A8" i="20"/>
  <c r="A7" i="20"/>
  <c r="W20" i="9"/>
  <c r="B17" i="20" s="1"/>
  <c r="A4" i="20"/>
  <c r="A14" i="20"/>
  <c r="A12" i="21"/>
  <c r="B12" i="21" s="1"/>
  <c r="A21" i="20"/>
  <c r="V26" i="9"/>
  <c r="X26" i="9" s="1"/>
  <c r="C23" i="20" s="1"/>
  <c r="A16" i="20"/>
  <c r="A13" i="20"/>
  <c r="A7" i="21"/>
  <c r="B7" i="21" s="1"/>
  <c r="A13" i="21"/>
  <c r="B13" i="21" s="1"/>
  <c r="K73" i="1"/>
  <c r="B14" i="9"/>
  <c r="H67" i="9" a="1"/>
  <c r="H67" i="9" s="1"/>
  <c r="U23" i="9" a="1"/>
  <c r="U23" i="9" s="1"/>
  <c r="H66" i="9" a="1"/>
  <c r="H66" i="9" s="1"/>
  <c r="G67" i="9" a="1"/>
  <c r="G67" i="9" s="1"/>
  <c r="B49" i="9"/>
  <c r="D91" i="9"/>
  <c r="Q12" i="9" s="1" a="1"/>
  <c r="Q12" i="9" s="1"/>
  <c r="D90" i="9"/>
  <c r="Q11" i="9" s="1" a="1"/>
  <c r="Q11" i="9" s="1"/>
  <c r="C98" i="9"/>
  <c r="P19" i="9" s="1" a="1"/>
  <c r="P19" i="9" s="1"/>
  <c r="J86" i="9"/>
  <c r="W7" i="9" s="1"/>
  <c r="H95" i="9"/>
  <c r="U16" i="9" s="1" a="1"/>
  <c r="U16" i="9" s="1"/>
  <c r="D86" i="9"/>
  <c r="Q7" i="9" s="1" a="1"/>
  <c r="Q7" i="9" s="1"/>
  <c r="G88" i="9"/>
  <c r="E90" i="9"/>
  <c r="R11" i="9" s="1" a="1"/>
  <c r="R11" i="9" s="1"/>
  <c r="H92" i="9"/>
  <c r="C89" i="9"/>
  <c r="P10" i="9" s="1" a="1"/>
  <c r="P10" i="9" s="1"/>
  <c r="S22" i="9" a="1"/>
  <c r="S22" i="9" s="1"/>
  <c r="H54" i="9" a="1"/>
  <c r="H54" i="9" s="1"/>
  <c r="H57" i="9" a="1"/>
  <c r="H57" i="9" s="1"/>
  <c r="B3" i="9"/>
  <c r="J67" i="9"/>
  <c r="B10" i="9"/>
  <c r="B16" i="9"/>
  <c r="B4" i="9"/>
  <c r="J55" i="9"/>
  <c r="J88" i="9"/>
  <c r="W9" i="9" s="1"/>
  <c r="B6" i="20" s="1"/>
  <c r="J95" i="9"/>
  <c r="W16" i="9" s="1"/>
  <c r="D88" i="9"/>
  <c r="Q9" i="9" s="1" a="1"/>
  <c r="Q9" i="9" s="1"/>
  <c r="F98" i="9"/>
  <c r="S19" i="9" s="1" a="1"/>
  <c r="S19" i="9" s="1"/>
  <c r="G85" i="9"/>
  <c r="E91" i="9"/>
  <c r="R12" i="9" s="1" a="1"/>
  <c r="R12" i="9" s="1"/>
  <c r="J57" i="9"/>
  <c r="J60" i="9"/>
  <c r="H53" i="9" a="1"/>
  <c r="H53" i="9" s="1"/>
  <c r="J52" i="9"/>
  <c r="G54" i="9" a="1"/>
  <c r="G54" i="9" s="1"/>
  <c r="T22" i="9" a="1"/>
  <c r="T22" i="9" s="1"/>
  <c r="J54" i="9"/>
  <c r="F89" i="9"/>
  <c r="S10" i="9" s="1" a="1"/>
  <c r="S10" i="9" s="1"/>
  <c r="H88" i="9"/>
  <c r="U9" i="9" s="1" a="1"/>
  <c r="U9" i="9" s="1"/>
  <c r="F96" i="9"/>
  <c r="S17" i="9" s="1" a="1"/>
  <c r="S17" i="9" s="1"/>
  <c r="J98" i="9"/>
  <c r="W19" i="9" s="1"/>
  <c r="J91" i="9"/>
  <c r="W12" i="9" s="1"/>
  <c r="E89" i="9"/>
  <c r="R10" i="9" s="1" a="1"/>
  <c r="R10" i="9" s="1"/>
  <c r="F91" i="9"/>
  <c r="S12" i="9" s="1" a="1"/>
  <c r="S12" i="9" s="1"/>
  <c r="J90" i="9"/>
  <c r="W11" i="9" s="1"/>
  <c r="B8" i="20" s="1"/>
  <c r="H99" i="9"/>
  <c r="U20" i="9" s="1" a="1"/>
  <c r="U20" i="9" s="1"/>
  <c r="F86" i="9"/>
  <c r="S7" i="9" s="1" a="1"/>
  <c r="S7" i="9" s="1"/>
  <c r="D92" i="9"/>
  <c r="Q13" i="9" s="1" a="1"/>
  <c r="Q13" i="9" s="1"/>
  <c r="B8" i="9"/>
  <c r="J96" i="9"/>
  <c r="W17" i="9" s="1"/>
  <c r="B14" i="20" s="1"/>
  <c r="Q23" i="9" a="1"/>
  <c r="Q23" i="9" s="1"/>
  <c r="R21" i="9" a="1"/>
  <c r="R21" i="9" s="1"/>
  <c r="B9" i="9"/>
  <c r="G51" i="9" a="1"/>
  <c r="G51" i="9" s="1"/>
  <c r="G61" i="9" a="1"/>
  <c r="G61" i="9" s="1"/>
  <c r="G62" i="9" a="1"/>
  <c r="G62" i="9" s="1"/>
  <c r="R23" i="9" a="1"/>
  <c r="R23" i="9" s="1"/>
  <c r="H94" i="9"/>
  <c r="U15" i="9" s="1" a="1"/>
  <c r="U15" i="9" s="1"/>
  <c r="G97" i="9"/>
  <c r="E93" i="9"/>
  <c r="R14" i="9" s="1" a="1"/>
  <c r="R14" i="9" s="1"/>
  <c r="C85" i="9"/>
  <c r="P6" i="9" s="1" a="1"/>
  <c r="P6" i="9" s="1"/>
  <c r="C90" i="9"/>
  <c r="P11" i="9" s="1" a="1"/>
  <c r="P11" i="9" s="1"/>
  <c r="G66" i="9" a="1"/>
  <c r="G66" i="9" s="1"/>
  <c r="P21" i="9" a="1"/>
  <c r="P21" i="9" s="1"/>
  <c r="B12" i="9"/>
  <c r="Q21" i="9" a="1"/>
  <c r="Q21" i="9" s="1"/>
  <c r="F93" i="9"/>
  <c r="S14" i="9" s="1" a="1"/>
  <c r="S14" i="9" s="1"/>
  <c r="D93" i="9"/>
  <c r="Q14" i="9" s="1" a="1"/>
  <c r="Q14" i="9" s="1"/>
  <c r="C97" i="9"/>
  <c r="P18" i="9" s="1" a="1"/>
  <c r="P18" i="9" s="1"/>
  <c r="C92" i="9"/>
  <c r="P13" i="9" s="1" a="1"/>
  <c r="P13" i="9" s="1"/>
  <c r="R15" i="9" a="1"/>
  <c r="R15" i="9" s="1"/>
  <c r="S16" i="9" a="1"/>
  <c r="S16" i="9" s="1"/>
  <c r="E88" i="9"/>
  <c r="R9" i="9" s="1" a="1"/>
  <c r="R9" i="9" s="1"/>
  <c r="R20" i="9" a="1"/>
  <c r="R20" i="9" s="1"/>
  <c r="G89" i="9"/>
  <c r="H55" i="9" a="1"/>
  <c r="H55" i="9" s="1"/>
  <c r="G58" i="9" a="1"/>
  <c r="G58" i="9" s="1"/>
  <c r="G52" i="9" a="1"/>
  <c r="G52" i="9" s="1"/>
  <c r="A17" i="21"/>
  <c r="B17" i="21" s="1"/>
  <c r="A20" i="20"/>
  <c r="A17" i="20"/>
  <c r="A4" i="21"/>
  <c r="B4" i="21" s="1"/>
  <c r="A5" i="20"/>
  <c r="A18" i="20"/>
  <c r="A6" i="20"/>
  <c r="A19" i="20"/>
  <c r="A5" i="21"/>
  <c r="B5" i="21" s="1"/>
  <c r="A10" i="20"/>
  <c r="A18" i="21"/>
  <c r="B18" i="21" s="1"/>
  <c r="A15" i="20"/>
  <c r="A6" i="21"/>
  <c r="B6" i="21" s="1"/>
  <c r="A14" i="21"/>
  <c r="B14" i="21" s="1"/>
  <c r="A3" i="21"/>
  <c r="B3" i="21" s="1"/>
  <c r="A16" i="21"/>
  <c r="B16" i="21" s="1"/>
  <c r="I73" i="1" a="1"/>
  <c r="I73" i="1" s="1"/>
  <c r="O5" i="9"/>
  <c r="B6" i="9"/>
  <c r="G55" i="9" a="1"/>
  <c r="G55" i="9" s="1"/>
  <c r="Q22" i="9" a="1"/>
  <c r="Q22" i="9" s="1"/>
  <c r="B17" i="9"/>
  <c r="T19" i="9" a="1"/>
  <c r="T19" i="9" s="1"/>
  <c r="C12" i="10"/>
  <c r="N6" i="17"/>
  <c r="B23" i="20"/>
  <c r="D35" i="14"/>
  <c r="C10" i="8" s="1"/>
  <c r="B21" i="20"/>
  <c r="I36" i="12"/>
  <c r="H8" i="7"/>
  <c r="J35" i="14"/>
  <c r="C12" i="8" s="1"/>
  <c r="G10" i="15"/>
  <c r="C37" i="12"/>
  <c r="E35" i="18"/>
  <c r="D35" i="18"/>
  <c r="C11" i="8" s="1"/>
  <c r="I31" i="6"/>
  <c r="L42" i="6" s="1"/>
  <c r="N5" i="17"/>
  <c r="H31" i="6"/>
  <c r="C16" i="10"/>
  <c r="D171" i="17"/>
  <c r="H8" i="15"/>
  <c r="H10" i="15" s="1"/>
  <c r="D2" i="2"/>
  <c r="V25" i="9" l="1"/>
  <c r="X25" i="9" s="1"/>
  <c r="C22" i="20" s="1"/>
  <c r="I69" i="9"/>
  <c r="K69" i="9" s="1"/>
  <c r="I92" i="9"/>
  <c r="V12" i="9"/>
  <c r="X12" i="9" s="1"/>
  <c r="C9" i="20" s="1"/>
  <c r="I90" i="9"/>
  <c r="C11" i="9"/>
  <c r="I53" i="9"/>
  <c r="K53" i="9" s="1"/>
  <c r="V16" i="9"/>
  <c r="X16" i="9" s="1"/>
  <c r="C13" i="20" s="1"/>
  <c r="I52" i="9"/>
  <c r="K52" i="9" s="1"/>
  <c r="C13" i="9"/>
  <c r="C15" i="9"/>
  <c r="I68" i="9"/>
  <c r="K68" i="9" s="1"/>
  <c r="I59" i="9"/>
  <c r="K59" i="9" s="1"/>
  <c r="V24" i="9"/>
  <c r="X24" i="9" s="1"/>
  <c r="C21" i="20" s="1"/>
  <c r="I58" i="9"/>
  <c r="K58" i="9" s="1"/>
  <c r="I96" i="9"/>
  <c r="K96" i="9" s="1"/>
  <c r="V21" i="9"/>
  <c r="X21" i="9" s="1"/>
  <c r="C18" i="20" s="1"/>
  <c r="X14" i="9"/>
  <c r="C11" i="20" s="1"/>
  <c r="U11" i="9" a="1"/>
  <c r="U11" i="9" s="1"/>
  <c r="V11" i="9" s="1"/>
  <c r="X11" i="9" s="1"/>
  <c r="C8" i="20" s="1"/>
  <c r="I57" i="9"/>
  <c r="K57" i="9" s="1"/>
  <c r="I60" i="9"/>
  <c r="K60" i="9" s="1"/>
  <c r="I65" i="9"/>
  <c r="K65" i="9" s="1"/>
  <c r="I63" i="9"/>
  <c r="K63" i="9" s="1"/>
  <c r="E18" i="9"/>
  <c r="I87" i="9"/>
  <c r="K87" i="9" s="1"/>
  <c r="I62" i="9"/>
  <c r="K62" i="9" s="1"/>
  <c r="K92" i="9"/>
  <c r="V15" i="9"/>
  <c r="X15" i="9" s="1"/>
  <c r="C12" i="20" s="1"/>
  <c r="U19" i="9" a="1"/>
  <c r="U19" i="9" s="1"/>
  <c r="V19" i="9" s="1"/>
  <c r="X19" i="9" s="1"/>
  <c r="C16" i="20" s="1"/>
  <c r="I61" i="9"/>
  <c r="K61" i="9" s="1"/>
  <c r="I93" i="9"/>
  <c r="K93" i="9" s="1"/>
  <c r="C7" i="9"/>
  <c r="E7" i="9" a="1"/>
  <c r="E7" i="9" s="1"/>
  <c r="I95" i="9"/>
  <c r="K95" i="9" s="1"/>
  <c r="V20" i="9"/>
  <c r="X20" i="9" s="1"/>
  <c r="C17" i="20" s="1"/>
  <c r="I51" i="9"/>
  <c r="K51" i="9" s="1"/>
  <c r="E5" i="9"/>
  <c r="K50" i="9"/>
  <c r="V8" i="9"/>
  <c r="X8" i="9" s="1"/>
  <c r="C5" i="20" s="1"/>
  <c r="V22" i="9"/>
  <c r="X22" i="9" s="1"/>
  <c r="E20" i="19" s="1" a="1"/>
  <c r="E20" i="19" s="1"/>
  <c r="I85" i="9"/>
  <c r="K85" i="9" s="1"/>
  <c r="E18" i="19" a="1"/>
  <c r="E18" i="19" s="1"/>
  <c r="U13" i="9" a="1"/>
  <c r="U13" i="9" s="1"/>
  <c r="V13" i="9" s="1"/>
  <c r="X13" i="9" s="1"/>
  <c r="C10" i="20" s="1"/>
  <c r="I99" i="9"/>
  <c r="K99" i="9" s="1"/>
  <c r="I91" i="9"/>
  <c r="K91" i="9" s="1"/>
  <c r="V7" i="9"/>
  <c r="X7" i="9" s="1"/>
  <c r="C4" i="20" s="1"/>
  <c r="V23" i="9"/>
  <c r="X23" i="9" s="1"/>
  <c r="C20" i="20" s="1"/>
  <c r="K98" i="9"/>
  <c r="I86" i="9"/>
  <c r="K86" i="9" s="1"/>
  <c r="I54" i="9"/>
  <c r="K54" i="9" s="1"/>
  <c r="I66" i="9"/>
  <c r="K66" i="9" s="1"/>
  <c r="T6" i="9" a="1"/>
  <c r="T6" i="9" s="1"/>
  <c r="V6" i="9" s="1"/>
  <c r="X6" i="9" s="1"/>
  <c r="C3" i="20" s="1"/>
  <c r="I55" i="9"/>
  <c r="K55" i="9" s="1"/>
  <c r="I67" i="9"/>
  <c r="K67" i="9" s="1"/>
  <c r="B9" i="20"/>
  <c r="B16" i="20"/>
  <c r="C6" i="9"/>
  <c r="E6" i="9"/>
  <c r="I88" i="9"/>
  <c r="K88" i="9" s="1"/>
  <c r="T9" i="9" a="1"/>
  <c r="T9" i="9" s="1"/>
  <c r="V9" i="9" s="1"/>
  <c r="X9" i="9" s="1"/>
  <c r="C6" i="20" s="1"/>
  <c r="J6" i="1"/>
  <c r="J73" i="1" s="1" a="1"/>
  <c r="J73" i="1" s="1"/>
  <c r="B15" i="20"/>
  <c r="V17" i="9"/>
  <c r="X17" i="9" s="1"/>
  <c r="C14" i="20" s="1"/>
  <c r="E14" i="9"/>
  <c r="C14" i="9"/>
  <c r="B13" i="20"/>
  <c r="E8" i="9"/>
  <c r="C8" i="9"/>
  <c r="B4" i="20"/>
  <c r="I94" i="9"/>
  <c r="K94" i="9" s="1"/>
  <c r="C17" i="9"/>
  <c r="E17" i="9"/>
  <c r="C3" i="9"/>
  <c r="E3" i="9"/>
  <c r="D8" i="19" a="1"/>
  <c r="D8" i="19" s="1"/>
  <c r="D10" i="19" a="1"/>
  <c r="D10" i="19" s="1"/>
  <c r="A2" i="21"/>
  <c r="B2" i="21" s="1"/>
  <c r="A2" i="20"/>
  <c r="D12" i="19" a="1"/>
  <c r="D12" i="19" s="1"/>
  <c r="D14" i="19" a="1"/>
  <c r="D14" i="19" s="1"/>
  <c r="T10" i="9" a="1"/>
  <c r="T10" i="9" s="1"/>
  <c r="V10" i="9" s="1"/>
  <c r="X10" i="9" s="1"/>
  <c r="C7" i="20" s="1"/>
  <c r="I89" i="9"/>
  <c r="K89" i="9" s="1"/>
  <c r="C4" i="9"/>
  <c r="E4" i="9"/>
  <c r="C10" i="9"/>
  <c r="E10" i="9"/>
  <c r="E9" i="9"/>
  <c r="C9" i="9"/>
  <c r="G49" i="9" a="1"/>
  <c r="G49" i="9" s="1"/>
  <c r="D49" i="9" a="1"/>
  <c r="D49" i="9" s="1"/>
  <c r="G84" i="9"/>
  <c r="T5" i="9" s="1" a="1"/>
  <c r="T5" i="9" s="1"/>
  <c r="H84" i="9"/>
  <c r="U5" i="9" s="1" a="1"/>
  <c r="U5" i="9" s="1"/>
  <c r="D84" i="9"/>
  <c r="Q5" i="9" s="1" a="1"/>
  <c r="Q5" i="9" s="1"/>
  <c r="E49" i="9" a="1"/>
  <c r="E49" i="9" s="1"/>
  <c r="C14" i="19" a="1"/>
  <c r="C14" i="19" s="1"/>
  <c r="J84" i="9"/>
  <c r="W5" i="9" s="1"/>
  <c r="C49" i="9" a="1"/>
  <c r="C49" i="9" s="1"/>
  <c r="E84" i="9"/>
  <c r="R5" i="9" s="1" a="1"/>
  <c r="R5" i="9" s="1"/>
  <c r="F49" i="9" a="1"/>
  <c r="F49" i="9" s="1"/>
  <c r="H49" i="9" a="1"/>
  <c r="H49" i="9" s="1"/>
  <c r="J49" i="9"/>
  <c r="F84" i="9"/>
  <c r="S5" i="9" s="1" a="1"/>
  <c r="S5" i="9" s="1"/>
  <c r="B2" i="9"/>
  <c r="C12" i="19" a="1"/>
  <c r="C12" i="19" s="1"/>
  <c r="C84" i="9"/>
  <c r="P5" i="9" s="1" a="1"/>
  <c r="P5" i="9" s="1"/>
  <c r="K90" i="9"/>
  <c r="T18" i="9" a="1"/>
  <c r="T18" i="9" s="1"/>
  <c r="V18" i="9" s="1"/>
  <c r="X18" i="9" s="1"/>
  <c r="C15" i="20" s="1"/>
  <c r="I97" i="9"/>
  <c r="K97" i="9" s="1"/>
  <c r="C12" i="9"/>
  <c r="E12" i="9"/>
  <c r="E16" i="9"/>
  <c r="C16" i="9"/>
  <c r="N7" i="17"/>
  <c r="C19" i="10" s="1"/>
  <c r="F35" i="18"/>
  <c r="C9" i="8"/>
  <c r="C14" i="8" s="1"/>
  <c r="C4" i="10" s="1"/>
  <c r="K5" i="17"/>
  <c r="K6" i="17" s="1"/>
  <c r="F171" i="17"/>
  <c r="P7" i="17"/>
  <c r="C19" i="20" l="1"/>
  <c r="E14" i="19"/>
  <c r="B2" i="20"/>
  <c r="I49" i="9"/>
  <c r="K49" i="9" s="1"/>
  <c r="C21" i="9"/>
  <c r="E12" i="19"/>
  <c r="V5" i="9"/>
  <c r="X5" i="9" s="1"/>
  <c r="C2" i="20" s="1"/>
  <c r="E2" i="9"/>
  <c r="C2" i="9"/>
  <c r="I84" i="9"/>
  <c r="K84" i="9" s="1"/>
  <c r="C15" i="10"/>
  <c r="C17" i="10" s="1"/>
  <c r="E16" i="19" l="1"/>
  <c r="C23" i="9"/>
  <c r="C3" i="10"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<sst xmlns="http://schemas.openxmlformats.org/spreadsheetml/2006/main" count="1119" uniqueCount="315">
  <si>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</si>
  <si>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</si>
  <si>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</si>
  <si>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</si>
  <si>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</si>
  <si>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</si>
  <si>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</si>
  <si>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</si>
  <si>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</si>
  <si>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</si>
  <si>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</si>
  <si>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</si>
  <si>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</si>
  <si>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</si>
  <si>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</si>
  <si>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</si>
  <si>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</si>
  <si>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</si>
  <si>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</si>
  <si>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</si>
  <si>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</si>
  <si>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</si>
  <si>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</si>
  <si>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</si>
  <si>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</si>
  <si>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</si>
  <si>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</si>
  <si>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</si>
  <si>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</si>
  <si>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</si>
  <si>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</si>
  <si>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</si>
  <si>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</si>
  <si>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</si>
  <si>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</si>
  <si>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</si>
  <si>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</si>
  <si>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</si>
  <si>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</si>
  <si>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</si>
  <si>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</si>
  <si>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</si>
  <si>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</si>
  <si>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</si>
  <si>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</si>
  <si>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</si>
  <si>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</si>
  <si>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</si>
  <si>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</si>
  <si>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</si>
  <si>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</si>
  <si>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</si>
  <si>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</si>
  <si>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</si>
  <si>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</si>
  <si>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</si>
  <si>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</si>
  <si>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</si>
  <si>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</si>
  <si>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</si>
  <si>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</si>
  <si>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</si>
  <si>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</si>
  <si>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</si>
  <si>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</si>
  <si>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</si>
  <si>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</si>
  <si>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</si>
  <si>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</si>
  <si>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</si>
  <si>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</si>
  <si>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</si>
  <si>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</si>
  <si>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</si>
  <si>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</si>
  <si>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</si>
  <si>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</si>
  <si>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</si>
  <si>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</si>
  <si>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</si>
  <si>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</si>
  <si>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</si>
  <si>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</si>
  <si>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</si>
  <si>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</si>
  <si>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</si>
  <si>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</si>
  <si>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</si>
  <si>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</si>
  <si>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</si>
  <si>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</si>
  <si>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</si>
  <si>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</si>
  <si>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</si>
  <si>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</si>
  <si>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</si>
  <si>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</si>
  <si>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</si>
  <si>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</si>
  <si>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</si>
  <si>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</si>
  <si>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</si>
  <si>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</si>
  <si>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</si>
  <si>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</si>
  <si>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</si>
  <si>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</si>
  <si>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</si>
  <si>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</si>
  <si>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</si>
  <si>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</si>
  <si>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</si>
  <si>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</si>
  <si>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</si>
  <si>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</si>
  <si>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</si>
  <si>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</si>
  <si>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</si>
  <si>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</si>
  <si>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</si>
  <si>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</si>
  <si>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</si>
  <si>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</si>
  <si>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</si>
  <si>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</si>
  <si>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</si>
  <si>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</si>
  <si>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</si>
  <si>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</si>
  <si>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</si>
  <si>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</si>
  <si>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</si>
  <si>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</si>
  <si>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</si>
  <si>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</si>
  <si>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</si>
  <si>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</si>
  <si>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</si>
  <si>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</si>
  <si>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</si>
  <si>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</si>
  <si>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</si>
  <si>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</si>
  <si>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</si>
  <si>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</si>
  <si>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</si>
  <si>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</si>
  <si>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</si>
  <si>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</si>
  <si>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</si>
  <si>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</si>
  <si>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</si>
  <si>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</si>
  <si>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</si>
  <si>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</si>
  <si>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</si>
  <si>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</si>
  <si>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</si>
  <si>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</si>
  <si>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</si>
  <si>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</si>
  <si>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</si>
  <si>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</si>
  <si>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</si>
  <si>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</si>
  <si>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</si>
  <si>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</si>
  <si>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</si>
  <si>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</si>
  <si>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</si>
  <si>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</si>
  <si>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</si>
  <si>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</si>
  <si>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</si>
  <si>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</si>
  <si>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</si>
  <si>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</si>
  <si>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</si>
  <si>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</si>
  <si>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</si>
  <si>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</si>
  <si>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</si>
  <si>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</si>
  <si>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</si>
  <si>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</si>
  <si>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</si>
  <si>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</si>
  <si>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</si>
  <si>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</si>
  <si>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</si>
  <si>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</si>
  <si>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</si>
  <si>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</si>
  <si>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</si>
  <si>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</si>
  <si>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</si>
  <si>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</si>
  <si>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</si>
  <si>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</si>
  <si>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</si>
  <si>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</si>
  <si>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</si>
  <si>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</si>
  <si>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</si>
  <si>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</si>
  <si>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</si>
  <si>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</si>
  <si>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</si>
  <si>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</si>
  <si>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</si>
  <si>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</si>
  <si>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</si>
  <si>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</si>
  <si>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</si>
  <si>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</si>
  <si>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</si>
  <si>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</si>
  <si>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</si>
  <si>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</si>
  <si>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</si>
  <si>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</si>
  <si>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</si>
  <si>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</si>
  <si>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</si>
  <si>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</si>
  <si>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</si>
  <si>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</si>
  <si>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</si>
  <si>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</si>
  <si>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</si>
  <si>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</si>
  <si>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</si>
  <si>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</si>
  <si>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</si>
  <si>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</si>
  <si>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</si>
  <si>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</si>
  <si>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</si>
  <si>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</si>
  <si>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</si>
  <si>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</si>
  <si>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</si>
  <si>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</si>
  <si>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</si>
  <si>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</si>
  <si>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</si>
  <si>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</si>
  <si>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</si>
  <si>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</si>
  <si>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</si>
  <si>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</si>
  <si>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</si>
  <si>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</si>
  <si>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</si>
  <si>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</si>
  <si>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</si>
  <si>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</si>
  <si>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</si>
  <si>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</si>
  <si>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</si>
  <si>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</si>
  <si>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</si>
  <si>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</si>
  <si>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</si>
  <si>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</si>
  <si>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</si>
  <si>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</si>
  <si>
    <t>clip karaya</t>
  </si>
  <si>
    <t>headlights</t>
  </si>
  <si>
    <t>folding repair</t>
  </si>
  <si>
    <t>Master Tanveer</t>
  </si>
  <si>
    <t>tahir</t>
  </si>
  <si>
    <t>bearings small</t>
  </si>
  <si>
    <t>spoons</t>
  </si>
  <si>
    <t>dye bags</t>
  </si>
  <si>
    <t>parts</t>
  </si>
  <si>
    <t>TID:247528</t>
  </si>
  <si>
    <t>Chain Acc</t>
  </si>
  <si>
    <t>TID:409607</t>
  </si>
  <si>
    <t>chain Acc</t>
  </si>
  <si>
    <t>RPT 5560</t>
  </si>
  <si>
    <t>266 mann</t>
  </si>
  <si>
    <t>TID:511418</t>
  </si>
  <si>
    <t>Atta 10bags</t>
  </si>
  <si>
    <t>TAT 098</t>
  </si>
  <si>
    <t>wood</t>
  </si>
  <si>
    <t>chai</t>
  </si>
  <si>
    <t>TID:534706</t>
  </si>
  <si>
    <t>clips advance</t>
  </si>
  <si>
    <t>266 man</t>
  </si>
  <si>
    <t>1821+1820+1819</t>
  </si>
  <si>
    <t>CAR 6957</t>
  </si>
  <si>
    <t>package device</t>
  </si>
  <si>
    <t>5000 khalid sahab</t>
  </si>
  <si>
    <t>ARB dasti</t>
  </si>
  <si>
    <t>sajad khan (100000)</t>
  </si>
  <si>
    <t>Amjad Sohail</t>
  </si>
  <si>
    <t>cheque</t>
  </si>
  <si>
    <t>amjad sohail cheque</t>
  </si>
  <si>
    <t>mubashir</t>
  </si>
  <si>
    <t>E 9399</t>
  </si>
  <si>
    <t>starch</t>
  </si>
  <si>
    <t>Haseeb shamsi</t>
  </si>
  <si>
    <t>Sohaib shamsi</t>
  </si>
  <si>
    <t>Hazrat khan</t>
  </si>
  <si>
    <t>353250 poora</t>
  </si>
  <si>
    <t>food/home</t>
  </si>
  <si>
    <t>695k cash+ 305 transfer</t>
  </si>
  <si>
    <t>TID:773769</t>
  </si>
  <si>
    <t>M tag</t>
  </si>
  <si>
    <t>Screws</t>
  </si>
  <si>
    <t>bottles</t>
  </si>
  <si>
    <t>boiler theka</t>
  </si>
  <si>
    <t>Slub</t>
  </si>
  <si>
    <t>Satin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</si>
</sst>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8">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xf numFmtId="14" fontId="0" fillId="0" borderId="7" xfId="0" applyNumberFormat="1" applyFont="1" applyBorder="1"/>
    <xf numFmtId="0" fontId="0" fillId="0" borderId="0" xfId="0" applyBorder="1"/>
    <xf numFmtId="0" fontId="0" fillId="0" borderId="0" xfId="0" applyBorder="1" applyAlignment="1">
      <alignment horizontal="center"/>
    </xf>
  </cellXfs>
  <cellStyles count="2">
    <cellStyle name="Comma" xfId="1" builtinId="3"/>
    <cellStyle name="Normal" xfId="0" builtinId="0"/>
  </cellStyles>
  <dxfs count="128">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openxmlformats.org/officeDocument/2006/relationships/calcChain" Target="calcChai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254644</xdr:colOff>
      <xdr:row>110</xdr:row>
      <xdr:rowOff>2672</xdr:rowOff>
    </xdr:from>
    <xdr:to>
      <xdr:col>15</xdr:col>
      <xdr:colOff>447002</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27</xdr:row>
      <xdr:rowOff>94595</xdr:rowOff>
    </xdr:from>
    <xdr:to>
      <xdr:col>10</xdr:col>
      <xdr:colOff>1236689</xdr:colOff>
      <xdr:row>40</xdr:row>
      <xdr:rowOff>131164</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5408917.8595464528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-102324</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39467595" createdVersion="8" refreshedVersion="8" minRefreshableVersion="3" recordCount="62" xr:uid="{46CBB50D-3613-4E5B-8212-DD0313DCD05A}">
  <cacheSource type="worksheet">
    <worksheetSource name="Table1"/>
  </cacheSource>
  <cacheFields count="14">
    <cacheField name="Date" numFmtId="14">
      <sharedItems containsSemiMixedTypes="0" containsNonDate="0" containsDate="1" containsString="0" minDate="2025-07-25T00:00:00" maxDate="2025-10-26T00:00:00" count="75">
        <d v="2025-10-17T00:00:00"/>
        <d v="2025-10-18T00:00:00"/>
        <d v="2025-10-20T00:00:00"/>
        <d v="2025-10-21T00:00:00"/>
        <d v="2025-10-22T00:00:00"/>
        <d v="2025-10-23T00:00:00"/>
        <d v="2025-10-24T00:00:00"/>
        <d v="2025-10-25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14" count="397">
        <s v="September Closing CF"/>
        <n v="985"/>
        <n v="986"/>
        <n v="987"/>
        <n v="988"/>
        <n v="989"/>
        <n v="990"/>
        <n v="991"/>
        <n v="992"/>
        <n v="993"/>
        <n v="994"/>
        <n v="995"/>
        <n v="996"/>
        <n v="997"/>
        <n v="998"/>
        <n v="999"/>
        <n v="1000"/>
        <n v="1001"/>
        <n v="1002"/>
        <n v="1003"/>
        <n v="1004"/>
        <n v="1005"/>
        <n v="1006"/>
        <n v="1007"/>
        <n v="1008"/>
        <n v="1009"/>
        <n v="1010"/>
        <n v="1011"/>
        <n v="1012"/>
        <n v="1013"/>
        <n v="1014"/>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210">
        <m/>
        <n v="1818"/>
        <n v="1780"/>
        <n v="1800"/>
        <n v="1826"/>
        <n v="1803"/>
        <n v="1829"/>
        <n v="1813"/>
        <n v="1827"/>
        <n v="1761"/>
        <n v="1786"/>
        <n v="1834"/>
        <n v="1796"/>
        <n v="1836"/>
        <n v="1828"/>
        <n v="1837"/>
        <n v="1840"/>
        <n v="1825"/>
        <n v="1838"/>
        <n v="1845"/>
        <n v="1807"/>
        <s v="1821+1820+1819"/>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7734" maxValue="42632"/>
    </cacheField>
    <cacheField name="Tiyaar/gaz" numFmtId="164">
      <sharedItems containsString="0" containsBlank="1" containsNumber="1" containsInteger="1" minValue="1563" maxValue="45331"/>
    </cacheField>
    <cacheField name="shortage %" numFmtId="165">
      <sharedItems containsMixedTypes="1" containsNumber="1" minValue="-8.9429716796790615" maxValue="91.584987374443145"/>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162034" createdVersion="8" refreshedVersion="8" minRefreshableVersion="3" recordCount="5" xr:uid="{376A650C-1F79-4049-BC45-E34989F046B2}">
  <cacheSource type="worksheet">
    <worksheetSource name="Table2"/>
  </cacheSource>
  <cacheFields count="8">
    <cacheField name="Date" numFmtId="14">
      <sharedItems containsSemiMixedTypes="0" containsNonDate="0" containsDate="1" containsString="0" minDate="2025-10-15T00:00:00" maxDate="2025-10-25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4" maxValue="4"/>
    </cacheField>
    <cacheField name="Quantity" numFmtId="0">
      <sharedItems containsString="0" containsBlank="1" containsNumber="1" containsInteger="1" minValue="125"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393519" createdVersion="8" refreshedVersion="8" minRefreshableVersion="3" recordCount="24" xr:uid="{3E5C2981-ACF5-44A9-8567-B1D65DB3A8D2}">
  <cacheSource type="worksheet">
    <worksheetSource name="Table3"/>
  </cacheSource>
  <cacheFields count="9">
    <cacheField name="Date" numFmtId="14">
      <sharedItems containsSemiMixedTypes="0" containsNonDate="0" containsDate="1" containsString="0" minDate="2025-05-02T00:00:00" maxDate="2025-10-26T00:00:00" count="88">
        <d v="2025-10-17T00:00:00"/>
        <d v="2025-10-18T00:00:00"/>
        <d v="2025-10-20T00:00:00"/>
        <d v="2025-10-21T00:00:00"/>
        <d v="2025-10-22T00:00:00"/>
        <d v="2025-10-23T00:00:00"/>
        <d v="2025-10-24T00:00:00"/>
        <d v="2025-10-25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62">
        <s v="Closing Balance CF"/>
        <m/>
        <s v="LES 3747"/>
        <s v="TKL 364"/>
        <s v="TKQ 364"/>
        <s v="LXT 8141"/>
        <s v="RPT 5560"/>
        <s v="266 man"/>
        <s v="TAT 098"/>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403200" maxValue="197228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625003"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26T00:00:00" count="30">
        <d v="2025-10-17T00:00:00"/>
        <d v="2025-10-18T00:00:00"/>
        <d v="2025-10-25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1087965"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190950.9875640088"/>
    </cacheField>
    <cacheField name="Rate" numFmtId="0">
      <sharedItems containsString="0" containsBlank="1" containsNumber="1" minValue="10" maxValue="12"/>
    </cacheField>
    <cacheField name="Total" numFmtId="164">
      <sharedItems containsSemiMixedTypes="0" containsString="0" containsNumber="1" minValue="0" maxValue="2025844.915874177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1435189" createdVersion="8" refreshedVersion="8" minRefreshableVersion="3" recordCount="134" xr:uid="{B5BDFB73-D93A-4A7A-8149-666BC190B09B}">
  <cacheSource type="worksheet">
    <worksheetSource name="Table14"/>
  </cacheSource>
  <cacheFields count="7">
    <cacheField name="Date" numFmtId="14">
      <sharedItems containsSemiMixedTypes="0" containsNonDate="0" containsDate="1" containsString="0" minDate="2025-10-17T00:00:00" maxDate="2025-10-26T00:00:00"/>
    </cacheField>
    <cacheField name="Party" numFmtId="0">
      <sharedItems containsBlank="1" count="54">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s v="Shafique Ansari"/>
        <s v="Chain Acc"/>
        <m/>
        <s v="Ubaidullah"/>
        <s v="Rafaqat"/>
        <s v="Amjad 7up"/>
        <s v="Closing August CF" u="1"/>
        <s v="Ejaz Sahab" u="1"/>
        <s v="Hafiz Qureshi" u="1"/>
        <s v="Azam" u="1"/>
        <s v="Sufi Nawaz Sahab" u="1"/>
        <s v="Finish" u="1"/>
        <s v="Badshah Fabrics" u="1"/>
        <s v="Shehzad Kamoki" u="1"/>
        <s v="Cash" u="1"/>
        <s v="Raaz Fabrics" u="1"/>
        <s v="Shamil" u="1"/>
        <s v="ARB dasti"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300" maxValue="2503038"/>
    </cacheField>
    <cacheField name="Credit" numFmtId="164">
      <sharedItems containsString="0" containsBlank="1" containsNumber="1" containsInteger="1" minValue="-18992"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8355.888807607917"/>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r>
    <x v="5"/>
    <x v="0"/>
    <x v="18"/>
    <s v="Chamki"/>
    <x v="13"/>
    <n v="9527"/>
    <n v="10153"/>
    <n v="2.5504766071617553"/>
    <n v="9284.0160936356988"/>
    <n v="92840.160936356988"/>
    <m/>
  </r>
  <r>
    <x v="5"/>
    <x v="0"/>
    <x v="19"/>
    <s v="Chamki"/>
    <x v="14"/>
    <n v="31302"/>
    <n v="31733"/>
    <n v="0.87306718693977814"/>
    <n v="29017.008046817853"/>
    <n v="290170.08046817855"/>
    <m/>
  </r>
  <r>
    <x v="5"/>
    <x v="0"/>
    <x v="20"/>
    <s v="Chamki"/>
    <x v="15"/>
    <n v="11233"/>
    <n v="3227"/>
    <n v="-8.9429716796790615"/>
    <n v="2950.8046817849308"/>
    <n v="29508.04681784931"/>
    <m/>
  </r>
  <r>
    <x v="6"/>
    <x v="0"/>
    <x v="21"/>
    <s v="Chamki"/>
    <x v="16"/>
    <n v="8913"/>
    <n v="7126"/>
    <n v="2.5571994779084832"/>
    <n v="6516.0936356986103"/>
    <n v="65160.936356986102"/>
    <m/>
  </r>
  <r>
    <x v="6"/>
    <x v="0"/>
    <x v="22"/>
    <s v="Chamki"/>
    <x v="14"/>
    <n v="31302"/>
    <n v="2200"/>
    <n v="0.87306718693977814"/>
    <n v="2011.704462326262"/>
    <n v="20117.04462326262"/>
    <m/>
  </r>
  <r>
    <x v="6"/>
    <x v="0"/>
    <x v="23"/>
    <s v="Chamki"/>
    <x v="16"/>
    <n v="8913"/>
    <n v="2372"/>
    <n v="2.5571994779084832"/>
    <n v="2168.9831748354063"/>
    <n v="21689.831748354063"/>
    <m/>
  </r>
  <r>
    <x v="6"/>
    <x v="0"/>
    <x v="24"/>
    <s v="Chamki"/>
    <x v="15"/>
    <n v="11233"/>
    <n v="10156"/>
    <n v="-8.9429716796790615"/>
    <n v="9286.7593269934168"/>
    <n v="92867.593269934165"/>
    <m/>
  </r>
  <r>
    <x v="6"/>
    <x v="0"/>
    <x v="25"/>
    <s v="Chamki"/>
    <x v="17"/>
    <n v="25262"/>
    <n v="27090"/>
    <n v="1.942058347754724"/>
    <n v="24771.3972201902"/>
    <n v="247713.97220190201"/>
    <m/>
  </r>
  <r>
    <x v="7"/>
    <x v="0"/>
    <x v="26"/>
    <s v="Chamki"/>
    <x v="18"/>
    <n v="10092"/>
    <n v="10885"/>
    <n v="1.3737115247839853"/>
    <n v="9953.3650329188004"/>
    <n v="99533.650329188007"/>
    <m/>
  </r>
  <r>
    <x v="7"/>
    <x v="0"/>
    <x v="27"/>
    <s v="Chamki"/>
    <x v="19"/>
    <n v="14494"/>
    <n v="15623"/>
    <n v="1.4361465718629773"/>
    <n v="14285.844915874179"/>
    <n v="142858.4491587418"/>
    <m/>
  </r>
  <r>
    <x v="7"/>
    <x v="0"/>
    <x v="28"/>
    <s v="Chamki"/>
    <x v="20"/>
    <n v="14854"/>
    <n v="15938"/>
    <n v="1.8857922550523085"/>
    <n v="14573.884418434529"/>
    <n v="145738.84418434527"/>
    <m/>
  </r>
  <r>
    <x v="7"/>
    <x v="0"/>
    <x v="29"/>
    <s v="Chamki"/>
    <x v="21"/>
    <n v="12811"/>
    <n v="3756"/>
    <n v="37.83774539493966"/>
    <n v="3434.5281638624729"/>
    <n v="34345.281638624729"/>
    <m/>
  </r>
  <r>
    <x v="7"/>
    <x v="0"/>
    <x v="30"/>
    <s v="Chamki"/>
    <x v="21"/>
    <n v="12811"/>
    <n v="4953"/>
    <n v="37.83774539493966"/>
    <n v="4529.0782735918074"/>
    <n v="45290.782735918074"/>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d v="2025-10-24T00:00:00"/>
    <x v="2"/>
    <s v="PVA"/>
    <n v="4"/>
    <n v="125"/>
    <n v="120000"/>
    <n v="0"/>
    <n v="12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3"/>
    <x v="0"/>
    <x v="1"/>
    <m/>
    <m/>
    <m/>
    <n v="0"/>
    <n v="403200"/>
    <n v="-403200"/>
  </r>
  <r>
    <x v="6"/>
    <x v="0"/>
    <x v="6"/>
    <n v="311"/>
    <n v="810"/>
    <n v="52060"/>
    <n v="251910"/>
    <n v="252060"/>
    <n v="-150"/>
  </r>
  <r>
    <x v="7"/>
    <x v="0"/>
    <x v="7"/>
    <n v="266"/>
    <n v="810"/>
    <n v="50000"/>
    <n v="215460"/>
    <m/>
    <n v="215460"/>
  </r>
  <r>
    <x v="7"/>
    <x v="0"/>
    <x v="8"/>
    <n v="417"/>
    <n v="810"/>
    <n v="72900"/>
    <n v="337770"/>
    <n v="326921"/>
    <n v="10849"/>
  </r>
  <r>
    <x v="7"/>
    <x v="2"/>
    <x v="1"/>
    <m/>
    <m/>
    <m/>
    <n v="0"/>
    <n v="100000"/>
    <n v="-10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0"/>
    <n v="100000"/>
    <n v="-100000"/>
    <m/>
  </r>
  <r>
    <x v="3"/>
    <m/>
    <m/>
    <m/>
    <m/>
    <x v="2"/>
    <n v="0"/>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190950.9875640088"/>
    <n v="10"/>
    <n v="2025844.9158741776"/>
  </r>
  <r>
    <x v="1"/>
    <n v="44246.525237746893"/>
    <n v="10"/>
    <n v="530958.30285296275"/>
  </r>
  <r>
    <x v="2"/>
    <n v="68918.251645940021"/>
    <n v="10"/>
    <n v="689182.51645940018"/>
  </r>
  <r>
    <x v="3"/>
    <n v="0"/>
    <n v="10.5"/>
    <n v="0"/>
  </r>
  <r>
    <x v="4"/>
    <n v="0"/>
    <n v="10"/>
    <n v="0"/>
  </r>
  <r>
    <x v="5"/>
    <n v="41451.170446232631"/>
    <n v="10"/>
    <n v="414511.70446232631"/>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d v="2025-10-17T00:00:00"/>
    <x v="0"/>
    <m/>
    <n v="-18992"/>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16"/>
    <n v="3000"/>
    <m/>
    <s v="mazdoor"/>
    <s v="Cash"/>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7"/>
    <n v="300"/>
    <m/>
    <s v="clip karaya"/>
    <s v="Bank"/>
    <m/>
  </r>
  <r>
    <d v="2025-10-24T00:00:00"/>
    <x v="4"/>
    <n v="5311"/>
    <m/>
    <s v="petrol"/>
    <s v="Cash"/>
    <m/>
  </r>
  <r>
    <d v="2025-10-24T00:00:00"/>
    <x v="4"/>
    <n v="1800"/>
    <m/>
    <s v="headlights"/>
    <s v="Bank"/>
    <m/>
  </r>
  <r>
    <d v="2025-10-24T00:00:00"/>
    <x v="14"/>
    <n v="30000"/>
    <m/>
    <s v="folding repair"/>
    <s v="Bank"/>
    <m/>
  </r>
  <r>
    <d v="2025-10-24T00:00:00"/>
    <x v="1"/>
    <m/>
    <n v="30000"/>
    <s v="folding repair"/>
    <s v="Bank"/>
    <m/>
  </r>
  <r>
    <d v="2025-10-24T00:00:00"/>
    <x v="8"/>
    <n v="5000"/>
    <m/>
    <s v="Master Tanveer"/>
    <s v="Bank"/>
    <m/>
  </r>
  <r>
    <d v="2025-10-24T00:00:00"/>
    <x v="14"/>
    <n v="6600"/>
    <m/>
    <s v="tahir"/>
    <s v="Bank"/>
    <m/>
  </r>
  <r>
    <d v="2025-10-24T00:00:00"/>
    <x v="14"/>
    <n v="3500"/>
    <m/>
    <s v="bearings small"/>
    <s v="Bank"/>
    <m/>
  </r>
  <r>
    <d v="2025-10-24T00:00:00"/>
    <x v="14"/>
    <n v="800"/>
    <m/>
    <s v="spoons"/>
    <s v="Bank"/>
    <m/>
  </r>
  <r>
    <d v="2025-10-24T00:00:00"/>
    <x v="14"/>
    <n v="1000"/>
    <m/>
    <s v="dye bags"/>
    <s v="Bank"/>
    <m/>
  </r>
  <r>
    <d v="2025-10-24T00:00:00"/>
    <x v="1"/>
    <m/>
    <n v="10500"/>
    <m/>
    <s v="Bank"/>
    <m/>
  </r>
  <r>
    <d v="2025-10-24T00:00:00"/>
    <x v="14"/>
    <n v="10500"/>
    <m/>
    <s v="parts"/>
    <s v="Bank"/>
    <m/>
  </r>
  <r>
    <d v="2025-10-24T00:00:00"/>
    <x v="23"/>
    <m/>
    <n v="98000"/>
    <s v="TID:247528"/>
    <s v="Bank"/>
    <m/>
  </r>
  <r>
    <d v="2025-10-24T00:00:00"/>
    <x v="24"/>
    <n v="250000"/>
    <m/>
    <s v="TID:409607"/>
    <s v="Bank"/>
    <m/>
  </r>
  <r>
    <d v="2025-10-24T00:00:00"/>
    <x v="1"/>
    <m/>
    <n v="250000"/>
    <s v="chain Acc"/>
    <s v="Bank"/>
    <m/>
  </r>
  <r>
    <d v="2025-10-24T00:00:00"/>
    <x v="2"/>
    <n v="52060"/>
    <m/>
    <s v="RPT 5560"/>
    <s v="Bank"/>
    <m/>
  </r>
  <r>
    <d v="2025-10-24T00:00:00"/>
    <x v="1"/>
    <m/>
    <n v="200000"/>
    <s v="BAHL"/>
    <s v="Bank"/>
    <m/>
  </r>
  <r>
    <d v="2025-10-24T00:00:00"/>
    <x v="2"/>
    <n v="200000"/>
    <m/>
    <s v="BAHL"/>
    <s v="Bank"/>
    <m/>
  </r>
  <r>
    <d v="2025-10-25T00:00:00"/>
    <x v="5"/>
    <n v="600"/>
    <m/>
    <m/>
    <s v="Bank"/>
    <m/>
  </r>
  <r>
    <d v="2025-10-25T00:00:00"/>
    <x v="7"/>
    <n v="1420"/>
    <m/>
    <m/>
    <s v="Cash"/>
    <m/>
  </r>
  <r>
    <d v="2025-10-25T00:00:00"/>
    <x v="2"/>
    <n v="50000"/>
    <m/>
    <s v="266 mann"/>
    <s v="Bank"/>
    <m/>
  </r>
  <r>
    <d v="2025-10-25T00:00:00"/>
    <x v="25"/>
    <m/>
    <m/>
    <m/>
    <m/>
    <m/>
  </r>
  <r>
    <d v="2025-10-25T00:00:00"/>
    <x v="1"/>
    <m/>
    <n v="100000"/>
    <s v="TID:511418"/>
    <s v="Bank"/>
    <m/>
  </r>
  <r>
    <d v="2025-10-25T00:00:00"/>
    <x v="22"/>
    <n v="20000"/>
    <m/>
    <s v="Atta 10bags"/>
    <s v="Bank"/>
    <m/>
  </r>
  <r>
    <d v="2025-10-25T00:00:00"/>
    <x v="26"/>
    <m/>
    <n v="179000"/>
    <m/>
    <s v="Bank"/>
    <m/>
  </r>
  <r>
    <d v="2025-10-25T00:00:00"/>
    <x v="2"/>
    <n v="72900"/>
    <m/>
    <s v="TAT 098"/>
    <s v="Bank"/>
    <m/>
  </r>
  <r>
    <d v="2025-10-25T00:00:00"/>
    <x v="18"/>
    <n v="15000"/>
    <m/>
    <s v="zulfiqar sahab advance"/>
    <s v="Bank"/>
    <m/>
  </r>
  <r>
    <d v="2025-10-25T00:00:00"/>
    <x v="27"/>
    <n v="100000"/>
    <m/>
    <s v="wood"/>
    <s v="Bank"/>
    <m/>
  </r>
  <r>
    <d v="2025-10-25T00:00:00"/>
    <x v="16"/>
    <n v="5600"/>
    <m/>
    <s v="Mazdoor"/>
    <s v="Cash"/>
    <m/>
  </r>
  <r>
    <d v="2025-10-25T00:00:00"/>
    <x v="7"/>
    <n v="420"/>
    <m/>
    <s v="chai"/>
    <s v="Cash"/>
    <m/>
  </r>
  <r>
    <d v="2025-10-25T00:00:00"/>
    <x v="8"/>
    <m/>
    <m/>
    <s v="Sajid"/>
    <s v="Cash"/>
    <m/>
  </r>
  <r>
    <d v="2025-10-25T00:00:00"/>
    <x v="28"/>
    <m/>
    <n v="400000"/>
    <m/>
    <s v="Bank"/>
    <m/>
  </r>
  <r>
    <d v="2025-10-25T00:00:00"/>
    <x v="13"/>
    <n v="100000"/>
    <m/>
    <m/>
    <s v="Bank"/>
    <m/>
  </r>
  <r>
    <d v="2025-10-25T00:00:00"/>
    <x v="2"/>
    <n v="204021"/>
    <m/>
    <s v="TID:534706"/>
    <s v="Bank"/>
    <m/>
  </r>
  <r>
    <d v="2025-10-25T00:00:00"/>
    <x v="14"/>
    <n v="20000"/>
    <m/>
    <s v="clips advance"/>
    <s v="Bank"/>
    <m/>
  </r>
  <r>
    <d v="2025-10-25T00:00:00"/>
    <x v="25"/>
    <m/>
    <m/>
    <m/>
    <m/>
    <m/>
  </r>
  <r>
    <d v="2025-10-25T00:00:00"/>
    <x v="25"/>
    <m/>
    <m/>
    <m/>
    <m/>
    <m/>
  </r>
  <r>
    <d v="2025-10-25T00:00:00"/>
    <x v="25"/>
    <m/>
    <m/>
    <m/>
    <m/>
    <m/>
  </r>
  <r>
    <d v="2025-10-25T00:00:00"/>
    <x v="25"/>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27">
      <pivotArea field="0" grandRow="1" outline="0" collapsedLevelsAreSubtotals="1" axis="axisRow" fieldPosition="0">
        <references count="1">
          <reference field="4294967294" count="1" selected="0">
            <x v="1"/>
          </reference>
        </references>
      </pivotArea>
    </format>
    <format dxfId="126">
      <pivotArea field="0" grandRow="1" outline="0" collapsedLevelsAreSubtotals="1" axis="axisRow" fieldPosition="0">
        <references count="1">
          <reference field="4294967294" count="1" selected="0">
            <x v="0"/>
          </reference>
        </references>
      </pivotArea>
    </format>
    <format dxfId="125">
      <pivotArea collapsedLevelsAreSubtotals="1" fieldPosition="0">
        <references count="2">
          <reference field="4294967294" count="1" selected="0">
            <x v="1"/>
          </reference>
          <reference field="0" count="0"/>
        </references>
      </pivotArea>
    </format>
    <format dxfId="12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18:K127" firstHeaderRow="0" firstDataRow="1" firstDataCol="1"/>
  <pivotFields count="14">
    <pivotField axis="axisRow" numFmtId="14" showAll="0">
      <items count="76">
        <item m="1" x="59"/>
        <item m="1" x="60"/>
        <item m="1" x="61"/>
        <item m="1" x="62"/>
        <item m="1" x="63"/>
        <item m="1" x="64"/>
        <item m="1" x="74"/>
        <item m="1" x="65"/>
        <item m="1" x="66"/>
        <item m="1" x="67"/>
        <item m="1" x="68"/>
        <item m="1" x="69"/>
        <item m="1" x="70"/>
        <item m="1" x="71"/>
        <item m="1" x="72"/>
        <item m="1" x="73"/>
        <item m="1" x="36"/>
        <item m="1" x="35"/>
        <item m="1" x="30"/>
        <item m="1" x="37"/>
        <item m="1" x="38"/>
        <item m="1" x="39"/>
        <item m="1" x="40"/>
        <item m="1" x="41"/>
        <item m="1" x="42"/>
        <item m="1" x="43"/>
        <item m="1" x="44"/>
        <item m="1" x="45"/>
        <item m="1" x="46"/>
        <item m="1" x="47"/>
        <item m="1" x="48"/>
        <item m="1" x="49"/>
        <item m="1" x="50"/>
        <item m="1" x="51"/>
        <item m="1" x="52"/>
        <item m="1" x="53"/>
        <item m="1" x="54"/>
        <item m="1" x="55"/>
        <item m="1" x="56"/>
        <item m="1" x="57"/>
        <item m="1" x="58"/>
        <item m="1" x="8"/>
        <item m="1" x="9"/>
        <item m="1" x="10"/>
        <item m="1" x="11"/>
        <item m="1" x="12"/>
        <item m="1" x="13"/>
        <item m="1" x="14"/>
        <item m="1" x="15"/>
        <item m="1" x="16"/>
        <item m="1" x="17"/>
        <item m="1" x="18"/>
        <item m="1" x="19"/>
        <item m="1" x="20"/>
        <item m="1" x="21"/>
        <item m="1" x="31"/>
        <item m="1" x="22"/>
        <item m="1" x="23"/>
        <item m="1" x="32"/>
        <item m="1" x="24"/>
        <item m="1" x="25"/>
        <item m="1" x="26"/>
        <item m="1" x="33"/>
        <item m="1" x="34"/>
        <item m="1" x="27"/>
        <item m="1" x="28"/>
        <item m="1" x="29"/>
        <item x="0"/>
        <item x="1"/>
        <item x="2"/>
        <item x="3"/>
        <item x="4"/>
        <item x="5"/>
        <item x="6"/>
        <item x="7"/>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9">
    <i>
      <x v="67"/>
    </i>
    <i>
      <x v="68"/>
    </i>
    <i>
      <x v="69"/>
    </i>
    <i>
      <x v="70"/>
    </i>
    <i>
      <x v="71"/>
    </i>
    <i>
      <x v="72"/>
    </i>
    <i>
      <x v="73"/>
    </i>
    <i>
      <x v="74"/>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18:G150" firstHeaderRow="0" firstDataRow="1" firstDataCol="1" rowPageCount="3" colPageCount="1"/>
  <pivotFields count="14">
    <pivotField axis="axisPage" showAll="0">
      <items count="76">
        <item m="1" x="59"/>
        <item m="1" x="60"/>
        <item m="1" x="61"/>
        <item m="1" x="62"/>
        <item m="1" x="63"/>
        <item m="1" x="64"/>
        <item m="1" x="74"/>
        <item m="1" x="65"/>
        <item m="1" x="66"/>
        <item m="1" x="67"/>
        <item m="1" x="68"/>
        <item m="1" x="69"/>
        <item m="1" x="70"/>
        <item m="1" x="71"/>
        <item m="1" x="72"/>
        <item m="1" x="73"/>
        <item m="1" x="36"/>
        <item m="1" x="35"/>
        <item m="1" x="30"/>
        <item m="1" x="37"/>
        <item m="1" x="38"/>
        <item m="1" x="39"/>
        <item m="1" x="40"/>
        <item m="1" x="41"/>
        <item m="1" x="42"/>
        <item m="1" x="43"/>
        <item m="1" x="44"/>
        <item m="1" x="45"/>
        <item m="1" x="46"/>
        <item m="1" x="47"/>
        <item m="1" x="48"/>
        <item m="1" x="49"/>
        <item m="1" x="50"/>
        <item m="1" x="51"/>
        <item m="1" x="52"/>
        <item m="1" x="53"/>
        <item m="1" x="54"/>
        <item m="1" x="55"/>
        <item m="1" x="56"/>
        <item m="1" x="57"/>
        <item m="1" x="58"/>
        <item m="1" x="8"/>
        <item m="1" x="9"/>
        <item m="1" x="10"/>
        <item m="1" x="11"/>
        <item m="1" x="12"/>
        <item m="1" x="13"/>
        <item m="1" x="14"/>
        <item m="1" x="15"/>
        <item m="1" x="16"/>
        <item m="1" x="17"/>
        <item m="1" x="18"/>
        <item m="1" x="19"/>
        <item m="1" x="20"/>
        <item m="1" x="21"/>
        <item m="1" x="31"/>
        <item m="1" x="22"/>
        <item m="1" x="23"/>
        <item m="1" x="32"/>
        <item m="1" x="24"/>
        <item m="1" x="25"/>
        <item m="1" x="26"/>
        <item m="1" x="33"/>
        <item m="1" x="34"/>
        <item m="1" x="27"/>
        <item m="1" x="28"/>
        <item m="1" x="29"/>
        <item x="0"/>
        <item x="1"/>
        <item x="2"/>
        <item x="3"/>
        <item x="4"/>
        <item x="5"/>
        <item x="6"/>
        <item x="7"/>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39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287"/>
        <item m="1" x="288"/>
        <item m="1" x="289"/>
        <item m="1" x="290"/>
        <item m="1" x="291"/>
        <item m="1" x="292"/>
        <item m="1" x="293"/>
        <item m="1" x="294"/>
        <item m="1" x="295"/>
        <item m="1" x="296"/>
        <item m="1" x="297"/>
        <item m="1" x="298"/>
        <item m="1" x="299"/>
        <item m="1" x="300"/>
        <item m="1" x="301"/>
        <item m="1" x="302"/>
        <item m="1" x="303"/>
        <item m="1" x="304"/>
        <item m="1" x="333"/>
        <item m="1" x="305"/>
        <item m="1" x="306"/>
        <item m="1" x="307"/>
        <item m="1" x="308"/>
        <item m="1" x="309"/>
        <item m="1" x="310"/>
        <item m="1" x="322"/>
        <item m="1" x="311"/>
        <item m="1" x="312"/>
        <item m="1" x="313"/>
        <item m="1" x="314"/>
        <item m="1" x="315"/>
        <item m="1" x="316"/>
        <item m="1" x="317"/>
        <item m="1" x="318"/>
        <item m="1" x="319"/>
        <item m="1" x="320"/>
        <item m="1" x="321"/>
        <item m="1" x="323"/>
        <item m="1" x="324"/>
        <item m="1" x="325"/>
        <item m="1" x="326"/>
        <item m="1" x="327"/>
        <item m="1" x="328"/>
        <item m="1" x="329"/>
        <item m="1" x="330"/>
        <item m="1" x="331"/>
        <item m="1" x="332"/>
        <item m="1" x="334"/>
        <item m="1" x="335"/>
        <item m="1" x="336"/>
        <item m="1" x="337"/>
        <item m="1" x="338"/>
        <item m="1" x="339"/>
        <item m="1" x="340"/>
        <item m="1" x="341"/>
        <item m="1" x="342"/>
        <item m="1" x="343"/>
        <item m="1" x="344"/>
        <item m="1" x="345"/>
        <item m="1" x="346"/>
        <item m="1" x="347"/>
        <item m="1" x="348"/>
        <item m="1" x="179"/>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180"/>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7"/>
        <item m="1" x="278"/>
        <item m="1" x="279"/>
        <item m="1" x="276"/>
        <item m="1" x="280"/>
        <item m="1" x="281"/>
        <item m="1" x="282"/>
        <item m="1" x="283"/>
        <item m="1" x="284"/>
        <item m="1" x="285"/>
        <item m="1" x="286"/>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axis="axisPage" multipleItemSelectionAllowed="1" showAll="0">
      <items count="211">
        <item m="1" x="164"/>
        <item m="1" x="193"/>
        <item m="1" x="194"/>
        <item m="1" x="202"/>
        <item m="1" x="192"/>
        <item m="1" x="191"/>
        <item m="1" x="195"/>
        <item m="1" x="206"/>
        <item m="1" x="198"/>
        <item m="1" x="199"/>
        <item m="1" x="196"/>
        <item m="1" x="197"/>
        <item m="1" x="207"/>
        <item m="1" x="200"/>
        <item m="1" x="201"/>
        <item m="1" x="204"/>
        <item m="1" x="205"/>
        <item m="1" x="203"/>
        <item m="1" x="159"/>
        <item m="1" x="209"/>
        <item m="1" x="158"/>
        <item m="1" x="208"/>
        <item m="1" x="161"/>
        <item m="1" x="160"/>
        <item m="1" x="162"/>
        <item m="1" x="168"/>
        <item m="1" x="163"/>
        <item m="1" x="165"/>
        <item m="1" x="169"/>
        <item m="1" x="170"/>
        <item m="1" x="189"/>
        <item m="1" x="166"/>
        <item m="1" x="167"/>
        <item m="1" x="129"/>
        <item m="1" x="151"/>
        <item m="1" x="190"/>
        <item m="1" x="171"/>
        <item m="1" x="172"/>
        <item m="1" x="173"/>
        <item m="1" x="174"/>
        <item m="1" x="175"/>
        <item m="1" x="105"/>
        <item m="1" x="176"/>
        <item m="1" x="177"/>
        <item m="1" x="178"/>
        <item m="1" x="179"/>
        <item m="1" x="180"/>
        <item m="1" x="181"/>
        <item m="1" x="182"/>
        <item m="1" x="183"/>
        <item m="1" x="184"/>
        <item m="1" x="185"/>
        <item m="1" x="186"/>
        <item m="1" x="187"/>
        <item m="1" x="188"/>
        <item x="0"/>
        <item m="1" x="104"/>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2"/>
        <item m="1" x="153"/>
        <item m="1" x="154"/>
        <item m="1" x="155"/>
        <item m="1" x="156"/>
        <item m="1" x="157"/>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103"/>
        <item m="1" x="84"/>
        <item m="1" x="85"/>
        <item m="1" x="86"/>
        <item m="1" x="87"/>
        <item m="1" x="88"/>
        <item m="1" x="89"/>
        <item m="1" x="90"/>
        <item m="1" x="91"/>
        <item m="1" x="92"/>
        <item m="1" x="93"/>
        <item m="1" x="94"/>
        <item m="1" x="95"/>
        <item m="1" x="96"/>
        <item m="1" x="97"/>
        <item m="1" x="98"/>
        <item m="1" x="99"/>
        <item m="1" x="100"/>
        <item m="1" x="101"/>
        <item m="1" x="102"/>
        <item x="1"/>
        <item x="2"/>
        <item x="3"/>
        <item x="4"/>
        <item x="5"/>
        <item x="6"/>
        <item x="7"/>
        <item x="8"/>
        <item x="9"/>
        <item x="10"/>
        <item x="11"/>
        <item x="12"/>
        <item x="13"/>
        <item x="14"/>
        <item x="15"/>
        <item x="16"/>
        <item x="17"/>
        <item x="18"/>
        <item x="19"/>
        <item x="20"/>
        <item x="2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32">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31" firstHeaderRow="0" firstDataRow="1" firstDataCol="1" rowPageCount="1" colPageCount="1"/>
  <pivotFields count="9">
    <pivotField axis="axisRow" numFmtId="14" showAll="0">
      <items count="89">
        <item m="1" x="72"/>
        <item m="1" x="73"/>
        <item m="1" x="74"/>
        <item m="1" x="75"/>
        <item m="1" x="76"/>
        <item m="1" x="77"/>
        <item m="1" x="78"/>
        <item m="1" x="87"/>
        <item m="1" x="68"/>
        <item m="1" x="79"/>
        <item m="1" x="80"/>
        <item m="1" x="81"/>
        <item m="1" x="82"/>
        <item m="1" x="83"/>
        <item m="1" x="84"/>
        <item m="1" x="85"/>
        <item m="1" x="39"/>
        <item m="1" x="40"/>
        <item m="1" x="86"/>
        <item m="1" x="41"/>
        <item m="1" x="38"/>
        <item m="1" x="42"/>
        <item m="1" x="44"/>
        <item m="1" x="45"/>
        <item m="1" x="46"/>
        <item m="1" x="48"/>
        <item m="1" x="49"/>
        <item m="1" x="50"/>
        <item m="1" x="43"/>
        <item m="1" x="47"/>
        <item m="1" x="51"/>
        <item m="1" x="52"/>
        <item m="1" x="53"/>
        <item m="1" x="54"/>
        <item m="1" x="37"/>
        <item m="1" x="55"/>
        <item m="1" x="69"/>
        <item m="1" x="70"/>
        <item m="1" x="71"/>
        <item m="1" x="56"/>
        <item m="1" x="57"/>
        <item m="1" x="58"/>
        <item m="1" x="59"/>
        <item m="1" x="60"/>
        <item m="1" x="61"/>
        <item m="1" x="62"/>
        <item m="1" x="63"/>
        <item m="1" x="64"/>
        <item m="1" x="65"/>
        <item m="1" x="66"/>
        <item m="1" x="67"/>
        <item m="1" x="8"/>
        <item m="1" x="9"/>
        <item m="1" x="10"/>
        <item m="1" x="11"/>
        <item m="1" x="12"/>
        <item m="1" x="13"/>
        <item m="1" x="14"/>
        <item m="1" x="15"/>
        <item m="1" x="17"/>
        <item m="1" x="18"/>
        <item m="1" x="19"/>
        <item m="1" x="16"/>
        <item m="1" x="20"/>
        <item m="1" x="21"/>
        <item m="1" x="22"/>
        <item m="1" x="23"/>
        <item m="1" x="24"/>
        <item m="1" x="25"/>
        <item m="1" x="26"/>
        <item m="1" x="27"/>
        <item m="1" x="28"/>
        <item m="1" x="29"/>
        <item m="1" x="30"/>
        <item m="1" x="31"/>
        <item m="1" x="32"/>
        <item m="1" x="33"/>
        <item m="1" x="34"/>
        <item m="1" x="35"/>
        <item m="1" x="36"/>
        <item x="0"/>
        <item x="1"/>
        <item x="2"/>
        <item x="3"/>
        <item x="4"/>
        <item x="5"/>
        <item x="6"/>
        <item x="7"/>
        <item t="default"/>
      </items>
    </pivotField>
    <pivotField axis="axisPage" showAll="0">
      <items count="9">
        <item x="1"/>
        <item x="0"/>
        <item m="1" x="5"/>
        <item m="1" x="7"/>
        <item x="2"/>
        <item x="3"/>
        <item x="4"/>
        <item m="1" x="6"/>
        <item t="default"/>
      </items>
    </pivotField>
    <pivotField axis="axisRow" showAll="0">
      <items count="63">
        <item m="1" x="52"/>
        <item m="1" x="36"/>
        <item m="1" x="48"/>
        <item m="1" x="18"/>
        <item m="1" x="53"/>
        <item m="1" x="54"/>
        <item m="1" x="49"/>
        <item m="1" x="50"/>
        <item m="1" x="51"/>
        <item x="1"/>
        <item m="1" x="29"/>
        <item m="1" x="55"/>
        <item m="1" x="56"/>
        <item m="1" x="57"/>
        <item m="1" x="58"/>
        <item m="1" x="59"/>
        <item m="1" x="60"/>
        <item m="1" x="25"/>
        <item m="1" x="26"/>
        <item m="1" x="61"/>
        <item m="1" x="27"/>
        <item x="0"/>
        <item m="1" x="28"/>
        <item m="1" x="30"/>
        <item m="1" x="31"/>
        <item m="1" x="32"/>
        <item m="1" x="33"/>
        <item m="1" x="34"/>
        <item m="1" x="35"/>
        <item m="1" x="37"/>
        <item m="1" x="38"/>
        <item m="1" x="20"/>
        <item m="1" x="39"/>
        <item m="1" x="40"/>
        <item m="1" x="41"/>
        <item m="1" x="24"/>
        <item m="1" x="42"/>
        <item m="1" x="43"/>
        <item m="1" x="22"/>
        <item m="1" x="44"/>
        <item m="1" x="45"/>
        <item m="1" x="46"/>
        <item m="1" x="47"/>
        <item m="1" x="10"/>
        <item m="1" x="11"/>
        <item m="1" x="12"/>
        <item m="1" x="13"/>
        <item m="1" x="14"/>
        <item m="1" x="15"/>
        <item m="1" x="16"/>
        <item m="1" x="17"/>
        <item m="1" x="19"/>
        <item m="1" x="21"/>
        <item m="1" x="23"/>
        <item m="1" x="9"/>
        <item x="2"/>
        <item x="3"/>
        <item x="4"/>
        <item x="5"/>
        <item x="6"/>
        <item x="7"/>
        <item x="8"/>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3">
    <i>
      <x v="80"/>
    </i>
    <i r="1">
      <x v="9"/>
    </i>
    <i r="1">
      <x v="21"/>
    </i>
    <i r="1">
      <x v="55"/>
    </i>
    <i>
      <x v="81"/>
    </i>
    <i r="1">
      <x v="9"/>
    </i>
    <i r="1">
      <x v="56"/>
    </i>
    <i r="1">
      <x v="57"/>
    </i>
    <i>
      <x v="82"/>
    </i>
    <i r="1">
      <x v="9"/>
    </i>
    <i>
      <x v="83"/>
    </i>
    <i r="1">
      <x v="9"/>
    </i>
    <i>
      <x v="84"/>
    </i>
    <i r="1">
      <x v="9"/>
    </i>
    <i>
      <x v="85"/>
    </i>
    <i r="1">
      <x v="58"/>
    </i>
    <i>
      <x v="86"/>
    </i>
    <i r="1">
      <x v="59"/>
    </i>
    <i>
      <x v="87"/>
    </i>
    <i r="1">
      <x v="9"/>
    </i>
    <i r="1">
      <x v="60"/>
    </i>
    <i r="1">
      <x v="61"/>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00">
      <pivotArea dataOnly="0" labelOnly="1" outline="0" fieldPosition="0">
        <references count="1">
          <reference field="1" count="1">
            <x v="1"/>
          </reference>
        </references>
      </pivotArea>
    </format>
    <format dxfId="99">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3" firstHeaderRow="0" firstDataRow="1" firstDataCol="1"/>
  <pivotFields count="7">
    <pivotField numFmtId="14" showAll="0"/>
    <pivotField axis="axisRow" showAll="0">
      <items count="55">
        <item x="3"/>
        <item x="21"/>
        <item x="1"/>
        <item m="1" x="37"/>
        <item m="1" x="43"/>
        <item m="1" x="34"/>
        <item x="2"/>
        <item x="7"/>
        <item x="14"/>
        <item x="22"/>
        <item x="8"/>
        <item m="1" x="52"/>
        <item m="1" x="36"/>
        <item x="4"/>
        <item m="1" x="45"/>
        <item m="1" x="50"/>
        <item x="16"/>
        <item x="10"/>
        <item x="5"/>
        <item m="1" x="30"/>
        <item x="25"/>
        <item x="12"/>
        <item m="1" x="53"/>
        <item m="1" x="33"/>
        <item m="1" x="31"/>
        <item m="1" x="51"/>
        <item m="1" x="42"/>
        <item x="13"/>
        <item m="1" x="44"/>
        <item m="1" x="46"/>
        <item m="1" x="47"/>
        <item m="1" x="48"/>
        <item x="26"/>
        <item m="1" x="49"/>
        <item m="1" x="38"/>
        <item x="27"/>
        <item x="19"/>
        <item m="1" x="32"/>
        <item m="1" x="29"/>
        <item x="24"/>
        <item m="1" x="35"/>
        <item x="6"/>
        <item x="9"/>
        <item m="1" x="39"/>
        <item m="1" x="40"/>
        <item m="1" x="41"/>
        <item x="0"/>
        <item x="11"/>
        <item x="15"/>
        <item x="17"/>
        <item x="18"/>
        <item x="20"/>
        <item x="23"/>
        <item x="28"/>
        <item t="default"/>
      </items>
    </pivotField>
    <pivotField dataField="1" showAll="0"/>
    <pivotField dataField="1" showAll="0"/>
    <pivotField showAll="0"/>
    <pivotField showAll="0"/>
    <pivotField showAll="0"/>
  </pivotFields>
  <rowFields count="1">
    <field x="1"/>
  </rowFields>
  <rowItems count="30">
    <i>
      <x/>
    </i>
    <i>
      <x v="1"/>
    </i>
    <i>
      <x v="2"/>
    </i>
    <i>
      <x v="6"/>
    </i>
    <i>
      <x v="7"/>
    </i>
    <i>
      <x v="8"/>
    </i>
    <i>
      <x v="9"/>
    </i>
    <i>
      <x v="10"/>
    </i>
    <i>
      <x v="13"/>
    </i>
    <i>
      <x v="16"/>
    </i>
    <i>
      <x v="17"/>
    </i>
    <i>
      <x v="18"/>
    </i>
    <i>
      <x v="20"/>
    </i>
    <i>
      <x v="21"/>
    </i>
    <i>
      <x v="27"/>
    </i>
    <i>
      <x v="32"/>
    </i>
    <i>
      <x v="35"/>
    </i>
    <i>
      <x v="36"/>
    </i>
    <i>
      <x v="39"/>
    </i>
    <i>
      <x v="41"/>
    </i>
    <i>
      <x v="42"/>
    </i>
    <i>
      <x v="46"/>
    </i>
    <i>
      <x v="47"/>
    </i>
    <i>
      <x v="48"/>
    </i>
    <i>
      <x v="49"/>
    </i>
    <i>
      <x v="50"/>
    </i>
    <i>
      <x v="51"/>
    </i>
    <i>
      <x v="52"/>
    </i>
    <i>
      <x v="53"/>
    </i>
    <i t="grand">
      <x/>
    </i>
  </rowItems>
  <colFields count="1">
    <field x="-2"/>
  </colFields>
  <colItems count="2">
    <i>
      <x/>
    </i>
    <i i="1">
      <x v="1"/>
    </i>
  </colItems>
  <dataFields count="2">
    <dataField name="Sum of Credit" fld="3" baseField="0" baseItem="0"/>
    <dataField name="Sum of Debit" fld="2" baseField="0" baseItem="0"/>
  </dataFields>
  <formats count="1">
    <format dxfId="8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1">
        <item m="1" x="25"/>
        <item m="1" x="26"/>
        <item m="1" x="27"/>
        <item m="1" x="28"/>
        <item m="1" x="29"/>
        <item m="1" x="24"/>
        <item m="1" x="12"/>
        <item m="1" x="13"/>
        <item m="1" x="17"/>
        <item m="1" x="18"/>
        <item m="1" x="14"/>
        <item m="1" x="19"/>
        <item m="1" x="20"/>
        <item m="1" x="21"/>
        <item m="1" x="22"/>
        <item m="1" x="23"/>
        <item m="1" x="11"/>
        <item m="1" x="15"/>
        <item m="1" x="16"/>
        <item m="1" x="4"/>
        <item m="1" x="5"/>
        <item m="1" x="6"/>
        <item m="1" x="7"/>
        <item m="1" x="8"/>
        <item m="1" x="9"/>
        <item m="1" x="10"/>
        <item x="0"/>
        <item x="1"/>
        <item x="3"/>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6"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11">
        <item m="1" x="193"/>
        <item m="1" x="194"/>
        <item m="1" x="192"/>
        <item m="1" x="191"/>
        <item m="1" x="195"/>
        <item m="1" x="197"/>
        <item m="1" x="196"/>
        <item m="1" x="198"/>
        <item m="1" x="199"/>
        <item m="1" x="200"/>
        <item m="1" x="201"/>
        <item m="1" x="202"/>
        <item m="1" x="203"/>
        <item m="1" x="204"/>
        <item m="1" x="129"/>
        <item m="1" x="151"/>
        <item m="1" x="205"/>
        <item m="1" x="206"/>
        <item m="1" x="207"/>
        <item m="1" x="159"/>
        <item m="1" x="158"/>
        <item m="1" x="208"/>
        <item m="1" x="209"/>
        <item m="1" x="168"/>
        <item m="1" x="160"/>
        <item m="1" x="161"/>
        <item m="1" x="162"/>
        <item m="1" x="163"/>
        <item m="1" x="164"/>
        <item m="1" x="165"/>
        <item m="1" x="166"/>
        <item m="1" x="167"/>
        <item m="1" x="169"/>
        <item m="1" x="189"/>
        <item m="1" x="170"/>
        <item m="1" x="190"/>
        <item m="1" x="171"/>
        <item m="1" x="172"/>
        <item m="1" x="173"/>
        <item m="1" x="174"/>
        <item m="1" x="175"/>
        <item m="1" x="105"/>
        <item m="1" x="176"/>
        <item m="1" x="177"/>
        <item m="1" x="178"/>
        <item m="1" x="179"/>
        <item m="1" x="180"/>
        <item m="1" x="181"/>
        <item m="1" x="182"/>
        <item m="1" x="183"/>
        <item m="1" x="184"/>
        <item m="1" x="185"/>
        <item m="1" x="186"/>
        <item m="1" x="187"/>
        <item m="1" x="188"/>
        <item x="0"/>
        <item m="1" x="104"/>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2"/>
        <item m="1" x="153"/>
        <item m="1" x="154"/>
        <item m="1" x="155"/>
        <item m="1" x="156"/>
        <item m="1" x="157"/>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103"/>
        <item m="1" x="84"/>
        <item m="1" x="85"/>
        <item m="1" x="86"/>
        <item m="1" x="87"/>
        <item m="1" x="88"/>
        <item m="1" x="89"/>
        <item m="1" x="90"/>
        <item m="1" x="91"/>
        <item m="1" x="92"/>
        <item m="1" x="93"/>
        <item m="1" x="94"/>
        <item m="1" x="95"/>
        <item m="1" x="96"/>
        <item m="1" x="97"/>
        <item m="1" x="98"/>
        <item m="1" x="99"/>
        <item m="1" x="100"/>
        <item m="1" x="101"/>
        <item m="1" x="102"/>
        <item x="1"/>
        <item x="2"/>
        <item x="3"/>
        <item x="4"/>
        <item x="5"/>
        <item x="6"/>
        <item x="7"/>
        <item x="8"/>
        <item x="9"/>
        <item x="10"/>
        <item x="11"/>
        <item x="12"/>
        <item x="13"/>
        <item x="14"/>
        <item x="15"/>
        <item x="16"/>
        <item x="17"/>
        <item x="18"/>
        <item x="19"/>
        <item x="20"/>
        <item x="2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3">
    <i>
      <x v="55"/>
    </i>
    <i>
      <x v="189"/>
    </i>
    <i>
      <x v="190"/>
    </i>
    <i>
      <x v="191"/>
    </i>
    <i>
      <x v="192"/>
    </i>
    <i>
      <x v="193"/>
    </i>
    <i>
      <x v="194"/>
    </i>
    <i>
      <x v="195"/>
    </i>
    <i>
      <x v="196"/>
    </i>
    <i>
      <x v="197"/>
    </i>
    <i>
      <x v="198"/>
    </i>
    <i>
      <x v="199"/>
    </i>
    <i>
      <x v="200"/>
    </i>
    <i>
      <x v="201"/>
    </i>
    <i>
      <x v="202"/>
    </i>
    <i>
      <x v="203"/>
    </i>
    <i>
      <x v="204"/>
    </i>
    <i>
      <x v="205"/>
    </i>
    <i>
      <x v="206"/>
    </i>
    <i>
      <x v="207"/>
    </i>
    <i>
      <x v="208"/>
    </i>
    <i>
      <x v="209"/>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44">
      <pivotArea type="all" dataOnly="0" outline="0" fieldPosition="0"/>
    </format>
    <format dxfId="43">
      <pivotArea outline="0" collapsedLevelsAreSubtotals="1" fieldPosition="0"/>
    </format>
    <format dxfId="42">
      <pivotArea field="4" type="button" dataOnly="0" labelOnly="1" outline="0" axis="axisRow" fieldPosition="0"/>
    </format>
    <format dxfId="41">
      <pivotArea dataOnly="0" labelOnly="1" fieldPosition="0">
        <references count="1">
          <reference field="4" count="0"/>
        </references>
      </pivotArea>
    </format>
    <format dxfId="40">
      <pivotArea dataOnly="0" labelOnly="1" grandRow="1" outline="0" fieldPosition="0"/>
    </format>
    <format dxfId="39">
      <pivotArea dataOnly="0" labelOnly="1" outline="0" fieldPosition="0">
        <references count="1">
          <reference field="4294967294" count="2">
            <x v="0"/>
            <x v="1"/>
          </reference>
        </references>
      </pivotArea>
    </format>
    <format dxfId="38">
      <pivotArea grandRow="1" outline="0" collapsedLevelsAreSubtotals="1" fieldPosition="0"/>
    </format>
    <format dxfId="37">
      <pivotArea field="4" type="button" dataOnly="0" labelOnly="1" outline="0" axis="axisRow" fieldPosition="0"/>
    </format>
    <format dxfId="3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10">
        <i x="9" s="1"/>
        <i x="2" s="1"/>
        <i x="10" s="1"/>
        <i x="12" s="1"/>
        <i x="3" s="1"/>
        <i x="5" s="1"/>
        <i x="20" s="1"/>
        <i x="7" s="1"/>
        <i x="1" s="1"/>
        <i x="17" s="1"/>
        <i x="4" s="1"/>
        <i x="8" s="1"/>
        <i x="14" s="1"/>
        <i x="6" s="1"/>
        <i x="11" s="1"/>
        <i x="13" s="1"/>
        <i x="15" s="1"/>
        <i x="18" s="1"/>
        <i x="16" s="1"/>
        <i x="19" s="1"/>
        <i x="21" s="1"/>
        <i x="164" s="1" nd="1"/>
        <i x="193" s="1" nd="1"/>
        <i x="194" s="1" nd="1"/>
        <i x="202" s="1" nd="1"/>
        <i x="192" s="1" nd="1"/>
        <i x="191" s="1" nd="1"/>
        <i x="195" s="1" nd="1"/>
        <i x="206" s="1" nd="1"/>
        <i x="198" s="1" nd="1"/>
        <i x="199" s="1" nd="1"/>
        <i x="196" s="1" nd="1"/>
        <i x="197" s="1" nd="1"/>
        <i x="207" s="1" nd="1"/>
        <i x="200" s="1" nd="1"/>
        <i x="201" s="1" nd="1"/>
        <i x="204" s="1" nd="1"/>
        <i x="205" s="1" nd="1"/>
        <i x="203" s="1" nd="1"/>
        <i x="159" s="1" nd="1"/>
        <i x="209" s="1" nd="1"/>
        <i x="158" s="1" nd="1"/>
        <i x="208" s="1" nd="1"/>
        <i x="161" s="1" nd="1"/>
        <i x="122" s="1" nd="1"/>
        <i x="160" s="1" nd="1"/>
        <i x="162" s="1" nd="1"/>
        <i x="168" s="1" nd="1"/>
        <i x="163" s="1" nd="1"/>
        <i x="165" s="1" nd="1"/>
        <i x="181" s="1" nd="1"/>
        <i x="104" s="1" nd="1"/>
        <i x="169" s="1" nd="1"/>
        <i x="109" s="1" nd="1"/>
        <i x="175" s="1" nd="1"/>
        <i x="170" s="1" nd="1"/>
        <i x="173" s="1" nd="1"/>
        <i x="178" s="1" nd="1"/>
        <i x="189" s="1" nd="1"/>
        <i x="171" s="1" nd="1"/>
        <i x="183" s="1" nd="1"/>
        <i x="186" s="1" nd="1"/>
        <i x="177" s="1" nd="1"/>
        <i x="166" s="1" nd="1"/>
        <i x="174" s="1" nd="1"/>
        <i x="167" s="1" nd="1"/>
        <i x="172" s="1" nd="1"/>
        <i x="105" s="1" nd="1"/>
        <i x="176" s="1" nd="1"/>
        <i x="182" s="1" nd="1"/>
        <i x="119" s="1" nd="1"/>
        <i x="179" s="1" nd="1"/>
        <i x="184" s="1" nd="1"/>
        <i x="180" s="1" nd="1"/>
        <i x="146" s="1" nd="1"/>
        <i x="185" s="1" nd="1"/>
        <i x="187" s="1" nd="1"/>
        <i x="107" s="1" nd="1"/>
        <i x="114" s="1" nd="1"/>
        <i x="188" s="1" nd="1"/>
        <i x="111" s="1" nd="1"/>
        <i x="112" s="1" nd="1"/>
        <i x="106" s="1" nd="1"/>
        <i x="110" s="1" nd="1"/>
        <i x="108" s="1" nd="1"/>
        <i x="117" s="1" nd="1"/>
        <i x="113" s="1" nd="1"/>
        <i x="115" s="1" nd="1"/>
        <i x="118" s="1" nd="1"/>
        <i x="126" s="1" nd="1"/>
        <i x="116" s="1" nd="1"/>
        <i x="125" s="1" nd="1"/>
        <i x="130" s="1" nd="1"/>
        <i x="124" s="1" nd="1"/>
        <i x="127" s="1" nd="1"/>
        <i x="137" s="1" nd="1"/>
        <i x="123" s="1" nd="1"/>
        <i x="120" s="1" nd="1"/>
        <i x="121" s="1" nd="1"/>
        <i x="136" s="1" nd="1"/>
        <i x="129" s="1" nd="1"/>
        <i x="140" s="1" nd="1"/>
        <i x="135" s="1" nd="1"/>
        <i x="128" s="1" nd="1"/>
        <i x="152" s="1" nd="1"/>
        <i x="133" s="1" nd="1"/>
        <i x="143" s="1" nd="1"/>
        <i x="141" s="1" nd="1"/>
        <i x="131" s="1" nd="1"/>
        <i x="139" s="1" nd="1"/>
        <i x="138" s="1" nd="1"/>
        <i x="134" s="1" nd="1"/>
        <i x="144" s="1" nd="1"/>
        <i x="142" s="1" nd="1"/>
        <i x="145" s="1" nd="1"/>
        <i x="132" s="1" nd="1"/>
        <i x="73" s="1" nd="1"/>
        <i x="147" s="1" nd="1"/>
        <i x="148" s="1" nd="1"/>
        <i x="31" s="1" nd="1"/>
        <i x="33" s="1" nd="1"/>
        <i x="155" s="1" nd="1"/>
        <i x="27" s="1" nd="1"/>
        <i x="74" s="1" nd="1"/>
        <i x="149" s="1" nd="1"/>
        <i x="150" s="1" nd="1"/>
        <i x="30" s="1" nd="1"/>
        <i x="157" s="1" nd="1"/>
        <i x="29" s="1" nd="1"/>
        <i x="44" s="1" nd="1"/>
        <i x="156" s="1" nd="1"/>
        <i x="151" s="1" nd="1"/>
        <i x="48" s="1" nd="1"/>
        <i x="154" s="1" nd="1"/>
        <i x="153" s="1" nd="1"/>
        <i x="69" s="1" nd="1"/>
        <i x="22" s="1" nd="1"/>
        <i x="34" s="1" nd="1"/>
        <i x="70" s="1" nd="1"/>
        <i x="68" s="1" nd="1"/>
        <i x="26" s="1" nd="1"/>
        <i x="28" s="1" nd="1"/>
        <i x="32" s="1" nd="1"/>
        <i x="23" s="1" nd="1"/>
        <i x="58" s="1" nd="1"/>
        <i x="63" s="1" nd="1"/>
        <i x="24" s="1" nd="1"/>
        <i x="25" s="1" nd="1"/>
        <i x="35" s="1" nd="1"/>
        <i x="38" s="1" nd="1"/>
        <i x="45" s="1" nd="1"/>
        <i x="37" s="1" nd="1"/>
        <i x="40" s="1" nd="1"/>
        <i x="39" s="1" nd="1"/>
        <i x="82" s="1" nd="1"/>
        <i x="36" s="1" nd="1"/>
        <i x="61" s="1" nd="1"/>
        <i x="77" s="1" nd="1"/>
        <i x="41" s="1" nd="1"/>
        <i x="66" s="1" nd="1"/>
        <i x="79" s="1" nd="1"/>
        <i x="50" s="1" nd="1"/>
        <i x="91" s="1" nd="1"/>
        <i x="49" s="1" nd="1"/>
        <i x="46" s="1" nd="1"/>
        <i x="42" s="1" nd="1"/>
        <i x="43" s="1" nd="1"/>
        <i x="62" s="1" nd="1"/>
        <i x="51" s="1" nd="1"/>
        <i x="52" s="1" nd="1"/>
        <i x="47" s="1" nd="1"/>
        <i x="54" s="1" nd="1"/>
        <i x="55" s="1" nd="1"/>
        <i x="84" s="1" nd="1"/>
        <i x="53" s="1" nd="1"/>
        <i x="71" s="1" nd="1"/>
        <i x="59" s="1" nd="1"/>
        <i x="56" s="1" nd="1"/>
        <i x="60" s="1" nd="1"/>
        <i x="57" s="1" nd="1"/>
        <i x="64" s="1" nd="1"/>
        <i x="83" s="1" nd="1"/>
        <i x="78" s="1" nd="1"/>
        <i x="97" s="1" nd="1"/>
        <i x="65" s="1" nd="1"/>
        <i x="76" s="1" nd="1"/>
        <i x="67" s="1" nd="1"/>
        <i x="92" s="1" nd="1"/>
        <i x="75" s="1" nd="1"/>
        <i x="90" s="1" nd="1"/>
        <i x="81" s="1" nd="1"/>
        <i x="80" s="1" nd="1"/>
        <i x="96" s="1" nd="1"/>
        <i x="93" s="1" nd="1"/>
        <i x="101" s="1" nd="1"/>
        <i x="85" s="1" nd="1"/>
        <i x="94" s="1" nd="1"/>
        <i x="99" s="1" nd="1"/>
        <i x="103" s="1" nd="1"/>
        <i x="100" s="1" nd="1"/>
        <i x="95" s="1" nd="1"/>
        <i x="86" s="1" nd="1"/>
        <i x="89" s="1" nd="1"/>
        <i x="98" s="1" nd="1"/>
        <i x="87" s="1" nd="1"/>
        <i x="88" s="1" nd="1"/>
        <i x="102" s="1" nd="1"/>
        <i x="72" s="1" nd="1"/>
        <i x="190"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3">
      <calculatedColumnFormula>B49</calculatedColumnFormula>
    </tableColumn>
    <tableColumn id="2" xr3:uid="{7EDCC2ED-0339-42B3-9633-FFEA7A3DD9F3}" name="Tiyaar" dataDxfId="122">
      <calculatedColumnFormula>SUMIFS(ledger!G:G, ledger!B:B, B2, ledger!E:E, "&lt;&gt;*RD*") / 1.0936</calculatedColumnFormula>
    </tableColumn>
    <tableColumn id="3" xr3:uid="{CC1535DD-3FE7-4F55-8040-E7643388A78E}" name="Rate"/>
    <tableColumn id="4" xr3:uid="{059CB70B-ADAD-4985-84AA-0D530BAC5567}" name="Total" dataDxfId="121">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20" dataDxfId="119">
  <autoFilter ref="B7:E20" xr:uid="{449E5D32-DF9C-4018-96AB-CA98E118D910}"/>
  <tableColumns count="4">
    <tableColumn id="1" xr3:uid="{F663704C-91DD-4BB9-B7EB-EEB0C5EDED6C}" name="Description" dataDxfId="118"/>
    <tableColumn id="2" xr3:uid="{6D94D495-CD0B-4FD3-9771-81D731982A97}" name="Rate" dataDxfId="117" dataCellStyle="Comma"/>
    <tableColumn id="3" xr3:uid="{2D14CEAD-3602-40E7-A488-3584EBC9141E}" name="gazana" dataDxfId="116" dataCellStyle="Comma"/>
    <tableColumn id="4" xr3:uid="{06FEE63C-6480-4079-8426-51BC26B38B34}" name="sum" dataDxfId="115"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4" totalsRowDxfId="113"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2" dataDxfId="111" headerRowCellStyle="Comma" dataCellStyle="Comma">
  <autoFilter ref="B2:C5" xr:uid="{136E8F7F-D03F-4198-8335-91A003EA9E45}"/>
  <tableColumns count="2">
    <tableColumn id="1" xr3:uid="{279FA697-9952-479A-AC05-0D4992B41374}" name="Column1" dataDxfId="110" dataCellStyle="Comma"/>
    <tableColumn id="2" xr3:uid="{8A64998B-65EF-41CD-BCB0-3DDB7B359C54}" name="Column2" dataDxfId="10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8"/>
    <tableColumn id="2" xr3:uid="{51D27FA2-8DDF-4369-BAF7-7D1FE90E16A0}" name="Column2"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6" totalsRowDxfId="105"/>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4">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73" totalsRowCount="1" headerRowDxfId="102" dataDxfId="101" headerRowCellStyle="Comma" dataCellStyle="Comma">
  <autoFilter ref="A1:K72" xr:uid="{11DACEC6-751B-4B1D-817F-5C5BCD38EF6D}"/>
  <tableColumns count="11">
    <tableColumn id="1" xr3:uid="{2FCE3FA8-A48C-4685-8919-AE44C6C71FD9}" name="Date" dataDxfId="17" dataCellStyle="Comma"/>
    <tableColumn id="2" xr3:uid="{5780FD5F-0890-44E6-B59C-8E37A559FE36}" name="Party Name" dataDxfId="16" dataCellStyle="Comma"/>
    <tableColumn id="3" xr3:uid="{5B3ECD85-9174-40AC-BFBD-49CAC97A83D3}" name="Bill Number" dataDxfId="15" dataCellStyle="Comma"/>
    <tableColumn id="4" xr3:uid="{11B50761-04B6-4262-AD4D-7182450037D1}" name="Quality" dataDxfId="14" dataCellStyle="Comma"/>
    <tableColumn id="5" xr3:uid="{2C556969-B713-4967-BD24-466AACCBE5F5}" name="Shipment Number" dataDxfId="13" totalsRowDxfId="6" dataCellStyle="Comma"/>
    <tableColumn id="6" xr3:uid="{F4E1FD2B-9017-4DEB-B772-BF447ECE56F7}" name="Kora/metre" dataDxfId="12" totalsRowDxfId="5" dataCellStyle="Comma"/>
    <tableColumn id="7" xr3:uid="{52ACC1DA-7A76-4A90-B809-3A1AE728E7EA}" name="Tiyaar/gaz" dataDxfId="11" totalsRowDxfId="4" dataCellStyle="Comma"/>
    <tableColumn id="8" xr3:uid="{31A0FF5E-56F0-44D1-9865-73256B964660}" name="shortage %" dataDxfId="10" totalsRowDxfId="3" dataCellStyle="Comma">
      <calculatedColumnFormula>_xlfn.XLOOKUP(Table1[[#This Row],[Shipment Number]], 'pivot '!A:A,'pivot '!G:G, "NF")</calculatedColumnFormula>
    </tableColumn>
    <tableColumn id="9" xr3:uid="{F99075E0-AC8E-094D-BB85-272AD2C6C568}" name="tiyar/meters" totalsRowFunction="custom" dataDxfId="9" totalsRowDxfId="2"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8" totalsRowDxfId="1"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7" totalsRowDxfId="0"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1" totalsRowCount="1" headerRowDxfId="98" headerRowBorderDxfId="97" tableBorderDxfId="96">
  <autoFilter ref="A1:I30" xr:uid="{F8E8C957-ABE7-4E4F-8D4E-7D44E26B334F}"/>
  <tableColumns count="9">
    <tableColumn id="1" xr3:uid="{C2E817D6-AB98-4DDD-8890-736B27F261CD}" name="Date" dataDxfId="95" totalsRowDxfId="24"/>
    <tableColumn id="2" xr3:uid="{CFB51890-CCDC-463C-81C9-3F8BD7469CB9}" name="Party Name"/>
    <tableColumn id="3" xr3:uid="{A113D971-1C9D-4733-99C4-BD0CC4333209}" name="Vehicle Number"/>
    <tableColumn id="4" xr3:uid="{49780304-3DD1-4AE9-98EE-2BC7EB8F3B57}" name="Weight" dataDxfId="94" totalsRowDxfId="23" dataCellStyle="Comma"/>
    <tableColumn id="5" xr3:uid="{FCAF1BC6-1D8C-42AD-8BBC-F924BF2DC7FE}" name="Rate" dataDxfId="93" totalsRowDxfId="22" dataCellStyle="Comma"/>
    <tableColumn id="6" xr3:uid="{8C70A624-4134-410C-9C45-9FDEB51D51BF}" name="Rent" dataDxfId="92" totalsRowDxfId="21" dataCellStyle="Comma"/>
    <tableColumn id="7" xr3:uid="{EBCE10AE-9634-4982-9C95-37ABC8A7078C}" name="Total" totalsRowFunction="sum" dataDxfId="91" totalsRowDxfId="20" dataCellStyle="Comma">
      <calculatedColumnFormula>D2*E2</calculatedColumnFormula>
    </tableColumn>
    <tableColumn id="9" xr3:uid="{D4788559-C94A-44D9-B9AE-E72B214355AC}" name="Paid" totalsRowFunction="sum" dataDxfId="90" totalsRowDxfId="19" dataCellStyle="Comma"/>
    <tableColumn id="8" xr3:uid="{E26F5BF0-1875-4FC6-994D-49F202ED562B}" name="balance" totalsRowFunction="sum" dataDxfId="89" totalsRowDxfId="18"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71" totalsRowCount="1">
  <autoFilter ref="A1:G170" xr:uid="{CB032221-B416-47A8-9A76-693DE76CFD04}"/>
  <tableColumns count="7">
    <tableColumn id="1" xr3:uid="{554B1EED-65B6-4E9A-B646-82727FAC40DE}" name="Date" dataDxfId="87" totalsRowDxfId="28"/>
    <tableColumn id="2" xr3:uid="{32259059-42CF-4947-83DE-115AA430BE2B}" name="Party"/>
    <tableColumn id="3" xr3:uid="{A1320223-D55D-483C-91C3-AB19B95CC9D8}" name="Debit" totalsRowFunction="sum" dataDxfId="86" totalsRowDxfId="27" dataCellStyle="Comma"/>
    <tableColumn id="4" xr3:uid="{E9745767-9FF0-4B1C-9052-FF335D1D7588}" name="Credit" totalsRowFunction="sum" dataDxfId="85" totalsRowDxfId="26" dataCellStyle="Comma"/>
    <tableColumn id="5" xr3:uid="{5C88A48E-2467-4E6D-B626-2442B7FD0BE4}" name="Description"/>
    <tableColumn id="6" xr3:uid="{63CA4666-144E-4BE6-8B7C-7CB992BD3041}" name="Mode" totalsRowFunction="custom" dataDxfId="84" totalsRowDxfId="25">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83" tableBorderDxfId="82" totalsRowBorderDxfId="81">
  <autoFilter ref="J3:K6" xr:uid="{DCE01694-23ED-48BF-8B92-4186B9ED10A8}"/>
  <tableColumns count="2">
    <tableColumn id="1" xr3:uid="{C8484DAF-2989-4C2F-9AEC-A6917E1C57F6}" name="Type" dataDxfId="80"/>
    <tableColumn id="2" xr3:uid="{B07B7A2A-4D4E-4654-BED6-FE2F0A7BEC34}" name="Amount" dataDxfId="7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78" headerRowBorderDxfId="77" tableBorderDxfId="76" totalsRowBorderDxfId="75">
  <autoFilter ref="M3:O6" xr:uid="{D166BDD1-ACD7-45D7-8AE9-7350373F8CEB}"/>
  <tableColumns count="3">
    <tableColumn id="1" xr3:uid="{64F0205E-DEA7-4571-BA86-E4374A5FEE28}" name="Type" totalsRowLabel="Total" dataDxfId="74" totalsRowDxfId="73"/>
    <tableColumn id="2" xr3:uid="{15FA05F9-789C-4459-9BE0-5C1EC84D3365}" name="amount" totalsRowFunction="custom" dataDxfId="72" totalsRowDxfId="71">
      <totalsRowFormula>SUM(N5:N6)</totalsRowFormula>
    </tableColumn>
    <tableColumn id="3" xr3:uid="{3681D409-90C6-44D0-BDE2-4B5943A516F0}" name="Actual" totalsRowFunction="custom" totalsRowDxfId="70">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69" totalsRowDxfId="68"/>
    <tableColumn id="2" xr3:uid="{5B9D0FEE-4304-4C5C-A05C-5B27CF7841D3}" name="Type"/>
    <tableColumn id="3" xr3:uid="{6A91CA0D-C802-4C6F-9F39-CA53687E8EDE}" name="Description"/>
    <tableColumn id="4" xr3:uid="{A251D40C-AB87-4BB4-85F8-444B20E32FDF}" name="Total" totalsRowFunction="custom" dataDxfId="67" totalsRowDxfId="66"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65" headerRowBorderDxfId="64">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63"/>
    <tableColumn id="4" xr3:uid="{1889A312-9B41-4EC4-BD8F-05252F27084A}" name="Price" totalsRowFunction="sum"/>
    <tableColumn id="6" xr3:uid="{8B974B20-F003-4E67-8660-024FA4F324A9}" name="Party"/>
    <tableColumn id="7" xr3:uid="{0A5A5C21-FD61-47DA-9F54-66A6479FA557}" name="Paid" dataDxfId="62">
      <calculatedColumnFormula>SUMIFS(Table14[Debit], Table14[Date], Table8[[#This Row],[Date]], Table14[Party], Table8[[#This Row],[Party]])</calculatedColumnFormula>
    </tableColumn>
    <tableColumn id="8" xr3:uid="{8DCB3B43-2161-4081-82EC-CDB0F4DE4E6F}" name="Balance" totalsRowFunction="sum" dataDxfId="61">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60" headerRowBorderDxfId="59">
  <autoFilter ref="A4:H9" xr:uid="{A4C80688-A8BA-4BA7-90B4-791CD99446B4}"/>
  <sortState xmlns:xlrd2="http://schemas.microsoft.com/office/spreadsheetml/2017/richdata2" ref="A5:H6">
    <sortCondition ref="A4:A6"/>
  </sortState>
  <tableColumns count="8">
    <tableColumn id="1" xr3:uid="{4A818912-918E-4111-ACFC-BC93FEF7C1AD}" name="Date" dataDxfId="58" totalsRowDxfId="57"/>
    <tableColumn id="8" xr3:uid="{477ACFD5-62AF-4F69-974B-E9B974C11D7D}" name="Party Name" dataDxfId="56"/>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55">
      <calculatedColumnFormula>Table2[[#This Row],[Quantity]]*200*Table2[[#This Row],[Boxes]]</calculatedColumnFormula>
    </tableColumn>
    <tableColumn id="6" xr3:uid="{30432929-CBD4-4BA8-B63F-CD0F6CF6405F}" name="Paid" totalsRowFunction="sum" dataDxfId="54">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53">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52" totalsRowDxfId="51"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50" totalsRowDxfId="49"/>
    <tableColumn id="2" xr3:uid="{053BFC14-4828-417C-9F9F-95B6E232A945}" name="Amount" totalsRowFunction="custom" dataDxfId="48" totalsRowDxfId="47"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46" totalsRowDxfId="45"/>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35" totalsRowDxfId="3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3" totalsRowDxfId="3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31">
      <calculatedColumnFormula>Billing!O5</calculatedColumnFormula>
    </tableColumn>
    <tableColumn id="2" xr3:uid="{7093A59E-B58F-487D-888A-9AA8156B5F9A}" name="Amount Paid" dataDxfId="30">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29"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2"/>
  <sheetViews>
    <sheetView topLeftCell="N8" zoomScale="127" workbookViewId="0">
      <selection activeCell="R20" sqref="R20"/>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1093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196147.58595464521</v>
      </c>
      <c r="D2">
        <v>10</v>
      </c>
      <c r="E2" s="14">
        <f>(SUMIFS(ledger!G:G, ledger!B:B, B2, ledger!E:E, "&lt;&gt;*RD*",ledger!D:D, "Silky") / 1.0936)*12 + (SUMIFS(ledger!G:G, ledger!B:B, B2, ledger!E:E, "&lt;&gt;*RD*",ledger!D:D, "Chamki") / 1.0936)*10</f>
        <v>2077810.8997805417</v>
      </c>
      <c r="O2" t="s">
        <v>1</v>
      </c>
    </row>
    <row r="3" spans="2:26"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c r="I3" s="3" t="s">
        <v>6</v>
      </c>
      <c r="J3" t="s">
        <v>7</v>
      </c>
      <c r="K3" t="s">
        <v>8</v>
      </c>
    </row>
    <row r="4" spans="2:26" x14ac:dyDescent="0.3">
      <c r="B4" t="str">
        <f t="shared" si="0"/>
        <v>Arshad</v>
      </c>
      <c r="C4" s="18">
        <f>SUMIFS(ledger!G:G, ledger!B:B, B4, ledger!E:E, "&lt;&gt;*RD*") / 1.0936</f>
        <v>68918.251645940021</v>
      </c>
      <c r="D4">
        <v>10</v>
      </c>
      <c r="E4" s="14">
        <f>(SUMIFS(ledger!G:G, ledger!B:B, B4, ledger!E:E, "&lt;&gt;*RD*",ledger!D:D, "Silky") / 1.0936)*12 + (SUMIFS(ledger!G:G, ledger!B:B, B4, ledger!E:E, "&lt;&gt;*RD*",ledger!D:D, "Chamki") / 1.0936)*10</f>
        <v>689182.51645940018</v>
      </c>
      <c r="I4" s="4" t="s">
        <v>21</v>
      </c>
      <c r="J4" s="5">
        <v>190950.9875640088</v>
      </c>
      <c r="K4" s="18">
        <v>2025844.9158741776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44246.525237746893</v>
      </c>
      <c r="K5" s="18">
        <v>530958.30285296275</v>
      </c>
      <c r="O5" s="25" t="str" cm="1">
        <f t="array" ref="O5:O23">_xlfn.UNIQUE(Table1[Party Name])</f>
        <v>BSC</v>
      </c>
      <c r="P5" s="23" cm="1">
        <f t="array" ref="P5">_xlfn.BYROW(B49,_xlfn.LAMBDA(_xlpm.party,SUMIFS(ledger!G:G,ledger!B:B,_xlpm.party,ledger!E:E,"&lt;&gt;*RD*")))+_xlfn.IFNA(C84,0)</f>
        <v>1880436</v>
      </c>
      <c r="Q5" s="23" cm="1">
        <f t="array" ref="Q5">_xlfn.BYROW(B49, _xlfn.LAMBDA(_xlpm.party, SUMIFS(ledger!G:G, ledger!B:B, _xlpm.party, ledger!E:E, "&lt;&gt;*RD*") / 1.0936 ))+_xlfn.IFNA(D84,0)</f>
        <v>1719491.5874177031</v>
      </c>
      <c r="R5" s="23" cm="1">
        <f t="array" ref="R5">(_xlfn.BYROW(B49,_xlfn.LAMBDA(_xlpm.party,SUMIFS(ledger!G:G,ledger!B:B,_xlpm.party,ledger!E:E,"&lt;&gt;*RD*",ledger!D:D,"Chamki")+SUMIFS(ledger!G:G, ledger!B:B, _xlpm.party, ledger!E:E, "&lt;&gt;*RD*", ledger!D:D, "Crinkle")))/1.0936)+_xlfn.IFNA(E84,0)</f>
        <v>1631135.6986100951</v>
      </c>
      <c r="S5" s="75" cm="1">
        <f t="array" ref="S5">(_xlfn.BYROW(B49,_xlfn.LAMBDA(_xlpm.party,SUMIFS(ledger!G:G,ledger!B:B,_xlpm.party,ledger!E:E,"&lt;&gt;*RD*",ledger!D:D,"Silky")))/1.0936)+_xlfn.IFNA(F84,0)</f>
        <v>88355.888807607902</v>
      </c>
      <c r="T5" s="23" cm="1">
        <f t="array" ref="T5">(_xlfn.BYROW(B49,_xlfn.LAMBDA(_xlpm.party,(SUMIFS(ledger!G:G,ledger!B:B,_xlpm.party,ledger!E:E,"&lt;&gt;*RD*",ledger!D:D, "Chamki")+SUMIFS(ledger!G:G, ledger!B:B, _xlpm.party, ledger!E:E, "&lt;&gt;*RD*", ledger!D:D, "Crinkle"))/1.0936))*L49)+_xlfn.IFNA(G84,0)</f>
        <v>16311356.986100955</v>
      </c>
      <c r="U5" s="23" cm="1">
        <f t="array" ref="U5">(_xlfn.BYROW(B49,_xlfn.LAMBDA(_xlpm.party,SUMIFS(ledger!G:G,ledger!B:B,_xlpm.party,ledger!E:E,"&lt;&gt;*RD*",ledger!D:D, "Silky")/1.0936))* Z5)+_xlfn.IFNA(H84,0)</f>
        <v>1060270.6656912949</v>
      </c>
      <c r="V5" s="44">
        <f>T5+U5</f>
        <v>17371627.651792251</v>
      </c>
      <c r="W5" s="23">
        <f>(SUMIF(Table14[Party],O5,Table14[Credit]))+_xlfn.IFNA(J84,0)</f>
        <v>16815241</v>
      </c>
      <c r="X5" s="38">
        <f>V5-W5</f>
        <v>556386.65179225057</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68918.251645940021</v>
      </c>
      <c r="K6" s="18">
        <v>689182.51645940018</v>
      </c>
      <c r="O6" s="25" t="str">
        <v>Ejaz Sahab</v>
      </c>
      <c r="P6" s="23" cm="1">
        <f t="array" ref="P6">_xlfn.BYROW(B50,_xlfn.LAMBDA(_xlpm.party,SUMIFS(ledger!G:G,ledger!B:B,_xlpm.party,ledger!E:E,"&lt;&gt;*RD*")))+_xlfn.IFNA(C85,0)</f>
        <v>207460</v>
      </c>
      <c r="Q6" s="23" cm="1">
        <f t="array" ref="Q6">_xlfn.BYROW(B50, _xlfn.LAMBDA(_xlpm.party, SUMIFS(ledger!G:G, ledger!B:B, _xlpm.party, ledger!E:E, "&lt;&gt;*RD*") / 1.0936 ))+_xlfn.IFNA(D85,0)</f>
        <v>189703.7307973665</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59144.111192392105</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709729.33430870529</v>
      </c>
      <c r="V6" s="44">
        <f t="shared" ref="V6:V12" si="1">T6+U6</f>
        <v>2015325.5303584493</v>
      </c>
      <c r="W6" s="23">
        <f>(SUMIF(Table14[Party],O6,Table14[Credit]))+_xlfn.IFNA(J85,0)</f>
        <v>859904</v>
      </c>
      <c r="X6" s="38">
        <f>V6-W6</f>
        <v>1155421.5303584493</v>
      </c>
      <c r="Y6" s="22">
        <v>10</v>
      </c>
      <c r="Z6" s="22">
        <v>12</v>
      </c>
    </row>
    <row r="7" spans="2:26" x14ac:dyDescent="0.3">
      <c r="B7" t="str">
        <f t="shared" si="0"/>
        <v>Sajad Khan</v>
      </c>
      <c r="C7" s="18">
        <f>SUMIFS(ledger!G:G, ledger!B:B, B7, ledger!E:E, "&lt;&gt;*RD*") / 1.0936</f>
        <v>46940.380395025604</v>
      </c>
      <c r="D7">
        <v>10</v>
      </c>
      <c r="E7" s="14" cm="1">
        <f t="array" ref="E7">(SUMIFS(ledger!G:G, ledger!B:B, B7, ledger!E:E, "&lt;&gt;*RD*",ledger!D:D, "Silky") / 1.0936)*12 + (SUMIFS(ledger!G:G, ledger!B:B, B7, ledger!E:E, "&lt;&gt;*RD*",ledger!D:D, "Chamki") / 1.0936)*10 +(SUMIFS(ledger!G:G, ledger!B:B, party, ledger!E:E, "&lt;&gt;*RD*", ledger!D:D, "Crinkle")/ 1.0936)*10</f>
        <v>414511.70446232631</v>
      </c>
      <c r="I7" s="4" t="s">
        <v>23</v>
      </c>
      <c r="J7" s="5">
        <v>0</v>
      </c>
      <c r="K7" s="18">
        <v>0</v>
      </c>
      <c r="O7" s="25" t="str">
        <v>Arshad</v>
      </c>
      <c r="P7" s="23" cm="1">
        <f t="array" ref="P7">_xlfn.BYROW(B51,_xlfn.LAMBDA(_xlpm.party,SUMIFS(ledger!G:G,ledger!B:B,_xlpm.party,ledger!E:E,"&lt;&gt;*RD*")))+_xlfn.IFNA(C86,0)</f>
        <v>335117</v>
      </c>
      <c r="Q7" s="23" cm="1">
        <f t="array" ref="Q7">_xlfn.BYROW(B51, _xlfn.LAMBDA(_xlpm.party, SUMIFS(ledger!G:G, ledger!B:B, _xlpm.party, ledger!E:E, "&lt;&gt;*RD*") / 1.0936 ))+_xlfn.IFNA(D86,0)</f>
        <v>306434.71104608633</v>
      </c>
      <c r="R7" s="23" cm="1">
        <f t="array" ref="R7">(_xlfn.BYROW(B51,_xlfn.LAMBDA(_xlpm.party,SUMIFS(ledger!G:G,ledger!B:B,_xlpm.party,ledger!E:E,"&lt;&gt;*RD*",ledger!D:D,"Chamki")+SUMIFS(ledger!G:G, ledger!B:B, _xlpm.party, ledger!E:E, "&lt;&gt;*RD*", ledger!D:D, "Crinkle")))/1.0936)+_xlfn.IFNA(E86,0)</f>
        <v>291640.45354791515</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2916404.5354791516</v>
      </c>
      <c r="U7" s="23" cm="1">
        <f t="array" ref="U7">(_xlfn.BYROW(B51,_xlfn.LAMBDA(_xlpm.party,SUMIFS(ledger!G:G,ledger!B:B,_xlpm.party,ledger!E:E,"&lt;&gt;*RD*",ledger!D:D, "Silky")/1.0936))* Z7)+_xlfn.IFNA(H86,0)</f>
        <v>177531.08997805414</v>
      </c>
      <c r="V7" s="44">
        <f t="shared" si="1"/>
        <v>3093935.6254572058</v>
      </c>
      <c r="W7" s="23">
        <f>(SUMIF(Table14[Party],O7,Table14[Credit]))+_xlfn.IFNA(J86,0)</f>
        <v>3093935</v>
      </c>
      <c r="X7" s="38">
        <f>V7-W7</f>
        <v>0.62545720580965281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41451.170446232631</v>
      </c>
      <c r="K9" s="18">
        <v>414511.70446232631</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5408917.8595464528</v>
      </c>
      <c r="U9" s="23" cm="1">
        <f t="array" ref="U9">(_xlfn.BYROW(B53,_xlfn.LAMBDA(_xlpm.party,SUMIFS(ledger!G:G,ledger!B:B,_xlpm.party,ledger!E:E,"&lt;&gt;*RD*",ledger!D:D, "Silky")/1.0936))* Z9)+_xlfn.IFNA(H88,0)</f>
        <v>5829886.6130212145</v>
      </c>
      <c r="V9" s="44">
        <f t="shared" si="1"/>
        <v>11238804.472567666</v>
      </c>
      <c r="W9" s="23">
        <f>(SUMIF(Table14[Party],O9,Table14[Credit]))+_xlfn.IFNA(J88,0)</f>
        <v>9629100</v>
      </c>
      <c r="X9" s="38">
        <f t="shared" ref="X9:X17" si="2">V9-W9</f>
        <v>1609704.4725676663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532994</v>
      </c>
      <c r="Q10" s="23" cm="1">
        <f t="array" ref="Q10">_xlfn.BYROW(B54, _xlfn.LAMBDA(_xlpm.party, SUMIFS(ledger!G:G, ledger!B:B, _xlpm.party, ledger!E:E, "&lt;&gt;*RD*") / 1.0936 ))+_xlfn.IFNA(D89,0)</f>
        <v>487375.64008778345</v>
      </c>
      <c r="R10" s="23" cm="1">
        <f t="array" ref="R10">(_xlfn.BYROW(B54,_xlfn.LAMBDA(_xlpm.party,SUMIFS(ledger!G:G,ledger!B:B,_xlpm.party,ledger!E:E,"&lt;&gt;*RD*",ledger!D:D,"Chamki")+SUMIFS(ledger!G:G, ledger!B:B, _xlpm.party, ledger!E:E, "&lt;&gt;*RD*", ledger!D:D, "Crinkle")))/1.0936)+_xlfn.IFNA(E89,0)</f>
        <v>481886.43013899052</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4818864.3013899047</v>
      </c>
      <c r="U10" s="23" cm="1">
        <f t="array" ref="U10">(_xlfn.BYROW(B54,_xlfn.LAMBDA(_xlpm.party,SUMIFS(ledger!G:G,ledger!B:B,_xlpm.party,ledger!E:E,"&lt;&gt;*RD*",ledger!D:D, "Silky")/1.0936))* Z10)+_xlfn.IFNA(H89,0)</f>
        <v>0</v>
      </c>
      <c r="V10" s="44">
        <f t="shared" si="1"/>
        <v>4818864.3013899047</v>
      </c>
      <c r="W10" s="23">
        <f>(SUMIF(Table14[Party],O10,Table14[Credit]))+_xlfn.IFNA(J89,0)</f>
        <v>4817947</v>
      </c>
      <c r="X10" s="38">
        <f t="shared" si="2"/>
        <v>917.30138990469277</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45905.267008046823</v>
      </c>
      <c r="E12" s="14">
        <f>(SUMIFS(ledger!G:G, ledger!B:B, B12, ledger!E:E, "&lt;&gt;*RD*",ledger!D:D, "Silky") / 1.0936)*12 + (SUMIFS(ledger!G:G, ledger!B:B, B12, ledger!E:E, "&lt;&gt;*RD*",ledger!D:D, "Chamki") / 1.0936)*10</f>
        <v>459052.67008046823</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69038.953913679594</v>
      </c>
      <c r="E13" s="14">
        <f>(SUMIFS(ledger!G:G, ledger!B:B, B13, ledger!E:E, "&lt;&gt;*RD*",ledger!D:D, "Silky") / 1.0936)*12 + (SUMIFS(ledger!G:G, ledger!B:B, B13, ledger!E:E, "&lt;&gt;*RD*",ledger!D:D, "Chamki") / 1.0936)*10</f>
        <v>690389.53913679591</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630150</v>
      </c>
      <c r="X13" s="38">
        <f t="shared" si="2"/>
        <v>1084.4550109730335</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_xlfn.BYROW(B59,_xlfn.LAMBDA(_xlpm.party,SUMIFS(ledger!G:G,ledger!B:B,_xlpm.party,ledger!E:E,"&lt;&gt;*RD*")))+_xlfn.IFNA(C94,0)</f>
        <v>99073</v>
      </c>
      <c r="Q15" s="23" cm="1">
        <f t="array" ref="Q15">_xlfn.BYROW(B59, _xlfn.LAMBDA(_xlpm.party, SUMIFS(ledger!G:G, ledger!B:B, _xlpm.party, ledger!E:E, "&lt;&gt;*RD*") / 1.0936 ))+_xlfn.IFNA(D94,0)</f>
        <v>90593.452816386256</v>
      </c>
      <c r="R15" s="23" cm="1">
        <f t="array" ref="R15">(_xlfn.BYROW(B59,_xlfn.LAMBDA(_xlpm.party,SUMIFS(ledger!G:G,ledger!B:B,_xlpm.party,ledger!E:E,"&lt;&gt;*RD*",ledger!D:D,"Chamki")+SUMIFS(ledger!G:G, ledger!B:B, _xlpm.party, ledger!E:E, "&lt;&gt;*RD*", ledger!D:D, "Crinkle")))/1.0936)+_xlfn.IFNA(E94,0)</f>
        <v>90593.452816386256</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905934.52816386265</v>
      </c>
      <c r="U15" s="23" cm="1">
        <f t="array" ref="U15">(_xlfn.BYROW(B59,_xlfn.LAMBDA(_xlpm.party,SUMIFS(ledger!G:G,ledger!B:B,_xlpm.party,ledger!E:E,"&lt;&gt;*RD*",ledger!D:D, "Silky")/1.0936))* Z15)+_xlfn.IFNA(H94,0)</f>
        <v>0</v>
      </c>
      <c r="V15" s="44">
        <f t="shared" si="3"/>
        <v>905934.52816386265</v>
      </c>
      <c r="W15" s="23">
        <f>(SUMIF(Table14[Party],O15,Table14[Credit]))+_xlfn.IFNA(J94,0)</f>
        <v>400000</v>
      </c>
      <c r="X15" s="38">
        <f t="shared" si="2"/>
        <v>505934.52816386265</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352098</v>
      </c>
      <c r="Q16" s="23" cm="1">
        <f t="array" ref="Q16">_xlfn.BYROW(B60, _xlfn.LAMBDA(_xlpm.party, SUMIFS(ledger!G:G, ledger!B:B, _xlpm.party, ledger!E:E, "&lt;&gt;*RD*") / 1.0936 ))+_xlfn.IFNA(D95,0)</f>
        <v>321962.32626188739</v>
      </c>
      <c r="R16" s="23" cm="1">
        <f t="array" ref="R16">(_xlfn.BYROW(B60,_xlfn.LAMBDA(_xlpm.party,SUMIFS(ledger!G:G,ledger!B:B,_xlpm.party,ledger!E:E,"&lt;&gt;*RD*",ledger!D:D,"Chamki")+SUMIFS(ledger!G:G, ledger!B:B, _xlpm.party, ledger!E:E, "&lt;&gt;*RD*", ledger!D:D, "Crinkle")))/1.0936)+_xlfn.IFNA(E95,0)</f>
        <v>258807.60790051211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2588076.0790051208</v>
      </c>
      <c r="U16" s="23" cm="1">
        <f t="array" ref="U16">(_xlfn.BYROW(B60,_xlfn.LAMBDA(_xlpm.party,SUMIFS(ledger!G:G,ledger!B:B,_xlpm.party,ledger!E:E,"&lt;&gt;*RD*",ledger!D:D, "Silky")/1.0936))* Z16)+_xlfn.IFNA(H95,0)</f>
        <v>757856.62033650337</v>
      </c>
      <c r="V16" s="44">
        <f t="shared" si="3"/>
        <v>3345932.699341624</v>
      </c>
      <c r="W16" s="23">
        <f>(SUMIF(Table14[Party],O16,Table14[Credit]))+_xlfn.IFNA(J95,0)</f>
        <v>1510000</v>
      </c>
      <c r="X16" s="38">
        <f t="shared" si="2"/>
        <v>1835932.699341624</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34937.820043891734</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400000</v>
      </c>
      <c r="X18" s="38">
        <f t="shared" ref="X18:X20" si="5">V18-W18</f>
        <v>83851.499634235573</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95000</v>
      </c>
      <c r="X19" s="38">
        <f t="shared" si="5"/>
        <v>-5844.9158741770225</v>
      </c>
      <c r="Y19" s="22">
        <v>10</v>
      </c>
      <c r="Z19" s="22">
        <v>12</v>
      </c>
    </row>
    <row r="20" spans="2:26" x14ac:dyDescent="0.3">
      <c r="I20" s="4" t="s">
        <v>198</v>
      </c>
      <c r="J20" s="5">
        <v>31967.812728602781</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256200</v>
      </c>
      <c r="X20" s="38">
        <f t="shared" si="5"/>
        <v>72.860277981031686</v>
      </c>
      <c r="Y20" s="22">
        <v>10</v>
      </c>
      <c r="Z20" s="22">
        <v>12</v>
      </c>
    </row>
    <row r="21" spans="2:26" x14ac:dyDescent="0.3">
      <c r="B21" s="45" t="s">
        <v>29</v>
      </c>
      <c r="C21" s="46">
        <f>SUM(G49:G69)+SUM(H49:H69)</f>
        <v>5386514.2648134604</v>
      </c>
      <c r="D21" t="s">
        <v>30</v>
      </c>
      <c r="I21" s="4" t="s">
        <v>28</v>
      </c>
      <c r="J21" s="14">
        <v>377534.74762253114</v>
      </c>
      <c r="K21" s="14">
        <v>4044111.1923921001</v>
      </c>
      <c r="O21" s="124" t="str">
        <v>Faizan</v>
      </c>
      <c r="P21" s="23" cm="1">
        <f t="array" ref="P21">_xlfn.BYROW(B65,_xlfn.LAMBDA(_xlpm.party,SUMIFS(ledger!G:G,ledger!B:B,_xlpm.party,ledger!E:E,"&lt;&gt;*RD*")))+_xlfn.IFNA(C100,0)</f>
        <v>38208</v>
      </c>
      <c r="Q21" s="23" cm="1">
        <f t="array" ref="Q21">_xlfn.BYROW(B65, _xlfn.LAMBDA(_xlpm.party, SUMIFS(ledger!G:G, ledger!B:B, _xlpm.party, ledger!E:E, "&lt;&gt;*RD*") / 1.0936 ))+_xlfn.IFNA(D100,0)</f>
        <v>34937.820043891734</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11971</v>
      </c>
      <c r="Q22" s="23" cm="1">
        <f t="array" ref="Q22">_xlfn.BYROW(B66, _xlfn.LAMBDA(_xlpm.party, SUMIFS(ledger!G:G, ledger!B:B, _xlpm.party, ledger!E:E, "&lt;&gt;*RD*") / 1.0936 ))+_xlfn.IFNA(D101,0)</f>
        <v>10946.415508412583</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98355.888807607917</v>
      </c>
      <c r="V22" s="44">
        <f t="shared" si="7"/>
        <v>98355.888807607917</v>
      </c>
      <c r="W22" s="23">
        <f>(SUMIF(Table14[Party],O22,Table14[Credit]))+_xlfn.IFNA(J101,0)</f>
        <v>98000</v>
      </c>
      <c r="X22" s="38">
        <f t="shared" si="8"/>
        <v>355.88880760791653</v>
      </c>
      <c r="Y22" s="22">
        <v>10</v>
      </c>
      <c r="Z22" s="22">
        <v>13</v>
      </c>
    </row>
    <row r="23" spans="2:26" x14ac:dyDescent="0.3">
      <c r="B23" s="25" t="s">
        <v>31</v>
      </c>
      <c r="C23" s="42">
        <f ca="1">SUM(OFFSET(I49,0,0,COUNTA(I:I)-ROW(I49)+1))</f>
        <v>3712463.4235552307</v>
      </c>
      <c r="D23" t="s">
        <v>32</v>
      </c>
      <c r="O23" s="22" t="str">
        <v>Amjad sohail</v>
      </c>
      <c r="P23" s="23" cm="1">
        <f t="array" ref="P23">_xlfn.BYROW(B67,_xlfn.LAMBDA(_xlpm.party,SUMIFS(ledger!G:G,ledger!B:B,_xlpm.party,ledger!E:E,"&lt;&gt;*RD*")))+_xlfn.IFNA(C102,0)</f>
        <v>1662</v>
      </c>
      <c r="Q23" s="23" cm="1">
        <f t="array" ref="Q23">_xlfn.BYROW(B67, _xlfn.LAMBDA(_xlpm.party, SUMIFS(ledger!G:G, ledger!B:B, _xlpm.party, ledger!E:E, "&lt;&gt;*RD*") / 1.0936 ))+_xlfn.IFNA(D102,0)</f>
        <v>1519.751280175567</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1519.751280175567</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19756.766642282371</v>
      </c>
      <c r="V23" s="44">
        <f t="shared" si="7"/>
        <v>19756.766642282371</v>
      </c>
      <c r="W23" s="23">
        <f>(SUMIF(Table14[Party],O23,Table14[Credit]))+_xlfn.IFNA(J102,0)</f>
        <v>300000</v>
      </c>
      <c r="X23" s="38">
        <f t="shared" si="8"/>
        <v>-280243.23335771763</v>
      </c>
      <c r="Y23" s="22">
        <v>10</v>
      </c>
      <c r="Z23" s="22">
        <v>13</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7">_xlfn.UNIQUE(Table1[Party Name])</f>
        <v>BSC</v>
      </c>
      <c r="C49" s="23" cm="1">
        <f t="array" ref="C49:C67">_xlfn.BYROW(_xlfn.ANCHORARRAY(B49),_xlfn.LAMBDA(_xlpm.party,SUMIFS(ledger!G:G,ledger!B:B,_xlpm.party,ledger!E:E,"&lt;&gt;*RD*")))</f>
        <v>214507</v>
      </c>
      <c r="D49" s="23" cm="1">
        <f t="array" ref="D49:D67">_xlfn.BYROW(_xlfn.ANCHORARRAY(B49), _xlfn.LAMBDA(_xlpm.party, SUMIFS(ledger!G:G, ledger!B:B, _xlpm.party, ledger!E:E, "&lt;&gt;*RD*") / 1.0936 ))</f>
        <v>196147.58595464521</v>
      </c>
      <c r="E49" s="68" cm="1">
        <f t="array" ref="E49:E67">(_xlfn.BYROW(_xlfn.ANCHORARRAY(B49),_xlfn.LAMBDA(_xlpm.party,SUMIFS(ledger!G:G,ledger!B:B,_xlpm.party,ledger!E:E,"&lt;&gt;*RD*",ledger!D:D,"Chamki")+SUMIFS(ledger!G:G, ledger!B:B, _xlpm.party, ledger!E:E, "&lt;&gt;*RD*", ledger!D:D, "Crinkle")))/1.0936)</f>
        <v>137980.06583760059</v>
      </c>
      <c r="F49" s="68" cm="1">
        <f t="array" ref="F49:F67">(_xlfn.BYROW(_xlfn.ANCHORARRAY(B49),_xlfn.LAMBDA(_xlpm.party,SUMIFS(ledger!G:G,ledger!B:B,_xlpm.party,ledger!E:E,"&lt;&gt;*RD*",ledger!D:D,"Silky")))/1.0936)</f>
        <v>58167.520117044631</v>
      </c>
      <c r="G49" s="23" cm="1">
        <f t="array" ref="G49">(_xlfn.BYROW(B49,_xlfn.LAMBDA(_xlpm.party,(SUMIFS(ledger!G:G,ledger!B:B,_xlpm.party,ledger!E:E,"&lt;&gt;*RD*",ledger!D:D, "Chamki")+SUMIFS(ledger!G:G, ledger!B:B, _xlpm.party, ledger!E:E, "&lt;&gt;*RD*", ledger!D:D, "Crinkle"))/1.0936))*L49)</f>
        <v>1379800.6583760059</v>
      </c>
      <c r="H49" s="23" cm="1">
        <f t="array" ref="H49">(_xlfn.BYROW(B49,_xlfn.LAMBDA(_xlpm.party,SUMIFS(ledger!G:G,ledger!B:B,_xlpm.party,ledger!E:E,"&lt;&gt;*RD*",ledger!D:D, "Silky")/1.0936))* M49)</f>
        <v>698010.2414045356</v>
      </c>
      <c r="I49" s="44">
        <f t="shared" ref="I49:I57" si="9">G49+H49</f>
        <v>2077810.8997805417</v>
      </c>
      <c r="J49" s="23">
        <f>(SUMIF(Table14[Party],B49,Table14[Credit]))</f>
        <v>3960588</v>
      </c>
      <c r="K49" s="42">
        <f>I49-J49</f>
        <v>-1882777.1002194583</v>
      </c>
      <c r="L49" s="22">
        <v>10</v>
      </c>
      <c r="M49" s="22">
        <v>12</v>
      </c>
    </row>
    <row r="50" spans="1:13" x14ac:dyDescent="0.3">
      <c r="B50" s="25" t="str">
        <v>Ejaz Sahab</v>
      </c>
      <c r="C50" s="23">
        <v>48388</v>
      </c>
      <c r="D50" s="23">
        <v>44246.525237746893</v>
      </c>
      <c r="E50" s="68">
        <v>0</v>
      </c>
      <c r="F50" s="68">
        <v>44246.525237746893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530958.30285296275</v>
      </c>
      <c r="I50" s="44">
        <f t="shared" si="9"/>
        <v>530958.30285296275</v>
      </c>
      <c r="J50" s="23">
        <f>(SUMIF(Table14[Party],B50,Table14[Credit]))</f>
        <v>0</v>
      </c>
      <c r="K50" s="42">
        <f>I50-J50</f>
        <v>530958.30285296275</v>
      </c>
      <c r="L50" s="22">
        <v>10</v>
      </c>
      <c r="M50" s="22">
        <v>12</v>
      </c>
    </row>
    <row r="51" spans="1:13" x14ac:dyDescent="0.3">
      <c r="B51" s="25" t="str">
        <v>Arshad</v>
      </c>
      <c r="C51" s="23">
        <v>75369</v>
      </c>
      <c r="D51" s="23">
        <v>68918.251645940021</v>
      </c>
      <c r="E51" s="68">
        <v>68918.251645940021</v>
      </c>
      <c r="F51" s="68">
        <v>0</v>
      </c>
      <c r="G51" s="23" cm="1">
        <f t="array" ref="G51">(_xlfn.BYROW(B51,_xlfn.LAMBDA(_xlpm.party,(SUMIFS(ledger!G:G,ledger!B:B,_xlpm.party,ledger!E:E,"&lt;&gt;*RD*",ledger!D:D, "Chamki")+SUMIFS(ledger!G:G, ledger!B:B, _xlpm.party, ledger!E:E, "&lt;&gt;*RD*", ledger!D:D, "Crinkle"))/1.0936))*L51)</f>
        <v>689182.51645940018</v>
      </c>
      <c r="H51" s="23" cm="1">
        <f t="array" ref="H51">(_xlfn.BYROW(B51,_xlfn.LAMBDA(_xlpm.party,SUMIFS(ledger!G:G,ledger!B:B,_xlpm.party,ledger!E:E,"&lt;&gt;*RD*",ledger!D:D, "Silky")/1.0936))* M51)</f>
        <v>0</v>
      </c>
      <c r="I51" s="44">
        <f t="shared" si="9"/>
        <v>689182.51645940018</v>
      </c>
      <c r="J51" s="23">
        <f>(SUMIF(Table14[Party],B51,Table14[Credit]))</f>
        <v>787234</v>
      </c>
      <c r="K51" s="42">
        <f>I51-J51</f>
        <v>-98051.483540599816</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1000000</v>
      </c>
      <c r="K53" s="42">
        <f t="shared" si="10"/>
        <v>-1000000</v>
      </c>
      <c r="L53" s="22">
        <v>10</v>
      </c>
      <c r="M53" s="22">
        <v>12</v>
      </c>
    </row>
    <row r="54" spans="1:13" x14ac:dyDescent="0.3">
      <c r="B54" s="25" t="str">
        <v>Sajad Khan</v>
      </c>
      <c r="C54" s="23">
        <v>51334</v>
      </c>
      <c r="D54" s="23">
        <v>46940.380395025604</v>
      </c>
      <c r="E54" s="68">
        <v>41451.170446232631</v>
      </c>
      <c r="F54" s="68">
        <v>0</v>
      </c>
      <c r="G54" s="23" cm="1">
        <f t="array" ref="G54">(_xlfn.BYROW(B54,_xlfn.LAMBDA(_xlpm.party,(SUMIFS(ledger!G:G,ledger!B:B,_xlpm.party,ledger!E:E,"&lt;&gt;*RD*",ledger!D:D, "Chamki")+SUMIFS(ledger!G:G, ledger!B:B, _xlpm.party, ledger!E:E, "&lt;&gt;*RD*", ledger!D:D, "Crinkle"))/1.0936))*L54)</f>
        <v>414511.70446232631</v>
      </c>
      <c r="H54" s="23" cm="1">
        <f t="array" ref="H54">(_xlfn.BYROW(B54,_xlfn.LAMBDA(_xlpm.party,SUMIFS(ledger!G:G,ledger!B:B,_xlpm.party,ledger!E:E,"&lt;&gt;*RD*",ledger!D:D, "Silky")/1.0936))* M54)</f>
        <v>0</v>
      </c>
      <c r="I54" s="44">
        <f t="shared" si="9"/>
        <v>414511.70446232631</v>
      </c>
      <c r="J54" s="23">
        <f>(SUMIF(Table14[Party],B54,Table14[Credit]))</f>
        <v>1066681</v>
      </c>
      <c r="K54" s="42">
        <f t="shared" si="10"/>
        <v>-652169.29553767364</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179000</v>
      </c>
      <c r="K57" s="42">
        <f t="shared" si="11"/>
        <v>-179000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50202</v>
      </c>
      <c r="D59" s="23">
        <v>45905.267008046823</v>
      </c>
      <c r="E59" s="68">
        <v>45905.267008046823</v>
      </c>
      <c r="F59" s="68">
        <v>0</v>
      </c>
      <c r="G59" s="23" cm="1">
        <f t="array" ref="G59">(_xlfn.BYROW(B59,_xlfn.LAMBDA(_xlpm.party,(SUMIFS(ledger!G:G,ledger!B:B,_xlpm.party,ledger!E:E,"&lt;&gt;*RD*",ledger!D:D, "Chamki")+SUMIFS(ledger!G:G, ledger!B:B, _xlpm.party, ledger!E:E, "&lt;&gt;*RD*", ledger!D:D, "Crinkle"))/1.0936))*L59)</f>
        <v>459052.67008046823</v>
      </c>
      <c r="H59" s="23" cm="1">
        <f t="array" ref="H59">(_xlfn.BYROW(B59,_xlfn.LAMBDA(_xlpm.party,SUMIFS(ledger!G:G,ledger!B:B,_xlpm.party,ledger!E:E,"&lt;&gt;*RD*",ledger!D:D, "Silky")/1.0936))* M59)</f>
        <v>0</v>
      </c>
      <c r="I59" s="44">
        <f t="shared" si="12"/>
        <v>459052.67008046823</v>
      </c>
      <c r="J59" s="23">
        <f>SUMIF(Table14[Party], B59, Table14[Credit])</f>
        <v>0</v>
      </c>
      <c r="K59" s="42">
        <f t="shared" si="11"/>
        <v>459052.67008046823</v>
      </c>
      <c r="L59" s="22">
        <v>10</v>
      </c>
      <c r="M59" s="22">
        <v>12</v>
      </c>
    </row>
    <row r="60" spans="1:13" x14ac:dyDescent="0.3">
      <c r="B60" s="25" t="str">
        <v>Badshah Fabrics</v>
      </c>
      <c r="C60" s="23">
        <v>75501</v>
      </c>
      <c r="D60" s="23">
        <v>69038.953913679594</v>
      </c>
      <c r="E60" s="68">
        <v>69038.953913679594</v>
      </c>
      <c r="F60" s="68">
        <v>0</v>
      </c>
      <c r="G60" s="23" cm="1">
        <f t="array" ref="G60">(_xlfn.BYROW(B60,_xlfn.LAMBDA(_xlpm.party,(SUMIFS(ledger!G:G,ledger!B:B,_xlpm.party,ledger!E:E,"&lt;&gt;*RD*",ledger!D:D, "Chamki")+SUMIFS(ledger!G:G, ledger!B:B, _xlpm.party, ledger!E:E, "&lt;&gt;*RD*", ledger!D:D, "Crinkle"))/1.0936))*L60)</f>
        <v>690389.53913679591</v>
      </c>
      <c r="H60" s="23" cm="1">
        <f t="array" ref="H60">(_xlfn.BYROW(B60,_xlfn.LAMBDA(_xlpm.party,SUMIFS(ledger!G:G,ledger!B:B,_xlpm.party,ledger!E:E,"&lt;&gt;*RD*",ledger!D:D, "Silky")/1.0936))* M60)</f>
        <v>0</v>
      </c>
      <c r="I60" s="44">
        <f t="shared" si="12"/>
        <v>690389.53913679591</v>
      </c>
      <c r="J60" s="23">
        <f>SUMIF(Table14[Party], B60, Table14[Credit])</f>
        <v>140000</v>
      </c>
      <c r="K60" s="42">
        <f t="shared" si="11"/>
        <v>550389.53913679591</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400000</v>
      </c>
      <c r="K62" s="42">
        <f t="shared" si="11"/>
        <v>-400000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95000</v>
      </c>
      <c r="K63" s="42">
        <f t="shared" si="11"/>
        <v>-95000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38208</v>
      </c>
      <c r="D65" s="23">
        <v>34937.820043891734</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11971</v>
      </c>
      <c r="D66" s="23">
        <v>10946.415508412583</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98000</v>
      </c>
      <c r="K66" s="42">
        <f t="shared" si="11"/>
        <v>-7209.9487929773168</v>
      </c>
      <c r="L66" s="22">
        <v>10</v>
      </c>
      <c r="M66" s="22">
        <v>12</v>
      </c>
    </row>
    <row r="67" spans="2:13" x14ac:dyDescent="0.3">
      <c r="B67" t="str">
        <v>Amjad sohail</v>
      </c>
      <c r="C67" s="23">
        <v>1662</v>
      </c>
      <c r="D67" s="23">
        <v>1519.751280175567</v>
      </c>
      <c r="E67" s="68">
        <v>0</v>
      </c>
      <c r="F67" s="68">
        <v>1519.751280175567</v>
      </c>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18237.015362106802</v>
      </c>
      <c r="I67" s="44">
        <f t="shared" si="13"/>
        <v>18237.015362106802</v>
      </c>
      <c r="J67" s="23">
        <f>SUMIF(Table14[Party], B67, Table14[Credit])</f>
        <v>300000</v>
      </c>
      <c r="K67" s="42">
        <f t="shared" si="11"/>
        <v>-281762.98463789321</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5408917.8595464528</v>
      </c>
      <c r="H88" s="23">
        <f>_xlfn.XLOOKUP($B53,[1]Billing!$O$5:$O$29,[1]Billing!$U$5:$U$29)</f>
        <v>5829886.6130212145</v>
      </c>
      <c r="I88" s="44">
        <f t="shared" si="14"/>
        <v>11238804.472567666</v>
      </c>
      <c r="J88" s="23">
        <f>_xlfn.XLOOKUP($B53,[1]Billing!$O$5:$O$29,[1]Billing!$W$5:$W$29)</f>
        <v>8629100</v>
      </c>
      <c r="K88" s="42">
        <f t="shared" si="15"/>
        <v>2609704.4725676663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row r="102" spans="2:13"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4" zoomScale="105" workbookViewId="0">
      <selection activeCell="D11" sqref="D11"/>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11971</v>
      </c>
      <c r="E8" s="71"/>
      <c r="J8" t="str">
        <v>Sufi Nawaz Sahab</v>
      </c>
    </row>
    <row r="9" spans="2:10" ht="18" x14ac:dyDescent="0.35">
      <c r="B9" s="60"/>
      <c r="C9" s="71"/>
      <c r="D9" s="71"/>
      <c r="E9" s="71"/>
      <c r="J9" t="str">
        <v>Sajad Khan</v>
      </c>
    </row>
    <row r="10" spans="2:10" ht="18" x14ac:dyDescent="0.35">
      <c r="B10" s="60" t="s">
        <v>38</v>
      </c>
      <c r="C10" s="71"/>
      <c r="D10" s="73" cm="1">
        <f t="array" ref="D10">_xlfn.XLOOKUP($B$6,_xlfn.ANCHORARRAY( Billing!$O$5), INDEX(Billing!Q5:Q25, _xlfn.SEQUENCE(ROWS(_xlfn.ANCHORARRAY(Billing!$O$5)))), "Not Found")</f>
        <v>10946.415508412583</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98000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355.88880760791653</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4242285</v>
      </c>
      <c r="D4" t="s">
        <v>228</v>
      </c>
    </row>
    <row r="5" spans="1:4" x14ac:dyDescent="0.3">
      <c r="B5" t="s">
        <v>48</v>
      </c>
      <c r="C5" s="11">
        <f>SUM(Table8[Price])+Table2325[[#Totals],[total]]</f>
        <v>179750</v>
      </c>
    </row>
    <row r="6" spans="1:4" x14ac:dyDescent="0.3">
      <c r="B6" t="s">
        <v>49</v>
      </c>
      <c r="C6" s="11">
        <f>SUM(Table2[Price])+Finish!J30</f>
        <v>779916.66666666663</v>
      </c>
      <c r="D6" t="s">
        <v>229</v>
      </c>
    </row>
    <row r="7" spans="1:4" x14ac:dyDescent="0.3">
      <c r="B7" t="s">
        <v>50</v>
      </c>
      <c r="C7" s="11">
        <f>SUMIFS(Table14[Debit], Table14[Party],Table12[[#This Row],[Type]])</f>
        <v>13810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38245</v>
      </c>
    </row>
    <row r="11" spans="1:4" x14ac:dyDescent="0.3">
      <c r="B11" t="s">
        <v>54</v>
      </c>
      <c r="C11" s="11">
        <f>Table13[[#Totals],[Debit]]</f>
        <v>0</v>
      </c>
    </row>
    <row r="12" spans="1:4" x14ac:dyDescent="0.3">
      <c r="B12" t="s">
        <v>55</v>
      </c>
      <c r="C12" s="11">
        <f>Table15[[#Totals],[Amount]]</f>
        <v>219680</v>
      </c>
    </row>
    <row r="13" spans="1:4" x14ac:dyDescent="0.3">
      <c r="C13" s="11"/>
    </row>
    <row r="14" spans="1:4" x14ac:dyDescent="0.3">
      <c r="C14" s="14">
        <f>SUM(Table12[Amount])</f>
        <v>5487436.666666667</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3712463.4235552307</v>
      </c>
    </row>
    <row r="4" spans="1:3" x14ac:dyDescent="0.3">
      <c r="B4" s="11" t="s">
        <v>44</v>
      </c>
      <c r="C4" s="11">
        <f>Table12[[#Totals],[Amount]]</f>
        <v>5487436.666666667</v>
      </c>
    </row>
    <row r="5" spans="1:3" x14ac:dyDescent="0.3">
      <c r="A5" s="6"/>
      <c r="B5" s="15" t="s">
        <v>68</v>
      </c>
      <c r="C5" s="15">
        <f ca="1">C3-C4</f>
        <v>-1774973.2431114363</v>
      </c>
    </row>
    <row r="10" spans="1:3" ht="15" thickBot="1" x14ac:dyDescent="0.35">
      <c r="B10" t="s">
        <v>66</v>
      </c>
      <c r="C10" s="14" t="s">
        <v>67</v>
      </c>
    </row>
    <row r="11" spans="1:3" x14ac:dyDescent="0.3">
      <c r="B11" s="61" t="s">
        <v>0</v>
      </c>
      <c r="C11" s="62">
        <f ca="1">C3</f>
        <v>3712463.4235552307</v>
      </c>
    </row>
    <row r="12" spans="1:3" x14ac:dyDescent="0.3">
      <c r="B12" s="63" t="s">
        <v>69</v>
      </c>
      <c r="C12" s="64">
        <f>SUM(Table14[Credit])</f>
        <v>8660595</v>
      </c>
    </row>
    <row r="13" spans="1:3" ht="15" thickBot="1" x14ac:dyDescent="0.35">
      <c r="B13" s="79" t="s">
        <v>96</v>
      </c>
      <c r="C13" s="78">
        <f ca="1">(C11-C12)</f>
        <v>-4948131.5764447693</v>
      </c>
    </row>
    <row r="14" spans="1:3" ht="15" thickBot="1" x14ac:dyDescent="0.35">
      <c r="B14" s="63"/>
      <c r="C14" s="64"/>
    </row>
    <row r="15" spans="1:3" x14ac:dyDescent="0.3">
      <c r="B15" s="61" t="s">
        <v>44</v>
      </c>
      <c r="C15" s="62">
        <f>C4</f>
        <v>5487436.666666667</v>
      </c>
    </row>
    <row r="16" spans="1:3" x14ac:dyDescent="0.3">
      <c r="B16" s="63" t="s">
        <v>70</v>
      </c>
      <c r="C16" s="64">
        <f>SUM(Table14[Debit])</f>
        <v>7761986</v>
      </c>
    </row>
    <row r="17" spans="2:6" ht="15" thickBot="1" x14ac:dyDescent="0.35">
      <c r="B17" s="79" t="s">
        <v>71</v>
      </c>
      <c r="C17" s="78">
        <f>C15-C16</f>
        <v>-2274549.333333333</v>
      </c>
    </row>
    <row r="18" spans="2:6" ht="15" thickBot="1" x14ac:dyDescent="0.35">
      <c r="B18" s="63"/>
      <c r="C18" s="64"/>
    </row>
    <row r="19" spans="2:6" ht="15" thickBot="1" x14ac:dyDescent="0.35">
      <c r="B19" s="80" t="s">
        <v>72</v>
      </c>
      <c r="C19" s="81">
        <f>Table18[[#Totals],[amount]]</f>
        <v>898609</v>
      </c>
    </row>
    <row r="20" spans="2:6" ht="15" thickBot="1" x14ac:dyDescent="0.35">
      <c r="B20" s="76"/>
      <c r="C20" s="77"/>
    </row>
    <row r="21" spans="2:6" ht="15" thickBot="1" x14ac:dyDescent="0.35">
      <c r="B21" s="65" t="s">
        <v>73</v>
      </c>
      <c r="C21" s="66">
        <f ca="1">(C13-C17)+C19</f>
        <v>-1774973.2431114363</v>
      </c>
      <c r="E21" s="84" t="s">
        <v>74</v>
      </c>
      <c r="F21" s="85">
        <f ca="1">C5*0.05</f>
        <v>-88748.662155571816</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37"/>
  <sheetViews>
    <sheetView tabSelected="1" topLeftCell="D57" zoomScale="140" zoomScaleNormal="126" workbookViewId="0">
      <selection activeCell="D73" sqref="D73"/>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332031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5408917.8595464528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98355.888807607917</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x14ac:dyDescent="0.3">
      <c r="A51" s="28">
        <v>45953</v>
      </c>
      <c r="B51" s="29" t="s">
        <v>21</v>
      </c>
      <c r="C51" s="29">
        <v>1002</v>
      </c>
      <c r="D51" s="29" t="s">
        <v>85</v>
      </c>
      <c r="E51" s="11">
        <v>1836</v>
      </c>
      <c r="F51" s="11">
        <v>9527</v>
      </c>
      <c r="G51" s="11">
        <v>10153</v>
      </c>
      <c r="H51" s="32">
        <f>_xlfn.XLOOKUP(Table1[[#This Row],[Shipment Number]], 'pivot '!A:A,'pivot '!G:G, "NF")</f>
        <v>2.5504766071617553</v>
      </c>
      <c r="I51" s="121">
        <f>Table1[[#This Row],[Tiyaar/gaz]]/1.0936</f>
        <v>9284.0160936356988</v>
      </c>
      <c r="J51" s="121" cm="1">
        <f t="array" ref="J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92840.160936356988</v>
      </c>
      <c r="K51" s="29"/>
      <c r="P51"/>
      <c r="Q51"/>
      <c r="R51"/>
      <c r="S51"/>
      <c r="T51"/>
      <c r="U51"/>
      <c r="V51"/>
      <c r="W51"/>
      <c r="X51"/>
      <c r="Y51"/>
    </row>
    <row r="52" spans="1:25" x14ac:dyDescent="0.3">
      <c r="A52" s="28">
        <v>45953</v>
      </c>
      <c r="B52" s="29" t="s">
        <v>21</v>
      </c>
      <c r="C52" s="29">
        <v>1003</v>
      </c>
      <c r="D52" s="29" t="s">
        <v>85</v>
      </c>
      <c r="E52" s="11">
        <v>1828</v>
      </c>
      <c r="F52" s="11">
        <v>31302</v>
      </c>
      <c r="G52" s="11">
        <v>31733</v>
      </c>
      <c r="H52" s="32">
        <f>_xlfn.XLOOKUP(Table1[[#This Row],[Shipment Number]], 'pivot '!A:A,'pivot '!G:G, "NF")</f>
        <v>0.87306718693977814</v>
      </c>
      <c r="I52" s="121">
        <f>Table1[[#This Row],[Tiyaar/gaz]]/1.0936</f>
        <v>29017.008046817853</v>
      </c>
      <c r="J52" s="121" cm="1">
        <f t="array" ref="J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290170.08046817855</v>
      </c>
      <c r="K52" s="29"/>
      <c r="P52"/>
      <c r="Q52"/>
      <c r="R52"/>
      <c r="S52"/>
      <c r="T52"/>
      <c r="U52"/>
      <c r="V52"/>
      <c r="W52"/>
      <c r="X52"/>
      <c r="Y52"/>
    </row>
    <row r="53" spans="1:25" x14ac:dyDescent="0.3">
      <c r="A53" s="28">
        <v>45953</v>
      </c>
      <c r="B53" s="29" t="s">
        <v>21</v>
      </c>
      <c r="C53" s="29">
        <v>1004</v>
      </c>
      <c r="D53" s="29" t="s">
        <v>85</v>
      </c>
      <c r="E53" s="11">
        <v>1837</v>
      </c>
      <c r="F53" s="11">
        <v>11233</v>
      </c>
      <c r="G53" s="11">
        <v>3227</v>
      </c>
      <c r="H53" s="32">
        <f>_xlfn.XLOOKUP(Table1[[#This Row],[Shipment Number]], 'pivot '!A:A,'pivot '!G:G, "NF")</f>
        <v>-8.9429716796790615</v>
      </c>
      <c r="I53" s="121">
        <f>Table1[[#This Row],[Tiyaar/gaz]]/1.0936</f>
        <v>2950.8046817849308</v>
      </c>
      <c r="J53" s="121" cm="1">
        <f t="array" ref="J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29508.04681784931</v>
      </c>
      <c r="K53" s="29"/>
      <c r="P53"/>
      <c r="Q53"/>
      <c r="R53"/>
      <c r="S53"/>
      <c r="T53"/>
      <c r="U53"/>
      <c r="V53"/>
      <c r="W53"/>
      <c r="X53"/>
      <c r="Y53"/>
    </row>
    <row r="54" spans="1:25" x14ac:dyDescent="0.3">
      <c r="A54" s="28">
        <v>45954</v>
      </c>
      <c r="B54" s="29" t="s">
        <v>21</v>
      </c>
      <c r="C54" s="29">
        <v>1005</v>
      </c>
      <c r="D54" s="29" t="s">
        <v>85</v>
      </c>
      <c r="E54" s="11">
        <v>1840</v>
      </c>
      <c r="F54" s="11">
        <v>8913</v>
      </c>
      <c r="G54" s="11">
        <v>7126</v>
      </c>
      <c r="H54" s="32">
        <f>_xlfn.XLOOKUP(Table1[[#This Row],[Shipment Number]], 'pivot '!A:A,'pivot '!G:G, "NF")</f>
        <v>2.5571994779084832</v>
      </c>
      <c r="I54" s="121">
        <f>Table1[[#This Row],[Tiyaar/gaz]]/1.0936</f>
        <v>6516.0936356986103</v>
      </c>
      <c r="J54" s="121" cm="1">
        <f t="array" ref="J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65160.936356986102</v>
      </c>
      <c r="K54" s="29"/>
      <c r="P54"/>
      <c r="Q54"/>
      <c r="R54"/>
      <c r="S54"/>
      <c r="T54"/>
      <c r="U54"/>
      <c r="V54"/>
      <c r="W54"/>
      <c r="X54"/>
      <c r="Y54"/>
    </row>
    <row r="55" spans="1:25" x14ac:dyDescent="0.3">
      <c r="A55" s="28">
        <v>45954</v>
      </c>
      <c r="B55" s="29" t="s">
        <v>21</v>
      </c>
      <c r="C55" s="29">
        <v>1006</v>
      </c>
      <c r="D55" s="29" t="s">
        <v>85</v>
      </c>
      <c r="E55" s="11">
        <v>1828</v>
      </c>
      <c r="F55" s="11">
        <v>31302</v>
      </c>
      <c r="G55" s="11">
        <v>2200</v>
      </c>
      <c r="H55" s="32">
        <f>_xlfn.XLOOKUP(Table1[[#This Row],[Shipment Number]], 'pivot '!A:A,'pivot '!G:G, "NF")</f>
        <v>0.87306718693977814</v>
      </c>
      <c r="I55" s="121">
        <f>Table1[[#This Row],[Tiyaar/gaz]]/1.0936</f>
        <v>2011.704462326262</v>
      </c>
      <c r="J55" s="121" cm="1">
        <f t="array" ref="J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20117.04462326262</v>
      </c>
      <c r="K55" s="29"/>
      <c r="P55"/>
      <c r="Q55"/>
      <c r="R55"/>
      <c r="S55"/>
      <c r="T55"/>
      <c r="U55"/>
      <c r="V55"/>
      <c r="W55"/>
      <c r="X55"/>
      <c r="Y55"/>
    </row>
    <row r="56" spans="1:25" x14ac:dyDescent="0.3">
      <c r="A56" s="28">
        <v>45954</v>
      </c>
      <c r="B56" s="29" t="s">
        <v>21</v>
      </c>
      <c r="C56" s="29">
        <v>1007</v>
      </c>
      <c r="D56" s="29" t="s">
        <v>85</v>
      </c>
      <c r="E56" s="11">
        <v>1840</v>
      </c>
      <c r="F56" s="11">
        <v>8913</v>
      </c>
      <c r="G56" s="11">
        <v>2372</v>
      </c>
      <c r="H56" s="32">
        <f>_xlfn.XLOOKUP(Table1[[#This Row],[Shipment Number]], 'pivot '!A:A,'pivot '!G:G, "NF")</f>
        <v>2.5571994779084832</v>
      </c>
      <c r="I56" s="121">
        <f>Table1[[#This Row],[Tiyaar/gaz]]/1.0936</f>
        <v>2168.9831748354063</v>
      </c>
      <c r="J56" s="121" cm="1">
        <f t="array" ref="J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21689.831748354063</v>
      </c>
      <c r="K56" s="29"/>
      <c r="P56"/>
      <c r="Q56"/>
      <c r="R56"/>
      <c r="S56"/>
      <c r="T56"/>
      <c r="U56"/>
      <c r="V56"/>
      <c r="W56"/>
      <c r="X56"/>
      <c r="Y56"/>
    </row>
    <row r="57" spans="1:25" x14ac:dyDescent="0.3">
      <c r="A57" s="28">
        <v>45954</v>
      </c>
      <c r="B57" s="29" t="s">
        <v>21</v>
      </c>
      <c r="C57" s="29">
        <v>1008</v>
      </c>
      <c r="D57" s="29" t="s">
        <v>85</v>
      </c>
      <c r="E57" s="11">
        <v>1837</v>
      </c>
      <c r="F57" s="11">
        <v>11233</v>
      </c>
      <c r="G57" s="11">
        <v>10156</v>
      </c>
      <c r="H57" s="32">
        <f>_xlfn.XLOOKUP(Table1[[#This Row],[Shipment Number]], 'pivot '!A:A,'pivot '!G:G, "NF")</f>
        <v>-8.9429716796790615</v>
      </c>
      <c r="I57" s="121">
        <f>Table1[[#This Row],[Tiyaar/gaz]]/1.0936</f>
        <v>9286.7593269934168</v>
      </c>
      <c r="J57" s="121" cm="1">
        <f t="array" ref="J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92867.593269934165</v>
      </c>
      <c r="K57" s="29"/>
      <c r="P57"/>
      <c r="Q57"/>
      <c r="R57"/>
      <c r="S57"/>
      <c r="T57"/>
      <c r="U57"/>
      <c r="V57"/>
      <c r="W57"/>
      <c r="X57"/>
      <c r="Y57"/>
    </row>
    <row r="58" spans="1:25" x14ac:dyDescent="0.3">
      <c r="A58" s="28">
        <v>45954</v>
      </c>
      <c r="B58" s="29" t="s">
        <v>21</v>
      </c>
      <c r="C58" s="29">
        <v>1009</v>
      </c>
      <c r="D58" s="29" t="s">
        <v>85</v>
      </c>
      <c r="E58" s="11">
        <v>1825</v>
      </c>
      <c r="F58" s="11">
        <v>25262</v>
      </c>
      <c r="G58" s="11">
        <v>27090</v>
      </c>
      <c r="H58" s="32">
        <f>_xlfn.XLOOKUP(Table1[[#This Row],[Shipment Number]], 'pivot '!A:A,'pivot '!G:G, "NF")</f>
        <v>1.942058347754724</v>
      </c>
      <c r="I58" s="121">
        <f>Table1[[#This Row],[Tiyaar/gaz]]/1.0936</f>
        <v>24771.3972201902</v>
      </c>
      <c r="J58" s="121" cm="1">
        <f t="array" ref="J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247713.97220190201</v>
      </c>
      <c r="K58" s="29"/>
      <c r="P58"/>
      <c r="Q58"/>
      <c r="R58"/>
      <c r="S58"/>
      <c r="T58"/>
      <c r="U58"/>
      <c r="V58"/>
      <c r="W58"/>
    </row>
    <row r="59" spans="1:25" x14ac:dyDescent="0.3">
      <c r="A59" s="28">
        <v>45955</v>
      </c>
      <c r="B59" s="29" t="s">
        <v>21</v>
      </c>
      <c r="C59" s="29">
        <v>1010</v>
      </c>
      <c r="D59" s="29" t="s">
        <v>85</v>
      </c>
      <c r="E59" s="11">
        <v>1838</v>
      </c>
      <c r="F59" s="11">
        <v>10092</v>
      </c>
      <c r="G59" s="11">
        <v>10885</v>
      </c>
      <c r="H59" s="32">
        <f>_xlfn.XLOOKUP(Table1[[#This Row],[Shipment Number]], 'pivot '!A:A,'pivot '!G:G, "NF")</f>
        <v>1.3737115247839853</v>
      </c>
      <c r="I59" s="121">
        <f>Table1[[#This Row],[Tiyaar/gaz]]/1.0936</f>
        <v>9953.3650329188004</v>
      </c>
      <c r="J59" s="121" cm="1">
        <f t="array" ref="J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99533.650329188007</v>
      </c>
      <c r="K59" s="29"/>
      <c r="P59"/>
      <c r="Q59"/>
      <c r="R59"/>
      <c r="S59"/>
      <c r="T59"/>
      <c r="U59"/>
    </row>
    <row r="60" spans="1:25" x14ac:dyDescent="0.3">
      <c r="A60" s="28">
        <v>45955</v>
      </c>
      <c r="B60" s="29" t="s">
        <v>21</v>
      </c>
      <c r="C60" s="29">
        <v>1011</v>
      </c>
      <c r="D60" s="29" t="s">
        <v>85</v>
      </c>
      <c r="E60" s="11">
        <v>1845</v>
      </c>
      <c r="F60" s="11">
        <v>14494</v>
      </c>
      <c r="G60" s="11">
        <v>15623</v>
      </c>
      <c r="H60" s="32">
        <f>_xlfn.XLOOKUP(Table1[[#This Row],[Shipment Number]], 'pivot '!A:A,'pivot '!G:G, "NF")</f>
        <v>1.4361465718629773</v>
      </c>
      <c r="I60" s="121">
        <f>Table1[[#This Row],[Tiyaar/gaz]]/1.0936</f>
        <v>14285.844915874179</v>
      </c>
      <c r="J60" s="121" cm="1">
        <f t="array" ref="J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142858.4491587418</v>
      </c>
      <c r="K60" s="29"/>
      <c r="M60"/>
      <c r="P60"/>
      <c r="Q60"/>
      <c r="R60"/>
      <c r="S60"/>
      <c r="T60"/>
      <c r="U60"/>
    </row>
    <row r="61" spans="1:25" x14ac:dyDescent="0.3">
      <c r="A61" s="28">
        <v>45955</v>
      </c>
      <c r="B61" s="29" t="s">
        <v>21</v>
      </c>
      <c r="C61" s="29">
        <v>1012</v>
      </c>
      <c r="D61" s="29" t="s">
        <v>85</v>
      </c>
      <c r="E61" s="11">
        <v>1807</v>
      </c>
      <c r="F61" s="11">
        <v>14854</v>
      </c>
      <c r="G61" s="11">
        <v>15938</v>
      </c>
      <c r="H61" s="32">
        <f>_xlfn.XLOOKUP(Table1[[#This Row],[Shipment Number]], 'pivot '!A:A,'pivot '!G:G, "NF")</f>
        <v>1.8857922550523085</v>
      </c>
      <c r="I61" s="121">
        <f>Table1[[#This Row],[Tiyaar/gaz]]/1.0936</f>
        <v>14573.884418434529</v>
      </c>
      <c r="J61" s="121" cm="1">
        <f t="array" ref="J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145738.84418434527</v>
      </c>
      <c r="K61" s="29"/>
      <c r="M61"/>
      <c r="P61"/>
      <c r="Q61"/>
      <c r="R61"/>
      <c r="S61"/>
    </row>
    <row r="62" spans="1:25" x14ac:dyDescent="0.3">
      <c r="A62" s="28">
        <v>45955</v>
      </c>
      <c r="B62" s="29" t="s">
        <v>21</v>
      </c>
      <c r="C62" s="29">
        <v>1013</v>
      </c>
      <c r="D62" s="29" t="s">
        <v>85</v>
      </c>
      <c r="E62" s="11" t="s">
        <v>290</v>
      </c>
      <c r="F62" s="11">
        <v>12811</v>
      </c>
      <c r="G62" s="11">
        <v>3756</v>
      </c>
      <c r="H62" s="32">
        <f>_xlfn.XLOOKUP(Table1[[#This Row],[Shipment Number]], 'pivot '!A:A,'pivot '!G:G, "NF")</f>
        <v>37.83774539493966</v>
      </c>
      <c r="I62" s="121">
        <f>Table1[[#This Row],[Tiyaar/gaz]]/1.0936</f>
        <v>3434.5281638624729</v>
      </c>
      <c r="J62" s="121" cm="1">
        <f t="array" ref="J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34345.281638624729</v>
      </c>
      <c r="K62" s="29"/>
      <c r="M62"/>
      <c r="P62"/>
      <c r="Q62"/>
      <c r="R62"/>
      <c r="S62"/>
    </row>
    <row r="63" spans="1:25" x14ac:dyDescent="0.3">
      <c r="A63" s="28">
        <v>45955</v>
      </c>
      <c r="B63" s="29" t="s">
        <v>21</v>
      </c>
      <c r="C63" s="29">
        <v>1014</v>
      </c>
      <c r="D63" s="29" t="s">
        <v>85</v>
      </c>
      <c r="E63" s="11" t="s">
        <v>290</v>
      </c>
      <c r="F63" s="11">
        <v>12811</v>
      </c>
      <c r="G63" s="11">
        <f>4620+333</f>
        <v>4953</v>
      </c>
      <c r="H63" s="32">
        <f>_xlfn.XLOOKUP(Table1[[#This Row],[Shipment Number]], 'pivot '!A:A,'pivot '!G:G, "NF")</f>
        <v>37.83774539493966</v>
      </c>
      <c r="I63" s="121">
        <f>Table1[[#This Row],[Tiyaar/gaz]]/1.0936</f>
        <v>4529.0782735918074</v>
      </c>
      <c r="J63" s="121" cm="1">
        <f t="array" ref="J63">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45290.782735918074</v>
      </c>
      <c r="K63" s="29"/>
      <c r="S63"/>
    </row>
    <row r="64" spans="1:25" x14ac:dyDescent="0.3">
      <c r="A64" s="28">
        <v>45956</v>
      </c>
      <c r="B64" s="29" t="s">
        <v>170</v>
      </c>
      <c r="C64" s="29">
        <v>1015</v>
      </c>
      <c r="D64" s="29" t="s">
        <v>85</v>
      </c>
      <c r="E64" s="11">
        <v>1791</v>
      </c>
      <c r="F64" s="11">
        <v>100849</v>
      </c>
      <c r="G64" s="11">
        <v>39419</v>
      </c>
      <c r="H64" s="32" t="str">
        <f>_xlfn.XLOOKUP(Table1[[#This Row],[Shipment Number]], 'pivot '!A:A,'pivot '!G:G, "NF")</f>
        <v>NF</v>
      </c>
      <c r="I64" s="121">
        <f>Table1[[#This Row],[Tiyaar/gaz]]/1.0936</f>
        <v>36045.171909290417</v>
      </c>
      <c r="J64" s="121" cm="1">
        <f t="array" ref="J64">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360451.71909290418</v>
      </c>
      <c r="K64" s="29"/>
      <c r="S64"/>
    </row>
    <row r="65" spans="1:19" x14ac:dyDescent="0.3">
      <c r="A65" s="28">
        <v>45956</v>
      </c>
      <c r="B65" s="29" t="s">
        <v>25</v>
      </c>
      <c r="C65" s="29">
        <v>1016</v>
      </c>
      <c r="D65" s="29" t="s">
        <v>313</v>
      </c>
      <c r="E65" s="11">
        <v>1850</v>
      </c>
      <c r="F65" s="11">
        <v>5511</v>
      </c>
      <c r="G65" s="11">
        <v>837</v>
      </c>
      <c r="H65" s="32" t="str">
        <f>_xlfn.XLOOKUP(Table1[[#This Row],[Shipment Number]], 'pivot '!A:A,'pivot '!G:G, "NF")</f>
        <v>NF</v>
      </c>
      <c r="I65" s="121">
        <f>Table1[[#This Row],[Tiyaar/gaz]]/1.0936</f>
        <v>765.36210680321881</v>
      </c>
      <c r="J65" s="121" cm="1">
        <f t="array" ref="J65">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9949.7073884418442</v>
      </c>
      <c r="K65" s="29"/>
      <c r="S65"/>
    </row>
    <row r="66" spans="1:19" x14ac:dyDescent="0.3">
      <c r="A66" s="28">
        <v>45956</v>
      </c>
      <c r="B66" s="29" t="s">
        <v>21</v>
      </c>
      <c r="C66" s="29">
        <v>1017</v>
      </c>
      <c r="D66" s="29" t="s">
        <v>85</v>
      </c>
      <c r="E66" s="11" t="s">
        <v>290</v>
      </c>
      <c r="F66" s="11">
        <v>12811</v>
      </c>
      <c r="G66" s="11">
        <v>5683</v>
      </c>
      <c r="H66" s="32">
        <f>_xlfn.XLOOKUP(Table1[[#This Row],[Shipment Number]], 'pivot '!A:A,'pivot '!G:G, "NF")</f>
        <v>37.83774539493966</v>
      </c>
      <c r="I66" s="121">
        <f>Table1[[#This Row],[Tiyaar/gaz]]/1.0936</f>
        <v>5196.5983906364308</v>
      </c>
      <c r="J66" s="121" cm="1">
        <f t="array" ref="J66">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51965.983906364308</v>
      </c>
      <c r="K66" s="29"/>
      <c r="S66"/>
    </row>
    <row r="67" spans="1:19" x14ac:dyDescent="0.3">
      <c r="A67" s="28">
        <v>45957</v>
      </c>
      <c r="B67" s="29" t="s">
        <v>198</v>
      </c>
      <c r="C67" s="29">
        <v>1018</v>
      </c>
      <c r="D67" s="29" t="s">
        <v>313</v>
      </c>
      <c r="E67" s="11">
        <v>1801</v>
      </c>
      <c r="F67" s="11">
        <v>3023</v>
      </c>
      <c r="G67" s="11">
        <v>3248</v>
      </c>
      <c r="H67" s="32" t="str">
        <f>_xlfn.XLOOKUP(Table1[[#This Row],[Shipment Number]], 'pivot '!A:A,'pivot '!G:G, "NF")</f>
        <v>NF</v>
      </c>
      <c r="I67" s="121">
        <f>Table1[[#This Row],[Tiyaar/gaz]]/1.0936</f>
        <v>2970.007315288954</v>
      </c>
      <c r="J67" s="121" cm="1">
        <f t="array" ref="J67">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44550.109729334312</v>
      </c>
      <c r="K67" s="29"/>
      <c r="S67"/>
    </row>
    <row r="68" spans="1:19" x14ac:dyDescent="0.3">
      <c r="A68" s="28">
        <v>45957</v>
      </c>
      <c r="B68" s="29" t="s">
        <v>25</v>
      </c>
      <c r="C68" s="29">
        <v>1019</v>
      </c>
      <c r="D68" s="29" t="s">
        <v>313</v>
      </c>
      <c r="E68" s="11">
        <v>1850</v>
      </c>
      <c r="F68" s="11">
        <v>5511</v>
      </c>
      <c r="G68" s="11">
        <v>5166</v>
      </c>
      <c r="H68" s="32" t="str">
        <f>_xlfn.XLOOKUP(Table1[[#This Row],[Shipment Number]], 'pivot '!A:A,'pivot '!G:G, "NF")</f>
        <v>NF</v>
      </c>
      <c r="I68" s="121">
        <f>Table1[[#This Row],[Tiyaar/gaz]]/1.0936</f>
        <v>4723.8478419897592</v>
      </c>
      <c r="J68" s="121" cm="1">
        <f t="array" ref="J68">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61410.021945866873</v>
      </c>
      <c r="K68" s="29"/>
      <c r="S68"/>
    </row>
    <row r="69" spans="1:19" x14ac:dyDescent="0.3">
      <c r="A69" s="28">
        <v>45957</v>
      </c>
      <c r="B69" s="29" t="s">
        <v>170</v>
      </c>
      <c r="C69" s="29">
        <v>1020</v>
      </c>
      <c r="D69" s="29" t="s">
        <v>85</v>
      </c>
      <c r="E69" s="11">
        <v>1791</v>
      </c>
      <c r="F69" s="11">
        <v>100849</v>
      </c>
      <c r="G69" s="11">
        <v>36082</v>
      </c>
      <c r="H69" s="32" t="str">
        <f>_xlfn.XLOOKUP(Table1[[#This Row],[Shipment Number]], 'pivot '!A:A,'pivot '!G:G, "NF")</f>
        <v>NF</v>
      </c>
      <c r="I69" s="121">
        <f>Table1[[#This Row],[Tiyaar/gaz]]/1.0936</f>
        <v>32993.782004389177</v>
      </c>
      <c r="J69" s="121" cm="1">
        <f t="array" ref="J69">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329937.82004389178</v>
      </c>
      <c r="K69" s="29"/>
      <c r="S69"/>
    </row>
    <row r="70" spans="1:19" x14ac:dyDescent="0.3">
      <c r="A70" s="28">
        <v>45957</v>
      </c>
      <c r="B70" s="29" t="s">
        <v>27</v>
      </c>
      <c r="C70" s="29">
        <v>1021</v>
      </c>
      <c r="D70" s="29" t="s">
        <v>85</v>
      </c>
      <c r="E70" s="11">
        <v>1824</v>
      </c>
      <c r="F70" s="11">
        <v>50784</v>
      </c>
      <c r="G70" s="11">
        <v>4382</v>
      </c>
      <c r="H70" s="32" t="str">
        <f>_xlfn.XLOOKUP(Table1[[#This Row],[Shipment Number]], 'pivot '!A:A,'pivot '!G:G, "NF")</f>
        <v>NF</v>
      </c>
      <c r="I70" s="121">
        <f>Table1[[#This Row],[Tiyaar/gaz]]/1.0936</f>
        <v>4006.9495245062185</v>
      </c>
      <c r="J70" s="121" cm="1">
        <f t="array" ref="J70">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40069.495245062186</v>
      </c>
      <c r="K70" s="29"/>
      <c r="S70"/>
    </row>
    <row r="71" spans="1:19" x14ac:dyDescent="0.3">
      <c r="A71" s="28">
        <v>45957</v>
      </c>
      <c r="B71" s="29" t="s">
        <v>27</v>
      </c>
      <c r="C71" s="29">
        <v>1022</v>
      </c>
      <c r="D71" s="29" t="s">
        <v>85</v>
      </c>
      <c r="E71" s="11">
        <v>1824</v>
      </c>
      <c r="F71" s="11">
        <v>50784</v>
      </c>
      <c r="G71" s="11">
        <v>45820</v>
      </c>
      <c r="H71" s="32" t="str">
        <f>_xlfn.XLOOKUP(Table1[[#This Row],[Shipment Number]], 'pivot '!A:A,'pivot '!G:G, "NF")</f>
        <v>NF</v>
      </c>
      <c r="I71" s="121">
        <f>Table1[[#This Row],[Tiyaar/gaz]]/1.0936</f>
        <v>41898.317483540603</v>
      </c>
      <c r="J71" s="121" cm="1">
        <f t="array" ref="J71">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418983.17483540601</v>
      </c>
      <c r="K71" s="29"/>
      <c r="S71"/>
    </row>
    <row r="72" spans="1:19" x14ac:dyDescent="0.3">
      <c r="A72" s="28">
        <v>45957</v>
      </c>
      <c r="B72" s="29" t="s">
        <v>227</v>
      </c>
      <c r="C72" s="29">
        <v>1023</v>
      </c>
      <c r="D72" s="29" t="s">
        <v>314</v>
      </c>
      <c r="E72" s="11">
        <v>1814</v>
      </c>
      <c r="F72" s="11">
        <v>3702</v>
      </c>
      <c r="G72" s="11">
        <v>3697</v>
      </c>
      <c r="H72" s="32" t="str">
        <f>_xlfn.XLOOKUP(Table1[[#This Row],[Shipment Number]], 'pivot '!A:A,'pivot '!G:G, "NF")</f>
        <v>NF</v>
      </c>
      <c r="I72" s="121">
        <f>Table1[[#This Row],[Tiyaar/gaz]]/1.0936</f>
        <v>3380.5779078273595</v>
      </c>
      <c r="J72" s="121" cm="1">
        <f t="array" ref="J72">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94656.181419166067</v>
      </c>
      <c r="K72" s="29"/>
      <c r="S72"/>
    </row>
    <row r="73" spans="1:19" x14ac:dyDescent="0.3">
      <c r="A73"/>
      <c r="B73"/>
      <c r="C73"/>
      <c r="D73"/>
      <c r="E73" s="14"/>
      <c r="F73" s="14"/>
      <c r="G73" s="14"/>
      <c r="H73" s="48"/>
      <c r="I73" s="103" cm="1">
        <f t="array" aca="1" ref="I73" ca="1">SUMPRODUCT( SUBTOTAL(109, OFFSET(Table1[tiyar/meters], ROW(Table1[tiyar/meters])-MIN(ROW(Table1[tiyar/meters])), 0, 1)), --(Table1[Bill Number]&lt;&gt;"September Closing CF") )</f>
        <v>518600.95098756411</v>
      </c>
      <c r="J73" s="48" cm="1">
        <f t="array" aca="1" ref="J73" ca="1">SUMPRODUCT( SUBTOTAL(109, OFFSET(Table1[billing], ROW(Table1[billing])-MIN(ROW(Table1[billing])), 0, 1)), --(Table1[Bill Number]&lt;&gt;"September Closing CF") )</f>
        <v>5606165.8741770294</v>
      </c>
      <c r="K73" s="14">
        <f>SUMIFS(Table1[billing], Table1[Bill Number], "&lt;&gt;September Closing CF")</f>
        <v>5606165.8741770294</v>
      </c>
    </row>
    <row r="96" spans="15:17" x14ac:dyDescent="0.3">
      <c r="O96"/>
      <c r="P96"/>
      <c r="Q96"/>
    </row>
    <row r="97" spans="4:18" x14ac:dyDescent="0.3">
      <c r="O97"/>
      <c r="P97"/>
      <c r="Q97"/>
    </row>
    <row r="98" spans="4:18" x14ac:dyDescent="0.3">
      <c r="L98"/>
      <c r="M98"/>
      <c r="O98"/>
      <c r="P98"/>
      <c r="Q98"/>
    </row>
    <row r="99" spans="4:18" x14ac:dyDescent="0.3">
      <c r="M99"/>
      <c r="P99"/>
      <c r="Q99"/>
      <c r="R99"/>
    </row>
    <row r="100" spans="4:18" x14ac:dyDescent="0.3">
      <c r="M100"/>
      <c r="P100"/>
      <c r="Q100"/>
      <c r="R100"/>
    </row>
    <row r="101" spans="4:18" x14ac:dyDescent="0.3">
      <c r="M101"/>
      <c r="P101"/>
      <c r="Q101"/>
      <c r="R101"/>
    </row>
    <row r="102" spans="4:18" x14ac:dyDescent="0.3">
      <c r="M102"/>
      <c r="P102"/>
      <c r="Q102"/>
      <c r="R102"/>
    </row>
    <row r="103" spans="4:18" x14ac:dyDescent="0.3">
      <c r="M103"/>
      <c r="P103"/>
      <c r="Q103"/>
      <c r="R103"/>
    </row>
    <row r="104" spans="4:18" x14ac:dyDescent="0.3">
      <c r="M104"/>
      <c r="P104"/>
      <c r="Q104"/>
      <c r="R104"/>
    </row>
    <row r="105" spans="4:18" x14ac:dyDescent="0.3">
      <c r="M105"/>
      <c r="P105"/>
      <c r="Q105"/>
      <c r="R105"/>
    </row>
    <row r="106" spans="4:18" x14ac:dyDescent="0.3">
      <c r="P106"/>
      <c r="Q106"/>
      <c r="R106"/>
    </row>
    <row r="107" spans="4:18" x14ac:dyDescent="0.3">
      <c r="L107"/>
      <c r="P107"/>
      <c r="Q107"/>
      <c r="R107"/>
    </row>
    <row r="108" spans="4:18" x14ac:dyDescent="0.3">
      <c r="L108"/>
      <c r="P108"/>
      <c r="Q108"/>
      <c r="R108"/>
    </row>
    <row r="109" spans="4:18" x14ac:dyDescent="0.3">
      <c r="L109"/>
      <c r="O109"/>
      <c r="P109"/>
      <c r="Q109"/>
    </row>
    <row r="110" spans="4:18" x14ac:dyDescent="0.3">
      <c r="D110"/>
      <c r="E110"/>
      <c r="F110"/>
      <c r="G110"/>
      <c r="L110"/>
      <c r="O110"/>
      <c r="P110"/>
      <c r="Q110"/>
    </row>
    <row r="111" spans="4:18" x14ac:dyDescent="0.3">
      <c r="D111"/>
      <c r="E111"/>
      <c r="F111"/>
      <c r="G111"/>
      <c r="L111"/>
      <c r="O111"/>
      <c r="P111"/>
      <c r="Q111"/>
    </row>
    <row r="112" spans="4:18" x14ac:dyDescent="0.3">
      <c r="D112"/>
      <c r="E112"/>
      <c r="F112"/>
      <c r="G112"/>
      <c r="L112"/>
      <c r="O112"/>
      <c r="P112"/>
      <c r="Q112"/>
    </row>
    <row r="113" spans="4:17" x14ac:dyDescent="0.3">
      <c r="O113"/>
      <c r="P113"/>
      <c r="Q113"/>
    </row>
    <row r="114" spans="4:17" x14ac:dyDescent="0.3">
      <c r="D114" s="3" t="s">
        <v>2</v>
      </c>
      <c r="E114" t="s">
        <v>88</v>
      </c>
      <c r="O114"/>
      <c r="P114"/>
      <c r="Q114"/>
    </row>
    <row r="115" spans="4:17" x14ac:dyDescent="0.3">
      <c r="D115" s="3" t="s">
        <v>75</v>
      </c>
      <c r="E115" t="s">
        <v>88</v>
      </c>
      <c r="O115"/>
      <c r="P115"/>
      <c r="Q115"/>
    </row>
    <row r="116" spans="4:17" x14ac:dyDescent="0.3">
      <c r="D116" s="3" t="s">
        <v>79</v>
      </c>
      <c r="E116" t="s">
        <v>88</v>
      </c>
      <c r="O116"/>
      <c r="P116"/>
      <c r="Q116"/>
    </row>
    <row r="117" spans="4:17" x14ac:dyDescent="0.3">
      <c r="O117"/>
      <c r="P117"/>
      <c r="Q117"/>
    </row>
    <row r="118" spans="4:17" x14ac:dyDescent="0.3">
      <c r="D118" s="3" t="s">
        <v>6</v>
      </c>
      <c r="E118" t="s">
        <v>89</v>
      </c>
      <c r="F118" t="s">
        <v>90</v>
      </c>
      <c r="G118" t="s">
        <v>91</v>
      </c>
      <c r="I118" s="3" t="s">
        <v>6</v>
      </c>
      <c r="J118" t="s">
        <v>90</v>
      </c>
      <c r="K118" t="s">
        <v>91</v>
      </c>
      <c r="O118"/>
      <c r="P118"/>
      <c r="Q118"/>
    </row>
    <row r="119" spans="4:17" x14ac:dyDescent="0.3">
      <c r="D119" s="16" t="s">
        <v>184</v>
      </c>
      <c r="E119"/>
      <c r="F119" s="33">
        <v>4247868.5076810541</v>
      </c>
      <c r="G119">
        <v>43208092.582516462</v>
      </c>
      <c r="I119" s="27">
        <v>45947</v>
      </c>
      <c r="J119" s="48">
        <v>4247868.5076810541</v>
      </c>
      <c r="K119" s="14">
        <v>43208092.582516462</v>
      </c>
      <c r="O119"/>
      <c r="P119"/>
      <c r="Q119"/>
    </row>
    <row r="120" spans="4:17" x14ac:dyDescent="0.3">
      <c r="D120" s="16">
        <v>985</v>
      </c>
      <c r="E120">
        <v>3532</v>
      </c>
      <c r="F120" s="33">
        <v>3229.7000731528897</v>
      </c>
      <c r="G120">
        <v>38756.400877834676</v>
      </c>
      <c r="I120" s="27">
        <v>45948</v>
      </c>
      <c r="J120" s="48">
        <v>52326.261887344546</v>
      </c>
      <c r="K120" s="14">
        <v>659882.95537673729</v>
      </c>
      <c r="P120"/>
      <c r="Q120"/>
    </row>
    <row r="121" spans="4:17" x14ac:dyDescent="0.3">
      <c r="D121" s="16">
        <v>986</v>
      </c>
      <c r="E121">
        <v>4356</v>
      </c>
      <c r="F121" s="33">
        <v>3983.1748354059987</v>
      </c>
      <c r="G121">
        <v>47798.098024871986</v>
      </c>
      <c r="I121" s="27">
        <v>45950</v>
      </c>
      <c r="J121" s="48">
        <v>47101.316752011713</v>
      </c>
      <c r="K121" s="14">
        <v>572781.63862472575</v>
      </c>
      <c r="P121"/>
      <c r="Q121"/>
    </row>
    <row r="122" spans="4:17" x14ac:dyDescent="0.3">
      <c r="D122" s="16">
        <v>987</v>
      </c>
      <c r="E122">
        <v>7867</v>
      </c>
      <c r="F122" s="33">
        <v>7193.6722750548652</v>
      </c>
      <c r="G122">
        <v>86324.067300658382</v>
      </c>
      <c r="I122" s="27">
        <v>45951</v>
      </c>
      <c r="J122" s="48">
        <v>77286.027798098046</v>
      </c>
      <c r="K122" s="14">
        <v>857900.51207022695</v>
      </c>
      <c r="P122"/>
      <c r="Q122"/>
    </row>
    <row r="123" spans="4:17" x14ac:dyDescent="0.3">
      <c r="D123" s="16">
        <v>988</v>
      </c>
      <c r="E123">
        <v>3112</v>
      </c>
      <c r="F123" s="33">
        <v>2845.6474030724216</v>
      </c>
      <c r="G123">
        <v>34147.768836869058</v>
      </c>
      <c r="I123" s="27">
        <v>45952</v>
      </c>
      <c r="J123" s="48">
        <v>77123.262618873443</v>
      </c>
      <c r="K123" s="14">
        <v>775791.88002926123</v>
      </c>
      <c r="P123"/>
      <c r="Q123"/>
    </row>
    <row r="124" spans="4:17" x14ac:dyDescent="0.3">
      <c r="D124" s="16">
        <v>989</v>
      </c>
      <c r="E124">
        <v>34960</v>
      </c>
      <c r="F124" s="33">
        <v>31967.812728602781</v>
      </c>
      <c r="G124">
        <v>415581.56547183613</v>
      </c>
      <c r="I124" s="27">
        <v>45953</v>
      </c>
      <c r="J124" s="48">
        <v>41251.82882223848</v>
      </c>
      <c r="K124" s="14">
        <v>412518.28822238487</v>
      </c>
      <c r="P124"/>
      <c r="Q124"/>
    </row>
    <row r="125" spans="4:17" x14ac:dyDescent="0.3">
      <c r="D125" s="16">
        <v>990</v>
      </c>
      <c r="E125">
        <v>3397</v>
      </c>
      <c r="F125" s="33">
        <v>3106.2545720555963</v>
      </c>
      <c r="G125">
        <v>37275.054864667152</v>
      </c>
      <c r="I125" s="27">
        <v>45954</v>
      </c>
      <c r="J125" s="48">
        <v>44754.937820043895</v>
      </c>
      <c r="K125" s="14">
        <v>447549.37820043892</v>
      </c>
      <c r="P125"/>
      <c r="Q125"/>
    </row>
    <row r="126" spans="4:17" x14ac:dyDescent="0.3">
      <c r="D126" s="16">
        <v>991</v>
      </c>
      <c r="E126">
        <v>20118</v>
      </c>
      <c r="F126" s="33">
        <v>18396.122896854427</v>
      </c>
      <c r="G126">
        <v>220753.47476225311</v>
      </c>
      <c r="I126" s="27">
        <v>45955</v>
      </c>
      <c r="J126" s="48">
        <v>46776.700804681794</v>
      </c>
      <c r="K126" s="14">
        <v>467767.00804681785</v>
      </c>
      <c r="P126"/>
      <c r="Q126"/>
    </row>
    <row r="127" spans="4:17" x14ac:dyDescent="0.3">
      <c r="D127" s="16">
        <v>992</v>
      </c>
      <c r="E127">
        <v>21555</v>
      </c>
      <c r="F127" s="33">
        <v>19710.131675201173</v>
      </c>
      <c r="G127">
        <v>236521.58010241407</v>
      </c>
      <c r="I127" s="27" t="s">
        <v>28</v>
      </c>
      <c r="J127" s="48">
        <v>4634488.8441843465</v>
      </c>
      <c r="K127" s="14">
        <v>47402284.243087061</v>
      </c>
      <c r="P127"/>
      <c r="Q127"/>
    </row>
    <row r="128" spans="4:17" x14ac:dyDescent="0.3">
      <c r="D128" s="16">
        <v>993</v>
      </c>
      <c r="E128">
        <v>1563</v>
      </c>
      <c r="F128" s="33">
        <v>1429.2245793708853</v>
      </c>
      <c r="G128">
        <v>17150.694952450624</v>
      </c>
      <c r="I128"/>
      <c r="J128"/>
      <c r="K128"/>
      <c r="P128"/>
      <c r="Q128"/>
    </row>
    <row r="129" spans="4:17" x14ac:dyDescent="0.3">
      <c r="D129" s="16">
        <v>994</v>
      </c>
      <c r="E129">
        <v>8274</v>
      </c>
      <c r="F129" s="33">
        <v>7565.8376005852242</v>
      </c>
      <c r="G129">
        <v>98355.888807607917</v>
      </c>
      <c r="I129"/>
      <c r="J129"/>
      <c r="K129"/>
      <c r="P129"/>
      <c r="Q129"/>
    </row>
    <row r="130" spans="4:17" x14ac:dyDescent="0.3">
      <c r="D130" s="16">
        <v>995</v>
      </c>
      <c r="E130">
        <v>19667</v>
      </c>
      <c r="F130" s="33">
        <v>17983.723482077545</v>
      </c>
      <c r="G130">
        <v>215804.68178493052</v>
      </c>
      <c r="I130"/>
      <c r="J130"/>
      <c r="K130"/>
      <c r="P130"/>
      <c r="Q130"/>
    </row>
    <row r="131" spans="4:17" x14ac:dyDescent="0.3">
      <c r="D131" s="16">
        <v>996</v>
      </c>
      <c r="E131">
        <v>17569</v>
      </c>
      <c r="F131" s="33">
        <v>16065.288953913681</v>
      </c>
      <c r="G131">
        <v>192783.46744696418</v>
      </c>
      <c r="I131"/>
      <c r="J131"/>
      <c r="K131"/>
      <c r="O131"/>
      <c r="P131"/>
      <c r="Q131"/>
    </row>
    <row r="132" spans="4:17" x14ac:dyDescent="0.3">
      <c r="D132" s="16">
        <v>997</v>
      </c>
      <c r="E132">
        <v>9264</v>
      </c>
      <c r="F132" s="33">
        <v>8471.1046086320421</v>
      </c>
      <c r="G132">
        <v>101653.2553035845</v>
      </c>
      <c r="I132"/>
      <c r="J132"/>
      <c r="K132"/>
      <c r="L132"/>
      <c r="M132"/>
      <c r="N132"/>
    </row>
    <row r="133" spans="4:17" x14ac:dyDescent="0.3">
      <c r="D133" s="16">
        <v>998</v>
      </c>
      <c r="E133">
        <v>38020</v>
      </c>
      <c r="F133" s="33">
        <v>34765.910753474767</v>
      </c>
      <c r="G133">
        <v>347659.10753474769</v>
      </c>
      <c r="I133"/>
      <c r="J133"/>
      <c r="K133"/>
    </row>
    <row r="134" spans="4:17" x14ac:dyDescent="0.3">
      <c r="D134" s="16">
        <v>999</v>
      </c>
      <c r="E134">
        <v>37349</v>
      </c>
      <c r="F134" s="33">
        <v>34152.340892465254</v>
      </c>
      <c r="G134">
        <v>341523.40892465255</v>
      </c>
      <c r="I134"/>
      <c r="J134"/>
      <c r="K134"/>
    </row>
    <row r="135" spans="4:17" x14ac:dyDescent="0.3">
      <c r="D135" s="16">
        <v>1000</v>
      </c>
      <c r="E135">
        <v>1662</v>
      </c>
      <c r="F135" s="33">
        <v>1519.751280175567</v>
      </c>
      <c r="G135">
        <v>19756.766642282371</v>
      </c>
      <c r="I135"/>
      <c r="J135"/>
      <c r="K135"/>
    </row>
    <row r="136" spans="4:17" x14ac:dyDescent="0.3">
      <c r="D136" s="16">
        <v>1001</v>
      </c>
      <c r="E136">
        <v>45331</v>
      </c>
      <c r="F136" s="33">
        <v>41451.170446232631</v>
      </c>
      <c r="G136">
        <v>414511.70446232631</v>
      </c>
      <c r="I136"/>
      <c r="J136"/>
      <c r="K136"/>
    </row>
    <row r="137" spans="4:17" x14ac:dyDescent="0.3">
      <c r="D137" s="16">
        <v>1002</v>
      </c>
      <c r="E137">
        <v>10153</v>
      </c>
      <c r="F137" s="33">
        <v>9284.0160936356988</v>
      </c>
      <c r="G137">
        <v>92840.160936356988</v>
      </c>
      <c r="I137"/>
      <c r="J137"/>
      <c r="K137"/>
    </row>
    <row r="138" spans="4:17" x14ac:dyDescent="0.3">
      <c r="D138" s="16">
        <v>1003</v>
      </c>
      <c r="E138">
        <v>31733</v>
      </c>
      <c r="F138" s="33">
        <v>29017.008046817853</v>
      </c>
      <c r="G138">
        <v>290170.08046817855</v>
      </c>
      <c r="I138"/>
      <c r="J138"/>
      <c r="K138"/>
    </row>
    <row r="139" spans="4:17" x14ac:dyDescent="0.3">
      <c r="D139" s="16">
        <v>1004</v>
      </c>
      <c r="E139">
        <v>3227</v>
      </c>
      <c r="F139" s="33">
        <v>2950.8046817849308</v>
      </c>
      <c r="G139">
        <v>29508.04681784931</v>
      </c>
      <c r="I139"/>
      <c r="J139"/>
      <c r="K139"/>
    </row>
    <row r="140" spans="4:17" x14ac:dyDescent="0.3">
      <c r="D140" s="16">
        <v>1005</v>
      </c>
      <c r="E140">
        <v>7126</v>
      </c>
      <c r="F140" s="33">
        <v>6516.0936356986103</v>
      </c>
      <c r="G140">
        <v>65160.936356986102</v>
      </c>
      <c r="I140"/>
      <c r="J140"/>
      <c r="K140"/>
    </row>
    <row r="141" spans="4:17" x14ac:dyDescent="0.3">
      <c r="D141" s="16">
        <v>1006</v>
      </c>
      <c r="E141">
        <v>2200</v>
      </c>
      <c r="F141" s="33">
        <v>2011.704462326262</v>
      </c>
      <c r="G141">
        <v>20117.04462326262</v>
      </c>
      <c r="I141"/>
      <c r="J141"/>
      <c r="K141"/>
    </row>
    <row r="142" spans="4:17" x14ac:dyDescent="0.3">
      <c r="D142" s="16">
        <v>1007</v>
      </c>
      <c r="E142">
        <v>2372</v>
      </c>
      <c r="F142" s="33">
        <v>2168.9831748354063</v>
      </c>
      <c r="G142">
        <v>21689.831748354063</v>
      </c>
      <c r="I142"/>
      <c r="J142"/>
      <c r="K142"/>
    </row>
    <row r="143" spans="4:17" x14ac:dyDescent="0.3">
      <c r="D143" s="16">
        <v>1008</v>
      </c>
      <c r="E143">
        <v>10156</v>
      </c>
      <c r="F143" s="33">
        <v>9286.7593269934168</v>
      </c>
      <c r="G143">
        <v>92867.593269934165</v>
      </c>
      <c r="I143"/>
      <c r="J143"/>
      <c r="K143"/>
    </row>
    <row r="144" spans="4:17" x14ac:dyDescent="0.3">
      <c r="D144" s="16">
        <v>1009</v>
      </c>
      <c r="E144">
        <v>27090</v>
      </c>
      <c r="F144" s="33">
        <v>24771.3972201902</v>
      </c>
      <c r="G144">
        <v>247713.97220190201</v>
      </c>
      <c r="I144"/>
      <c r="J144"/>
      <c r="K144"/>
    </row>
    <row r="145" spans="4:7" x14ac:dyDescent="0.3">
      <c r="D145" s="16">
        <v>1010</v>
      </c>
      <c r="E145">
        <v>10885</v>
      </c>
      <c r="F145" s="33">
        <v>9953.3650329188004</v>
      </c>
      <c r="G145">
        <v>99533.650329188007</v>
      </c>
    </row>
    <row r="146" spans="4:7" x14ac:dyDescent="0.3">
      <c r="D146" s="16">
        <v>1011</v>
      </c>
      <c r="E146">
        <v>15623</v>
      </c>
      <c r="F146" s="33">
        <v>14285.844915874179</v>
      </c>
      <c r="G146">
        <v>142858.4491587418</v>
      </c>
    </row>
    <row r="147" spans="4:7" x14ac:dyDescent="0.3">
      <c r="D147" s="16">
        <v>1012</v>
      </c>
      <c r="E147">
        <v>15938</v>
      </c>
      <c r="F147" s="33">
        <v>14573.884418434529</v>
      </c>
      <c r="G147">
        <v>145738.84418434527</v>
      </c>
    </row>
    <row r="148" spans="4:7" x14ac:dyDescent="0.3">
      <c r="D148" s="16">
        <v>1013</v>
      </c>
      <c r="E148">
        <v>3756</v>
      </c>
      <c r="F148" s="33">
        <v>3434.5281638624729</v>
      </c>
      <c r="G148">
        <v>34345.281638624729</v>
      </c>
    </row>
    <row r="149" spans="4:7" x14ac:dyDescent="0.3">
      <c r="D149" s="16">
        <v>1014</v>
      </c>
      <c r="E149">
        <v>4953</v>
      </c>
      <c r="F149" s="33">
        <v>4529.0782735918074</v>
      </c>
      <c r="G149">
        <v>45290.782735918074</v>
      </c>
    </row>
    <row r="150" spans="4:7" x14ac:dyDescent="0.3">
      <c r="D150" s="16" t="s">
        <v>28</v>
      </c>
      <c r="E150">
        <v>422808</v>
      </c>
      <c r="F150" s="33">
        <v>4634488.8441843456</v>
      </c>
      <c r="G150">
        <v>47402284.243087046</v>
      </c>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row r="223" spans="4:7" x14ac:dyDescent="0.3">
      <c r="D223"/>
      <c r="E223"/>
      <c r="F223"/>
      <c r="G223"/>
    </row>
    <row r="224" spans="4:7" x14ac:dyDescent="0.3">
      <c r="D224"/>
      <c r="E224"/>
      <c r="F224"/>
      <c r="G224"/>
    </row>
    <row r="225" spans="4:7" x14ac:dyDescent="0.3">
      <c r="D225"/>
      <c r="E225"/>
      <c r="F225"/>
      <c r="G225"/>
    </row>
    <row r="226" spans="4:7" x14ac:dyDescent="0.3">
      <c r="D226"/>
      <c r="E226"/>
      <c r="F226"/>
      <c r="G226"/>
    </row>
    <row r="227" spans="4:7" x14ac:dyDescent="0.3">
      <c r="D227"/>
      <c r="E227"/>
      <c r="F227"/>
      <c r="G227"/>
    </row>
    <row r="228" spans="4:7" x14ac:dyDescent="0.3">
      <c r="D228"/>
      <c r="E228"/>
      <c r="F228"/>
      <c r="G228"/>
    </row>
    <row r="229" spans="4:7" x14ac:dyDescent="0.3">
      <c r="D229"/>
      <c r="E229"/>
      <c r="F229"/>
      <c r="G229"/>
    </row>
    <row r="230" spans="4:7" x14ac:dyDescent="0.3">
      <c r="D230"/>
      <c r="E230"/>
      <c r="F230"/>
      <c r="G230"/>
    </row>
    <row r="231" spans="4:7" x14ac:dyDescent="0.3">
      <c r="D231"/>
      <c r="E231"/>
      <c r="F231"/>
      <c r="G231"/>
    </row>
    <row r="232" spans="4:7" x14ac:dyDescent="0.3">
      <c r="D232"/>
      <c r="E232"/>
      <c r="F232"/>
      <c r="G232"/>
    </row>
    <row r="233" spans="4:7" x14ac:dyDescent="0.3">
      <c r="D233"/>
      <c r="E233"/>
      <c r="F233"/>
      <c r="G233"/>
    </row>
    <row r="234" spans="4:7" x14ac:dyDescent="0.3">
      <c r="D234"/>
      <c r="E234"/>
      <c r="F234"/>
      <c r="G234"/>
    </row>
    <row r="235" spans="4:7" x14ac:dyDescent="0.3">
      <c r="D235"/>
      <c r="E235"/>
      <c r="F235"/>
      <c r="G235"/>
    </row>
    <row r="236" spans="4:7" x14ac:dyDescent="0.3">
      <c r="D236"/>
      <c r="E236"/>
      <c r="F236"/>
      <c r="G236"/>
    </row>
    <row r="237" spans="4:7" x14ac:dyDescent="0.3">
      <c r="D237"/>
      <c r="E237"/>
      <c r="F237"/>
      <c r="G237"/>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2"/>
  <sheetViews>
    <sheetView topLeftCell="A14" zoomScale="122" zoomScaleNormal="165" workbookViewId="0">
      <selection activeCell="D32" sqref="D32"/>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9.88671875" bestFit="1" customWidth="1"/>
    <col min="13" max="13" width="13" bestFit="1" customWidth="1"/>
    <col min="14" max="14" width="10.88671875" bestFit="1" customWidth="1"/>
    <col min="15" max="15" width="10.77734375" bestFit="1" customWidth="1"/>
    <col min="16" max="16" width="13.886718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x14ac:dyDescent="0.3">
      <c r="A3" s="90">
        <v>45947</v>
      </c>
      <c r="B3" s="87" t="s">
        <v>99</v>
      </c>
      <c r="C3" s="87" t="s">
        <v>98</v>
      </c>
      <c r="D3" s="88"/>
      <c r="E3" s="88"/>
      <c r="F3" s="88"/>
      <c r="G3" s="88">
        <f>D3*E3</f>
        <v>0</v>
      </c>
      <c r="H3" s="11">
        <v>0</v>
      </c>
      <c r="I3" s="89">
        <v>0</v>
      </c>
    </row>
    <row r="4" spans="1:16" x14ac:dyDescent="0.3">
      <c r="A4" s="90">
        <v>45947</v>
      </c>
      <c r="B4" s="87" t="s">
        <v>152</v>
      </c>
      <c r="C4" s="87" t="s">
        <v>98</v>
      </c>
      <c r="D4" s="11"/>
      <c r="E4" s="11"/>
      <c r="F4" s="11"/>
      <c r="G4" s="11">
        <f>D4*E4</f>
        <v>0</v>
      </c>
      <c r="H4" s="11">
        <v>0</v>
      </c>
      <c r="I4" s="92">
        <v>87620</v>
      </c>
    </row>
    <row r="5" spans="1:16" ht="15" thickBot="1" x14ac:dyDescent="0.35">
      <c r="A5" s="90">
        <v>45947</v>
      </c>
      <c r="B5" s="87" t="s">
        <v>174</v>
      </c>
      <c r="C5" s="87" t="s">
        <v>98</v>
      </c>
      <c r="D5" s="11"/>
      <c r="E5" s="11"/>
      <c r="F5" s="11"/>
      <c r="G5" s="11">
        <f t="shared" ref="G5:G12" si="0">D5*E5</f>
        <v>0</v>
      </c>
      <c r="H5" s="11"/>
      <c r="I5" s="92">
        <v>456400</v>
      </c>
    </row>
    <row r="6" spans="1:16" ht="15" thickTop="1" x14ac:dyDescent="0.3">
      <c r="A6" s="90">
        <v>45947</v>
      </c>
      <c r="B6" s="104" t="s">
        <v>182</v>
      </c>
      <c r="C6" s="87" t="s">
        <v>98</v>
      </c>
      <c r="D6" s="11"/>
      <c r="E6" s="11"/>
      <c r="F6" s="11"/>
      <c r="G6" s="11">
        <f t="shared" si="0"/>
        <v>0</v>
      </c>
      <c r="H6" s="11"/>
      <c r="I6" s="11">
        <v>0</v>
      </c>
      <c r="K6" s="17">
        <f>SUM(Table3[Total])</f>
        <v>3931610</v>
      </c>
      <c r="L6" s="3" t="s">
        <v>2</v>
      </c>
      <c r="M6" t="s">
        <v>88</v>
      </c>
    </row>
    <row r="7" spans="1:16"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403200</v>
      </c>
      <c r="P19" s="14">
        <v>-214875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403200</v>
      </c>
      <c r="P20" s="14">
        <v>-214875</v>
      </c>
    </row>
    <row r="21" spans="1:16" x14ac:dyDescent="0.3">
      <c r="A21" s="1">
        <v>45951</v>
      </c>
      <c r="B21" t="s">
        <v>97</v>
      </c>
      <c r="D21" s="11"/>
      <c r="E21" s="11"/>
      <c r="F21" s="11"/>
      <c r="G21" s="11">
        <f t="shared" si="4"/>
        <v>0</v>
      </c>
      <c r="H21" s="11">
        <f>SUMIFS(Table14[Debit], Table14[Date], Table3[[#This Row],[Date]], Table14[Party], Table3[[#This Row],[Party Name]])</f>
        <v>403200</v>
      </c>
      <c r="I21" s="11">
        <f>(D21*E21)-Table3[[#This Row],[Paid]]</f>
        <v>-403200</v>
      </c>
      <c r="L21" s="27">
        <v>45952</v>
      </c>
      <c r="M21" s="14"/>
      <c r="N21" s="14">
        <v>0</v>
      </c>
      <c r="O21" s="14">
        <v>394675</v>
      </c>
      <c r="P21" s="14">
        <v>-394675</v>
      </c>
    </row>
    <row r="22" spans="1:16" x14ac:dyDescent="0.3">
      <c r="A22" s="1">
        <v>45954</v>
      </c>
      <c r="B22" t="s">
        <v>97</v>
      </c>
      <c r="C22" t="s">
        <v>280</v>
      </c>
      <c r="D22" s="11">
        <v>311</v>
      </c>
      <c r="E22" s="11">
        <v>810</v>
      </c>
      <c r="F22" s="11">
        <v>52060</v>
      </c>
      <c r="G22" s="11">
        <f t="shared" ref="G22:G25" si="5">D22*E22</f>
        <v>251910</v>
      </c>
      <c r="H22" s="11">
        <f>SUMIFS(Table14[Debit], Table14[Date], Table3[[#This Row],[Date]], Table14[Party], Table3[[#This Row],[Party Name]])</f>
        <v>252060</v>
      </c>
      <c r="I22" s="11">
        <f>(D22*E22)-Table3[[#This Row],[Paid]]</f>
        <v>-150</v>
      </c>
      <c r="L22" s="47" t="s">
        <v>106</v>
      </c>
      <c r="M22" s="14"/>
      <c r="N22" s="14">
        <v>0</v>
      </c>
      <c r="O22" s="14">
        <v>394675</v>
      </c>
      <c r="P22" s="14">
        <v>-394675</v>
      </c>
    </row>
    <row r="23" spans="1:16" x14ac:dyDescent="0.3">
      <c r="A23" s="1">
        <v>45955</v>
      </c>
      <c r="B23" t="s">
        <v>97</v>
      </c>
      <c r="C23" t="s">
        <v>289</v>
      </c>
      <c r="D23" s="11">
        <v>266</v>
      </c>
      <c r="E23" s="11">
        <v>810</v>
      </c>
      <c r="F23" s="11">
        <v>50000</v>
      </c>
      <c r="G23" s="11">
        <f t="shared" si="5"/>
        <v>215460</v>
      </c>
      <c r="H23" s="11"/>
      <c r="I23" s="11">
        <f>(D23*E23)-Table3[[#This Row],[Paid]]</f>
        <v>215460</v>
      </c>
      <c r="L23" s="27">
        <v>45953</v>
      </c>
      <c r="M23" s="14">
        <v>262</v>
      </c>
      <c r="N23" s="14">
        <v>212220</v>
      </c>
      <c r="O23" s="14">
        <v>295250</v>
      </c>
      <c r="P23" s="14">
        <v>-83030</v>
      </c>
    </row>
    <row r="24" spans="1:16" x14ac:dyDescent="0.3">
      <c r="A24" s="1">
        <v>45955</v>
      </c>
      <c r="B24" t="s">
        <v>97</v>
      </c>
      <c r="C24" t="s">
        <v>284</v>
      </c>
      <c r="D24" s="11">
        <v>417</v>
      </c>
      <c r="E24" s="11">
        <v>810</v>
      </c>
      <c r="F24" s="11">
        <v>72900</v>
      </c>
      <c r="G24" s="11">
        <f t="shared" si="5"/>
        <v>337770</v>
      </c>
      <c r="H24" s="11">
        <f>SUMIFS(Table14[Debit], Table14[Date], Table3[[#This Row],[Date]], Table14[Party], Table3[[#This Row],[Party Name]])</f>
        <v>326921</v>
      </c>
      <c r="I24" s="11">
        <f>(D24*E24)-Table3[[#This Row],[Paid]]</f>
        <v>10849</v>
      </c>
      <c r="L24" s="47" t="s">
        <v>258</v>
      </c>
      <c r="M24" s="14">
        <v>262</v>
      </c>
      <c r="N24" s="14">
        <v>212220</v>
      </c>
      <c r="O24" s="14">
        <v>295250</v>
      </c>
      <c r="P24" s="14">
        <v>-83030</v>
      </c>
    </row>
    <row r="25" spans="1:16" x14ac:dyDescent="0.3">
      <c r="A25" s="1">
        <v>45955</v>
      </c>
      <c r="B25" t="s">
        <v>152</v>
      </c>
      <c r="D25" s="11"/>
      <c r="E25" s="11"/>
      <c r="F25" s="11"/>
      <c r="G25" s="11">
        <f t="shared" si="5"/>
        <v>0</v>
      </c>
      <c r="H25" s="11">
        <f>SUMIFS(Table14[Debit], Table14[Date], Table3[[#This Row],[Date]], Table14[Party], Table3[[#This Row],[Party Name]])</f>
        <v>100000</v>
      </c>
      <c r="I25" s="11">
        <f>(D25*E25)-Table3[[#This Row],[Paid]]</f>
        <v>-100000</v>
      </c>
      <c r="L25" s="27">
        <v>45954</v>
      </c>
      <c r="M25" s="14">
        <v>311</v>
      </c>
      <c r="N25" s="14">
        <v>251910</v>
      </c>
      <c r="O25" s="14">
        <v>252060</v>
      </c>
      <c r="P25" s="14">
        <v>-150</v>
      </c>
    </row>
    <row r="26" spans="1:16" x14ac:dyDescent="0.3">
      <c r="A26" s="1">
        <v>45956</v>
      </c>
      <c r="B26" t="s">
        <v>97</v>
      </c>
      <c r="C26" t="s">
        <v>291</v>
      </c>
      <c r="D26" s="11">
        <v>333</v>
      </c>
      <c r="E26" s="11">
        <v>810</v>
      </c>
      <c r="F26" s="11">
        <v>53700</v>
      </c>
      <c r="G26" s="11">
        <f t="shared" ref="G26:G30" si="6">D26*E26</f>
        <v>269730</v>
      </c>
      <c r="H26" s="11"/>
      <c r="I26" s="11">
        <f>(D26*E26)-Table3[[#This Row],[Paid]]</f>
        <v>269730</v>
      </c>
      <c r="L26" s="47" t="s">
        <v>280</v>
      </c>
      <c r="M26" s="14">
        <v>311</v>
      </c>
      <c r="N26" s="14">
        <v>251910</v>
      </c>
      <c r="O26" s="14">
        <v>252060</v>
      </c>
      <c r="P26" s="14">
        <v>-150</v>
      </c>
    </row>
    <row r="27" spans="1:16" x14ac:dyDescent="0.3">
      <c r="A27" s="1">
        <v>45956</v>
      </c>
      <c r="B27" t="s">
        <v>97</v>
      </c>
      <c r="C27" t="s">
        <v>189</v>
      </c>
      <c r="D27" s="11">
        <v>439</v>
      </c>
      <c r="E27" s="11">
        <v>810</v>
      </c>
      <c r="F27" s="11">
        <v>76850</v>
      </c>
      <c r="G27" s="11">
        <f t="shared" si="6"/>
        <v>355590</v>
      </c>
      <c r="H27" s="11">
        <f>SUMIFS(Table14[Debit], Table14[Date], Table3[[#This Row],[Date]], Table14[Party], Table3[[#This Row],[Party Name]])</f>
        <v>130550</v>
      </c>
      <c r="I27" s="11">
        <f>(D27*E27)-Table3[[#This Row],[Paid]]</f>
        <v>225040</v>
      </c>
      <c r="L27" s="27">
        <v>45955</v>
      </c>
      <c r="M27" s="14">
        <v>683</v>
      </c>
      <c r="N27" s="14">
        <v>553230</v>
      </c>
      <c r="O27" s="14">
        <v>426921</v>
      </c>
      <c r="P27" s="14">
        <v>126309</v>
      </c>
    </row>
    <row r="28" spans="1:16" x14ac:dyDescent="0.3">
      <c r="A28" s="1">
        <v>45957</v>
      </c>
      <c r="B28" t="s">
        <v>97</v>
      </c>
      <c r="C28" t="s">
        <v>300</v>
      </c>
      <c r="D28" s="11">
        <v>277</v>
      </c>
      <c r="E28" s="11">
        <v>810</v>
      </c>
      <c r="F28" s="11">
        <v>45335</v>
      </c>
      <c r="G28" s="11">
        <f t="shared" si="6"/>
        <v>224370</v>
      </c>
      <c r="H28" s="11">
        <f>SUMIFS(Table14[Debit], Table14[Date], Table3[[#This Row],[Date]], Table14[Party], Table3[[#This Row],[Party Name]])</f>
        <v>45335</v>
      </c>
      <c r="I28" s="11">
        <f>(D28*E28)-Table3[[#This Row],[Paid]]</f>
        <v>179035</v>
      </c>
      <c r="L28" s="47" t="s">
        <v>106</v>
      </c>
      <c r="M28" s="14"/>
      <c r="N28" s="14">
        <v>0</v>
      </c>
      <c r="O28" s="14">
        <v>100000</v>
      </c>
      <c r="P28" s="14">
        <v>-100000</v>
      </c>
    </row>
    <row r="29" spans="1:16" x14ac:dyDescent="0.3">
      <c r="A29" s="1">
        <v>45958</v>
      </c>
      <c r="B29" t="s">
        <v>97</v>
      </c>
      <c r="C29" t="s">
        <v>219</v>
      </c>
      <c r="D29" s="11">
        <v>307</v>
      </c>
      <c r="E29" s="11">
        <v>810</v>
      </c>
      <c r="F29" s="11">
        <v>49850</v>
      </c>
      <c r="G29" s="11">
        <f t="shared" si="6"/>
        <v>248670</v>
      </c>
      <c r="H29" s="11">
        <f>SUMIFS(Table14[Debit], Table14[Date], Table3[[#This Row],[Date]], Table14[Party], Table3[[#This Row],[Party Name]])</f>
        <v>399850</v>
      </c>
      <c r="I29" s="11">
        <f>(D29*E29)-Table3[[#This Row],[Paid]]</f>
        <v>-151180</v>
      </c>
      <c r="K29" s="14"/>
      <c r="L29" s="47" t="s">
        <v>289</v>
      </c>
      <c r="M29" s="14">
        <v>266</v>
      </c>
      <c r="N29" s="14">
        <v>215460</v>
      </c>
      <c r="O29" s="14"/>
      <c r="P29" s="14">
        <v>215460</v>
      </c>
    </row>
    <row r="30" spans="1:16" x14ac:dyDescent="0.3">
      <c r="A30" s="1"/>
      <c r="D30" s="11"/>
      <c r="E30" s="11"/>
      <c r="F30" s="11"/>
      <c r="G30" s="11">
        <f t="shared" si="6"/>
        <v>0</v>
      </c>
      <c r="H30" s="11"/>
      <c r="I30" s="11">
        <f>(D30*E30)-Table3[[#This Row],[Paid]]</f>
        <v>0</v>
      </c>
      <c r="L30" s="47" t="s">
        <v>284</v>
      </c>
      <c r="M30" s="14">
        <v>417</v>
      </c>
      <c r="N30" s="14">
        <v>337770</v>
      </c>
      <c r="O30" s="14">
        <v>326921</v>
      </c>
      <c r="P30" s="14">
        <v>10849</v>
      </c>
    </row>
    <row r="31" spans="1:16" x14ac:dyDescent="0.3">
      <c r="A31" s="1"/>
      <c r="D31" s="14"/>
      <c r="E31" s="14"/>
      <c r="F31" s="14"/>
      <c r="G31" s="14">
        <f>SUBTOTAL(109,Table3[Total])</f>
        <v>3931610</v>
      </c>
      <c r="H31" s="14">
        <f>SUBTOTAL(109,Table3[Paid])</f>
        <v>3098716</v>
      </c>
      <c r="I31" s="14">
        <f>SUBTOTAL(109,Table3[balance])</f>
        <v>3349195</v>
      </c>
      <c r="L31" s="27" t="s">
        <v>28</v>
      </c>
      <c r="M31" s="14">
        <v>3631</v>
      </c>
      <c r="N31" s="14">
        <v>2833250</v>
      </c>
      <c r="O31" s="14">
        <v>2522981</v>
      </c>
      <c r="P31" s="14">
        <v>2826570</v>
      </c>
    </row>
    <row r="41" spans="12:12" x14ac:dyDescent="0.3">
      <c r="L41" s="14"/>
    </row>
    <row r="42" spans="12:12" x14ac:dyDescent="0.3">
      <c r="L42" s="14">
        <f>I2-Table3[[#Totals],[balance]]</f>
        <v>-1376914</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93"/>
  <sheetViews>
    <sheetView topLeftCell="A154" zoomScale="132" workbookViewId="0">
      <selection activeCell="B162" sqref="B162"/>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-102324</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7761986</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8660595</v>
      </c>
      <c r="M5" s="50" t="s">
        <v>111</v>
      </c>
      <c r="N5" s="51">
        <f>(SUMIFS(Table14[Credit],Table14[Mode],"Bank")-SUMIFS(Table14[Debit],Table14[Mode],"Bank")-SUMIFS(Table14[Withdrawal],Table14[Mode],"Transfer"))</f>
        <v>915930</v>
      </c>
      <c r="O5">
        <v>360000</v>
      </c>
    </row>
    <row r="6" spans="1:16" x14ac:dyDescent="0.3">
      <c r="A6" s="115">
        <v>45948</v>
      </c>
      <c r="B6" t="s">
        <v>97</v>
      </c>
      <c r="C6" s="11">
        <v>44000</v>
      </c>
      <c r="D6" s="11"/>
      <c r="E6" t="s">
        <v>190</v>
      </c>
      <c r="F6" s="116" t="s">
        <v>111</v>
      </c>
      <c r="J6" s="57" t="s">
        <v>43</v>
      </c>
      <c r="K6" s="58">
        <f>(K5-K4)</f>
        <v>898609</v>
      </c>
      <c r="M6" s="50" t="s">
        <v>112</v>
      </c>
      <c r="N6" s="51">
        <f>((SUMIFS(Table14[Credit],Table14[Mode],"Cash")-SUMIFS(Table14[Debit],Table14[Mode],"Cash"))+SUMIFS(Table14[Withdrawal],Table14[Party],"Cash",Table14[Mode],"Transfer"))</f>
        <v>-17321</v>
      </c>
      <c r="O6">
        <v>50000</v>
      </c>
    </row>
    <row r="7" spans="1:16" x14ac:dyDescent="0.3">
      <c r="A7" s="115">
        <v>45948</v>
      </c>
      <c r="B7" t="s">
        <v>191</v>
      </c>
      <c r="C7" s="11">
        <v>10000</v>
      </c>
      <c r="D7" s="11"/>
      <c r="E7" t="s">
        <v>192</v>
      </c>
      <c r="F7" s="116" t="s">
        <v>111</v>
      </c>
      <c r="M7" s="53" t="s">
        <v>5</v>
      </c>
      <c r="N7" s="54">
        <f>SUM(N5:N6)</f>
        <v>898609</v>
      </c>
      <c r="O7" s="95">
        <f>SUM(O5,O6)</f>
        <v>410000</v>
      </c>
      <c r="P7" s="14">
        <f>Table18[[#Totals],[amount]]-Table18[[#Totals],[Actual]]</f>
        <v>488609</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1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6" x14ac:dyDescent="0.3">
      <c r="A97" s="43">
        <v>45953</v>
      </c>
      <c r="B97" t="s">
        <v>50</v>
      </c>
      <c r="C97" s="11">
        <v>300</v>
      </c>
      <c r="D97" s="11"/>
      <c r="E97" t="s">
        <v>267</v>
      </c>
      <c r="F97" s="116" t="s">
        <v>111</v>
      </c>
    </row>
    <row r="98" spans="1:6" x14ac:dyDescent="0.3">
      <c r="A98" s="43">
        <v>45954</v>
      </c>
      <c r="B98" t="s">
        <v>54</v>
      </c>
      <c r="C98" s="11">
        <v>5311</v>
      </c>
      <c r="D98" s="11"/>
      <c r="E98" t="s">
        <v>231</v>
      </c>
      <c r="F98" s="116" t="s">
        <v>112</v>
      </c>
    </row>
    <row r="99" spans="1:6" x14ac:dyDescent="0.3">
      <c r="A99" s="43">
        <v>45954</v>
      </c>
      <c r="B99" t="s">
        <v>54</v>
      </c>
      <c r="C99" s="11">
        <v>1800</v>
      </c>
      <c r="D99" s="11"/>
      <c r="E99" t="s">
        <v>268</v>
      </c>
      <c r="F99" s="116" t="s">
        <v>111</v>
      </c>
    </row>
    <row r="100" spans="1:6" x14ac:dyDescent="0.3">
      <c r="A100" s="43">
        <v>45954</v>
      </c>
      <c r="B100" t="s">
        <v>55</v>
      </c>
      <c r="C100" s="11">
        <v>30000</v>
      </c>
      <c r="D100" s="11"/>
      <c r="E100" t="s">
        <v>269</v>
      </c>
      <c r="F100" s="116" t="s">
        <v>111</v>
      </c>
    </row>
    <row r="101" spans="1:6" x14ac:dyDescent="0.3">
      <c r="A101" s="43">
        <v>45954</v>
      </c>
      <c r="B101" t="s">
        <v>21</v>
      </c>
      <c r="C101" s="11"/>
      <c r="D101" s="11">
        <v>30000</v>
      </c>
      <c r="E101" t="s">
        <v>269</v>
      </c>
      <c r="F101" s="116" t="s">
        <v>111</v>
      </c>
    </row>
    <row r="102" spans="1:6" x14ac:dyDescent="0.3">
      <c r="A102" s="43">
        <v>45954</v>
      </c>
      <c r="B102" t="s">
        <v>52</v>
      </c>
      <c r="C102" s="11">
        <v>5000</v>
      </c>
      <c r="D102" s="11"/>
      <c r="E102" t="s">
        <v>270</v>
      </c>
      <c r="F102" s="116" t="s">
        <v>111</v>
      </c>
    </row>
    <row r="103" spans="1:6" x14ac:dyDescent="0.3">
      <c r="A103" s="43">
        <v>45954</v>
      </c>
      <c r="B103" t="s">
        <v>55</v>
      </c>
      <c r="C103" s="11">
        <v>6600</v>
      </c>
      <c r="D103" s="11"/>
      <c r="E103" t="s">
        <v>271</v>
      </c>
      <c r="F103" s="116" t="s">
        <v>111</v>
      </c>
    </row>
    <row r="104" spans="1:6" x14ac:dyDescent="0.3">
      <c r="A104" s="43">
        <v>45954</v>
      </c>
      <c r="B104" t="s">
        <v>55</v>
      </c>
      <c r="C104" s="11">
        <v>3500</v>
      </c>
      <c r="D104" s="11"/>
      <c r="E104" t="s">
        <v>272</v>
      </c>
      <c r="F104" s="116" t="s">
        <v>111</v>
      </c>
    </row>
    <row r="105" spans="1:6" x14ac:dyDescent="0.3">
      <c r="A105" s="43">
        <v>45954</v>
      </c>
      <c r="B105" t="s">
        <v>55</v>
      </c>
      <c r="C105" s="11">
        <v>800</v>
      </c>
      <c r="D105" s="11"/>
      <c r="E105" t="s">
        <v>273</v>
      </c>
      <c r="F105" s="116" t="s">
        <v>111</v>
      </c>
    </row>
    <row r="106" spans="1:6" x14ac:dyDescent="0.3">
      <c r="A106" s="43">
        <v>45954</v>
      </c>
      <c r="B106" t="s">
        <v>55</v>
      </c>
      <c r="C106" s="11">
        <v>1000</v>
      </c>
      <c r="D106" s="11"/>
      <c r="E106" t="s">
        <v>274</v>
      </c>
      <c r="F106" s="116" t="s">
        <v>111</v>
      </c>
    </row>
    <row r="107" spans="1:6" x14ac:dyDescent="0.3">
      <c r="A107" s="43">
        <v>45954</v>
      </c>
      <c r="B107" t="s">
        <v>21</v>
      </c>
      <c r="C107" s="11"/>
      <c r="D107" s="11">
        <v>10500</v>
      </c>
      <c r="F107" s="116" t="s">
        <v>111</v>
      </c>
    </row>
    <row r="108" spans="1:6" x14ac:dyDescent="0.3">
      <c r="A108" s="43">
        <v>45954</v>
      </c>
      <c r="B108" t="s">
        <v>55</v>
      </c>
      <c r="C108" s="11">
        <v>10500</v>
      </c>
      <c r="D108" s="11"/>
      <c r="E108" t="s">
        <v>275</v>
      </c>
      <c r="F108" s="116" t="s">
        <v>111</v>
      </c>
    </row>
    <row r="109" spans="1:6" x14ac:dyDescent="0.3">
      <c r="A109" s="43">
        <v>45954</v>
      </c>
      <c r="B109" t="s">
        <v>227</v>
      </c>
      <c r="C109" s="11"/>
      <c r="D109" s="11">
        <v>98000</v>
      </c>
      <c r="E109" t="s">
        <v>276</v>
      </c>
      <c r="F109" s="116" t="s">
        <v>111</v>
      </c>
    </row>
    <row r="110" spans="1:6" x14ac:dyDescent="0.3">
      <c r="A110" s="43">
        <v>45954</v>
      </c>
      <c r="B110" t="s">
        <v>277</v>
      </c>
      <c r="C110" s="11">
        <v>250000</v>
      </c>
      <c r="D110" s="11"/>
      <c r="E110" t="s">
        <v>278</v>
      </c>
      <c r="F110" s="116" t="s">
        <v>111</v>
      </c>
    </row>
    <row r="111" spans="1:6" x14ac:dyDescent="0.3">
      <c r="A111" s="43">
        <v>45954</v>
      </c>
      <c r="B111" t="s">
        <v>21</v>
      </c>
      <c r="C111" s="117"/>
      <c r="D111" s="117">
        <v>250000</v>
      </c>
      <c r="E111" t="s">
        <v>279</v>
      </c>
      <c r="F111" s="116" t="s">
        <v>111</v>
      </c>
    </row>
    <row r="112" spans="1:6" x14ac:dyDescent="0.3">
      <c r="A112" s="43">
        <v>45954</v>
      </c>
      <c r="B112" t="s">
        <v>97</v>
      </c>
      <c r="C112" s="117">
        <v>52060</v>
      </c>
      <c r="D112" s="117"/>
      <c r="E112" t="s">
        <v>280</v>
      </c>
      <c r="F112" s="116" t="s">
        <v>111</v>
      </c>
    </row>
    <row r="113" spans="1:6" x14ac:dyDescent="0.3">
      <c r="A113" s="43">
        <v>45954</v>
      </c>
      <c r="B113" t="s">
        <v>21</v>
      </c>
      <c r="C113" s="117"/>
      <c r="D113" s="117">
        <v>200000</v>
      </c>
      <c r="E113" t="s">
        <v>250</v>
      </c>
      <c r="F113" s="116" t="s">
        <v>111</v>
      </c>
    </row>
    <row r="114" spans="1:6" x14ac:dyDescent="0.3">
      <c r="A114" s="43">
        <v>45954</v>
      </c>
      <c r="B114" t="s">
        <v>97</v>
      </c>
      <c r="C114" s="11">
        <v>200000</v>
      </c>
      <c r="D114" s="11"/>
      <c r="E114" t="s">
        <v>250</v>
      </c>
      <c r="F114" s="116" t="s">
        <v>111</v>
      </c>
    </row>
    <row r="115" spans="1:6" x14ac:dyDescent="0.3">
      <c r="A115" s="43">
        <v>45955</v>
      </c>
      <c r="B115" t="s">
        <v>194</v>
      </c>
      <c r="C115" s="11">
        <v>600</v>
      </c>
      <c r="D115" s="11"/>
      <c r="F115" s="116" t="s">
        <v>111</v>
      </c>
    </row>
    <row r="116" spans="1:6" x14ac:dyDescent="0.3">
      <c r="A116" s="43">
        <v>45955</v>
      </c>
      <c r="B116" t="s">
        <v>50</v>
      </c>
      <c r="C116" s="11">
        <v>1420</v>
      </c>
      <c r="D116" s="11"/>
      <c r="F116" s="116" t="s">
        <v>112</v>
      </c>
    </row>
    <row r="117" spans="1:6" x14ac:dyDescent="0.3">
      <c r="A117" s="43">
        <v>45955</v>
      </c>
      <c r="B117" t="s">
        <v>97</v>
      </c>
      <c r="C117" s="11">
        <v>50000</v>
      </c>
      <c r="D117" s="11"/>
      <c r="E117" t="s">
        <v>281</v>
      </c>
      <c r="F117" s="116" t="s">
        <v>111</v>
      </c>
    </row>
    <row r="118" spans="1:6" x14ac:dyDescent="0.3">
      <c r="A118" s="43">
        <v>45955</v>
      </c>
      <c r="C118" s="11"/>
      <c r="D118" s="11"/>
      <c r="F118" s="116"/>
    </row>
    <row r="119" spans="1:6" x14ac:dyDescent="0.3">
      <c r="A119" s="43">
        <v>45955</v>
      </c>
      <c r="B119" t="s">
        <v>21</v>
      </c>
      <c r="C119" s="11"/>
      <c r="D119" s="11">
        <v>100000</v>
      </c>
      <c r="E119" t="s">
        <v>282</v>
      </c>
      <c r="F119" s="116" t="s">
        <v>111</v>
      </c>
    </row>
    <row r="120" spans="1:6" x14ac:dyDescent="0.3">
      <c r="A120" s="43">
        <v>45955</v>
      </c>
      <c r="B120" t="s">
        <v>116</v>
      </c>
      <c r="C120" s="11">
        <v>20000</v>
      </c>
      <c r="D120" s="11"/>
      <c r="E120" t="s">
        <v>283</v>
      </c>
      <c r="F120" s="116" t="s">
        <v>111</v>
      </c>
    </row>
    <row r="121" spans="1:6" x14ac:dyDescent="0.3">
      <c r="A121" s="43">
        <v>45955</v>
      </c>
      <c r="B121" t="s">
        <v>35</v>
      </c>
      <c r="C121" s="11"/>
      <c r="D121" s="11">
        <v>179000</v>
      </c>
      <c r="F121" s="116" t="s">
        <v>111</v>
      </c>
    </row>
    <row r="122" spans="1:6" x14ac:dyDescent="0.3">
      <c r="A122" s="43">
        <v>45955</v>
      </c>
      <c r="B122" t="s">
        <v>97</v>
      </c>
      <c r="C122" s="11">
        <v>72900</v>
      </c>
      <c r="D122" s="11"/>
      <c r="E122" t="s">
        <v>284</v>
      </c>
      <c r="F122" s="116" t="s">
        <v>111</v>
      </c>
    </row>
    <row r="123" spans="1:6" x14ac:dyDescent="0.3">
      <c r="A123" s="43">
        <v>45955</v>
      </c>
      <c r="B123" t="s">
        <v>222</v>
      </c>
      <c r="C123" s="11">
        <v>15000</v>
      </c>
      <c r="D123" s="11"/>
      <c r="E123" t="s">
        <v>223</v>
      </c>
      <c r="F123" s="116" t="s">
        <v>111</v>
      </c>
    </row>
    <row r="124" spans="1:6" x14ac:dyDescent="0.3">
      <c r="A124" s="43">
        <v>45955</v>
      </c>
      <c r="B124" t="s">
        <v>152</v>
      </c>
      <c r="C124" s="11">
        <v>100000</v>
      </c>
      <c r="D124" s="11"/>
      <c r="E124" t="s">
        <v>285</v>
      </c>
      <c r="F124" s="116" t="s">
        <v>111</v>
      </c>
    </row>
    <row r="125" spans="1:6" x14ac:dyDescent="0.3">
      <c r="A125" s="43">
        <v>45955</v>
      </c>
      <c r="B125" t="s">
        <v>212</v>
      </c>
      <c r="C125" s="11">
        <v>5600</v>
      </c>
      <c r="D125" s="11"/>
      <c r="E125" t="s">
        <v>220</v>
      </c>
      <c r="F125" s="116" t="s">
        <v>112</v>
      </c>
    </row>
    <row r="126" spans="1:6" x14ac:dyDescent="0.3">
      <c r="A126" s="43">
        <v>45955</v>
      </c>
      <c r="B126" t="s">
        <v>50</v>
      </c>
      <c r="C126" s="11">
        <v>420</v>
      </c>
      <c r="D126" s="11"/>
      <c r="E126" t="s">
        <v>286</v>
      </c>
      <c r="F126" s="116" t="s">
        <v>112</v>
      </c>
    </row>
    <row r="127" spans="1:6" x14ac:dyDescent="0.3">
      <c r="A127" s="43">
        <v>45955</v>
      </c>
      <c r="B127" t="s">
        <v>52</v>
      </c>
      <c r="C127" s="11"/>
      <c r="D127" s="11"/>
      <c r="E127" t="s">
        <v>225</v>
      </c>
      <c r="F127" s="116" t="s">
        <v>112</v>
      </c>
    </row>
    <row r="128" spans="1:6" x14ac:dyDescent="0.3">
      <c r="A128" s="43">
        <v>45955</v>
      </c>
      <c r="B128" t="s">
        <v>180</v>
      </c>
      <c r="C128" s="117"/>
      <c r="D128" s="117">
        <v>400000</v>
      </c>
      <c r="F128" s="116" t="s">
        <v>111</v>
      </c>
    </row>
    <row r="129" spans="1:6" x14ac:dyDescent="0.3">
      <c r="A129" s="43">
        <v>45955</v>
      </c>
      <c r="B129" t="s">
        <v>118</v>
      </c>
      <c r="C129" s="11">
        <v>100000</v>
      </c>
      <c r="D129" s="11"/>
      <c r="F129" s="116" t="s">
        <v>111</v>
      </c>
    </row>
    <row r="130" spans="1:6" x14ac:dyDescent="0.3">
      <c r="A130" s="43">
        <v>45955</v>
      </c>
      <c r="B130" t="s">
        <v>97</v>
      </c>
      <c r="C130" s="11">
        <v>204021</v>
      </c>
      <c r="D130" s="11"/>
      <c r="E130" t="s">
        <v>287</v>
      </c>
      <c r="F130" s="116" t="s">
        <v>111</v>
      </c>
    </row>
    <row r="131" spans="1:6" x14ac:dyDescent="0.3">
      <c r="A131" s="43">
        <v>45955</v>
      </c>
      <c r="B131" t="s">
        <v>55</v>
      </c>
      <c r="C131" s="11">
        <v>20000</v>
      </c>
      <c r="D131" s="11"/>
      <c r="E131" t="s">
        <v>288</v>
      </c>
      <c r="F131" s="116" t="s">
        <v>111</v>
      </c>
    </row>
    <row r="132" spans="1:6" x14ac:dyDescent="0.3">
      <c r="A132" s="43">
        <v>45956</v>
      </c>
      <c r="B132" t="s">
        <v>201</v>
      </c>
      <c r="C132" s="11"/>
      <c r="D132" s="11">
        <v>414511</v>
      </c>
      <c r="F132" s="116" t="s">
        <v>111</v>
      </c>
    </row>
    <row r="133" spans="1:6" x14ac:dyDescent="0.3">
      <c r="A133" s="43">
        <v>45956</v>
      </c>
      <c r="B133" t="s">
        <v>97</v>
      </c>
      <c r="C133" s="11">
        <v>53700</v>
      </c>
      <c r="D133" s="11"/>
      <c r="E133" t="s">
        <v>291</v>
      </c>
      <c r="F133" s="116" t="s">
        <v>111</v>
      </c>
    </row>
    <row r="134" spans="1:6" x14ac:dyDescent="0.3">
      <c r="A134" s="43">
        <v>45956</v>
      </c>
      <c r="B134" t="s">
        <v>97</v>
      </c>
      <c r="C134" s="11">
        <v>76850</v>
      </c>
      <c r="D134" s="11"/>
      <c r="E134" t="s">
        <v>189</v>
      </c>
      <c r="F134" s="116" t="s">
        <v>111</v>
      </c>
    </row>
    <row r="135" spans="1:6" x14ac:dyDescent="0.3">
      <c r="A135" s="43">
        <v>45956</v>
      </c>
      <c r="B135" t="s">
        <v>50</v>
      </c>
      <c r="C135" s="11">
        <v>2600</v>
      </c>
      <c r="D135" s="11"/>
      <c r="E135" t="s">
        <v>292</v>
      </c>
      <c r="F135" s="116" t="s">
        <v>111</v>
      </c>
    </row>
    <row r="136" spans="1:6" x14ac:dyDescent="0.3">
      <c r="A136" s="43">
        <v>45956</v>
      </c>
      <c r="B136" t="s">
        <v>52</v>
      </c>
      <c r="C136" s="11"/>
      <c r="D136" s="11"/>
      <c r="E136" t="s">
        <v>293</v>
      </c>
      <c r="F136" s="116" t="s">
        <v>111</v>
      </c>
    </row>
    <row r="137" spans="1:6" x14ac:dyDescent="0.3">
      <c r="A137" s="43">
        <v>45956</v>
      </c>
      <c r="B137" t="s">
        <v>55</v>
      </c>
      <c r="C137" s="11">
        <v>20000</v>
      </c>
      <c r="D137" s="11"/>
      <c r="E137" t="s">
        <v>288</v>
      </c>
      <c r="F137" s="116" t="s">
        <v>111</v>
      </c>
    </row>
    <row r="138" spans="1:6" x14ac:dyDescent="0.3">
      <c r="A138" s="43">
        <v>45956</v>
      </c>
      <c r="B138" t="s">
        <v>294</v>
      </c>
      <c r="C138" s="11">
        <v>80000</v>
      </c>
      <c r="D138" s="11"/>
      <c r="E138" t="s">
        <v>295</v>
      </c>
      <c r="F138" s="116" t="s">
        <v>111</v>
      </c>
    </row>
    <row r="139" spans="1:6" x14ac:dyDescent="0.3">
      <c r="A139" s="43">
        <v>45956</v>
      </c>
      <c r="B139" t="s">
        <v>296</v>
      </c>
      <c r="C139" s="11"/>
      <c r="D139" s="11">
        <v>300000</v>
      </c>
      <c r="E139" t="s">
        <v>297</v>
      </c>
      <c r="F139" s="116" t="s">
        <v>111</v>
      </c>
    </row>
    <row r="140" spans="1:6" x14ac:dyDescent="0.3">
      <c r="A140" s="43">
        <v>45956</v>
      </c>
      <c r="B140" t="s">
        <v>294</v>
      </c>
      <c r="C140" s="11">
        <v>300000</v>
      </c>
      <c r="D140" s="11"/>
      <c r="E140" t="s">
        <v>298</v>
      </c>
      <c r="F140" s="116" t="s">
        <v>111</v>
      </c>
    </row>
    <row r="141" spans="1:6" x14ac:dyDescent="0.3">
      <c r="A141" s="43">
        <v>45957</v>
      </c>
      <c r="B141" t="s">
        <v>52</v>
      </c>
      <c r="C141" s="11"/>
      <c r="D141" s="11"/>
      <c r="E141" t="s">
        <v>299</v>
      </c>
      <c r="F141" s="116" t="s">
        <v>111</v>
      </c>
    </row>
    <row r="142" spans="1:6" x14ac:dyDescent="0.3">
      <c r="A142" s="43">
        <v>45957</v>
      </c>
      <c r="B142" t="s">
        <v>52</v>
      </c>
      <c r="C142" s="11"/>
      <c r="D142" s="11"/>
      <c r="E142" t="s">
        <v>192</v>
      </c>
      <c r="F142" s="116" t="s">
        <v>111</v>
      </c>
    </row>
    <row r="143" spans="1:6" x14ac:dyDescent="0.3">
      <c r="A143" s="43">
        <v>45957</v>
      </c>
      <c r="B143" t="s">
        <v>97</v>
      </c>
      <c r="C143" s="11">
        <v>45335</v>
      </c>
      <c r="D143" s="11"/>
      <c r="E143" t="s">
        <v>300</v>
      </c>
      <c r="F143" s="116" t="s">
        <v>111</v>
      </c>
    </row>
    <row r="144" spans="1:6" x14ac:dyDescent="0.3">
      <c r="A144" s="43">
        <v>45957</v>
      </c>
      <c r="B144" t="s">
        <v>120</v>
      </c>
      <c r="C144" s="11">
        <v>353250</v>
      </c>
      <c r="D144" s="11"/>
      <c r="E144" t="s">
        <v>301</v>
      </c>
      <c r="F144" s="116" t="s">
        <v>111</v>
      </c>
    </row>
    <row r="145" spans="1:7" x14ac:dyDescent="0.3">
      <c r="A145" s="43">
        <v>45957</v>
      </c>
      <c r="B145" t="s">
        <v>302</v>
      </c>
      <c r="C145" s="11"/>
      <c r="D145" s="11">
        <v>256200</v>
      </c>
      <c r="E145" t="s">
        <v>303</v>
      </c>
      <c r="F145" s="116" t="s">
        <v>111</v>
      </c>
    </row>
    <row r="146" spans="1:7" x14ac:dyDescent="0.3">
      <c r="A146" s="43">
        <v>45957</v>
      </c>
      <c r="B146" t="s">
        <v>304</v>
      </c>
      <c r="C146" s="11"/>
      <c r="D146" s="11">
        <v>95000</v>
      </c>
      <c r="F146" s="116" t="s">
        <v>111</v>
      </c>
    </row>
    <row r="147" spans="1:7" x14ac:dyDescent="0.3">
      <c r="A147" s="43">
        <v>45957</v>
      </c>
      <c r="B147" t="s">
        <v>212</v>
      </c>
      <c r="C147" s="11"/>
      <c r="D147" s="11">
        <v>2050</v>
      </c>
      <c r="E147" t="s">
        <v>305</v>
      </c>
      <c r="F147" s="116" t="s">
        <v>111</v>
      </c>
    </row>
    <row r="148" spans="1:7" x14ac:dyDescent="0.3">
      <c r="A148" s="43">
        <v>45956</v>
      </c>
      <c r="B148" t="s">
        <v>212</v>
      </c>
      <c r="C148" s="11">
        <v>3000</v>
      </c>
      <c r="D148" s="11"/>
      <c r="E148" t="s">
        <v>306</v>
      </c>
      <c r="F148" s="116" t="s">
        <v>111</v>
      </c>
    </row>
    <row r="149" spans="1:7" x14ac:dyDescent="0.3">
      <c r="A149" s="43">
        <v>45957</v>
      </c>
      <c r="B149" t="s">
        <v>55</v>
      </c>
      <c r="C149" s="11">
        <v>3300</v>
      </c>
      <c r="D149" s="11"/>
      <c r="F149" s="116" t="s">
        <v>111</v>
      </c>
    </row>
    <row r="150" spans="1:7" x14ac:dyDescent="0.3">
      <c r="A150" s="43">
        <v>45957</v>
      </c>
      <c r="B150" t="s">
        <v>55</v>
      </c>
      <c r="C150" s="11">
        <v>13750</v>
      </c>
      <c r="D150" s="11"/>
      <c r="F150" s="116" t="s">
        <v>111</v>
      </c>
    </row>
    <row r="151" spans="1:7" x14ac:dyDescent="0.3">
      <c r="A151" s="43">
        <v>45957</v>
      </c>
      <c r="B151" t="s">
        <v>55</v>
      </c>
      <c r="C151" s="11">
        <v>5500</v>
      </c>
      <c r="D151" s="11"/>
      <c r="F151" s="116" t="s">
        <v>111</v>
      </c>
    </row>
    <row r="152" spans="1:7" x14ac:dyDescent="0.3">
      <c r="A152" s="43">
        <v>45957</v>
      </c>
      <c r="B152" t="s">
        <v>52</v>
      </c>
      <c r="C152" s="117">
        <v>5000</v>
      </c>
      <c r="D152" s="117"/>
      <c r="E152" t="s">
        <v>270</v>
      </c>
      <c r="F152" s="116" t="s">
        <v>111</v>
      </c>
    </row>
    <row r="153" spans="1:7" x14ac:dyDescent="0.3">
      <c r="A153" s="43">
        <v>45957</v>
      </c>
      <c r="B153" t="s">
        <v>194</v>
      </c>
      <c r="C153" s="117">
        <v>500</v>
      </c>
      <c r="D153" s="117"/>
      <c r="F153" s="116" t="s">
        <v>112</v>
      </c>
    </row>
    <row r="154" spans="1:7" x14ac:dyDescent="0.3">
      <c r="A154" s="125">
        <v>45958</v>
      </c>
      <c r="B154" t="s">
        <v>24</v>
      </c>
      <c r="C154" s="11"/>
      <c r="D154" s="11">
        <v>1000000</v>
      </c>
      <c r="E154" t="s">
        <v>307</v>
      </c>
      <c r="F154" s="116" t="s">
        <v>111</v>
      </c>
    </row>
    <row r="155" spans="1:7" x14ac:dyDescent="0.3">
      <c r="A155" s="125">
        <v>45958</v>
      </c>
      <c r="B155" t="s">
        <v>97</v>
      </c>
      <c r="C155" s="11">
        <v>350000</v>
      </c>
      <c r="D155" s="11"/>
      <c r="E155" t="s">
        <v>308</v>
      </c>
      <c r="F155" s="116" t="s">
        <v>111</v>
      </c>
    </row>
    <row r="156" spans="1:7" x14ac:dyDescent="0.3">
      <c r="A156" s="125">
        <v>45958</v>
      </c>
      <c r="B156" t="s">
        <v>97</v>
      </c>
      <c r="C156" s="11">
        <v>49850</v>
      </c>
      <c r="D156" s="11"/>
      <c r="E156" t="s">
        <v>219</v>
      </c>
      <c r="F156" s="116" t="s">
        <v>111</v>
      </c>
    </row>
    <row r="157" spans="1:7" x14ac:dyDescent="0.3">
      <c r="A157" s="125">
        <v>45958</v>
      </c>
      <c r="B157" t="s">
        <v>54</v>
      </c>
      <c r="C157" s="11">
        <v>2000</v>
      </c>
      <c r="D157" s="11"/>
      <c r="E157" t="s">
        <v>309</v>
      </c>
      <c r="F157" s="116" t="s">
        <v>111</v>
      </c>
    </row>
    <row r="158" spans="1:7" x14ac:dyDescent="0.3">
      <c r="A158" s="125">
        <v>45958</v>
      </c>
      <c r="B158" t="s">
        <v>55</v>
      </c>
      <c r="C158" s="11">
        <v>1200</v>
      </c>
      <c r="D158" s="11"/>
      <c r="E158" t="s">
        <v>310</v>
      </c>
      <c r="F158" s="116" t="s">
        <v>111</v>
      </c>
    </row>
    <row r="159" spans="1:7" x14ac:dyDescent="0.3">
      <c r="A159" s="125">
        <v>45958</v>
      </c>
      <c r="B159" s="126" t="s">
        <v>50</v>
      </c>
      <c r="C159" s="117">
        <v>180</v>
      </c>
      <c r="D159" s="117"/>
      <c r="E159" s="126" t="s">
        <v>311</v>
      </c>
      <c r="F159" s="127" t="s">
        <v>111</v>
      </c>
      <c r="G159" s="126"/>
    </row>
    <row r="160" spans="1:7" x14ac:dyDescent="0.3">
      <c r="A160" s="125">
        <v>45958</v>
      </c>
      <c r="B160" t="s">
        <v>191</v>
      </c>
      <c r="C160" s="11">
        <v>10000</v>
      </c>
      <c r="D160" s="11"/>
      <c r="E160" t="s">
        <v>312</v>
      </c>
      <c r="F160" s="116" t="s">
        <v>111</v>
      </c>
    </row>
    <row r="161" spans="1:12" x14ac:dyDescent="0.3">
      <c r="A161" s="125">
        <v>45958</v>
      </c>
      <c r="B161" s="126" t="s">
        <v>170</v>
      </c>
      <c r="C161" s="117"/>
      <c r="D161" s="117">
        <v>140000</v>
      </c>
      <c r="E161" s="126"/>
      <c r="F161" s="127" t="s">
        <v>111</v>
      </c>
      <c r="G161" s="126"/>
    </row>
    <row r="162" spans="1:12" x14ac:dyDescent="0.3">
      <c r="A162" s="125">
        <v>45958</v>
      </c>
      <c r="C162" s="11"/>
      <c r="D162" s="11"/>
      <c r="F162" s="116"/>
    </row>
    <row r="163" spans="1:12" x14ac:dyDescent="0.3">
      <c r="A163" s="125">
        <v>45958</v>
      </c>
      <c r="C163" s="11"/>
      <c r="D163" s="11"/>
      <c r="F163" s="116"/>
      <c r="J163" s="3" t="s">
        <v>6</v>
      </c>
      <c r="K163" t="s">
        <v>121</v>
      </c>
      <c r="L163" t="s">
        <v>122</v>
      </c>
    </row>
    <row r="164" spans="1:12" x14ac:dyDescent="0.3">
      <c r="A164" s="125">
        <v>45958</v>
      </c>
      <c r="C164" s="11"/>
      <c r="D164" s="11"/>
      <c r="F164" s="116"/>
      <c r="J164" s="4" t="s">
        <v>191</v>
      </c>
      <c r="K164" s="14"/>
      <c r="L164" s="14">
        <v>16000</v>
      </c>
    </row>
    <row r="165" spans="1:12" x14ac:dyDescent="0.3">
      <c r="A165" s="125">
        <v>45958</v>
      </c>
      <c r="C165" s="11"/>
      <c r="D165" s="11"/>
      <c r="F165" s="116"/>
      <c r="J165" s="4" t="s">
        <v>9</v>
      </c>
      <c r="K165" s="14">
        <v>787234</v>
      </c>
      <c r="L165" s="14"/>
    </row>
    <row r="166" spans="1:12" x14ac:dyDescent="0.3">
      <c r="A166" s="125">
        <v>45958</v>
      </c>
      <c r="C166" s="11"/>
      <c r="D166" s="11"/>
      <c r="F166" s="116"/>
      <c r="J166" s="4" t="s">
        <v>21</v>
      </c>
      <c r="K166" s="14">
        <v>3960588</v>
      </c>
      <c r="L166" s="14"/>
    </row>
    <row r="167" spans="1:12" x14ac:dyDescent="0.3">
      <c r="A167" s="125">
        <v>45958</v>
      </c>
      <c r="C167" s="11"/>
      <c r="D167" s="11"/>
      <c r="F167" s="116"/>
      <c r="J167" s="4" t="s">
        <v>97</v>
      </c>
      <c r="K167" s="14"/>
      <c r="L167" s="14">
        <v>1964831</v>
      </c>
    </row>
    <row r="168" spans="1:12" x14ac:dyDescent="0.3">
      <c r="A168" s="125">
        <v>45958</v>
      </c>
      <c r="C168" s="11"/>
      <c r="D168" s="11"/>
      <c r="F168" s="116"/>
      <c r="J168" s="4" t="s">
        <v>50</v>
      </c>
      <c r="K168" s="14"/>
      <c r="L168" s="14">
        <v>11030</v>
      </c>
    </row>
    <row r="169" spans="1:12" x14ac:dyDescent="0.3">
      <c r="A169" s="125">
        <v>45958</v>
      </c>
      <c r="C169" s="11"/>
      <c r="D169" s="11"/>
      <c r="F169" s="116"/>
      <c r="J169" s="4" t="s">
        <v>55</v>
      </c>
      <c r="K169" s="14"/>
      <c r="L169" s="14">
        <v>175930</v>
      </c>
    </row>
    <row r="170" spans="1:12" x14ac:dyDescent="0.3">
      <c r="A170" s="125">
        <v>45958</v>
      </c>
      <c r="C170" s="11"/>
      <c r="D170" s="11"/>
      <c r="F170" s="116"/>
      <c r="J170" s="4" t="s">
        <v>116</v>
      </c>
      <c r="K170" s="14"/>
      <c r="L170" s="14">
        <v>38245</v>
      </c>
    </row>
    <row r="171" spans="1:12" x14ac:dyDescent="0.3">
      <c r="A171" s="43"/>
      <c r="C171" s="14">
        <f>SUBTOTAL(109,Table14[Debit])</f>
        <v>7761986</v>
      </c>
      <c r="D171" s="14">
        <f>SUBTOTAL(109,Table14[Credit])</f>
        <v>8660595</v>
      </c>
      <c r="F171" s="59">
        <f>(Table14[[#Totals],[Credit]]-Table14[[#Totals],[Debit]])</f>
        <v>898609</v>
      </c>
      <c r="J171" s="4" t="s">
        <v>52</v>
      </c>
      <c r="K171" s="14"/>
      <c r="L171" s="14">
        <v>35750</v>
      </c>
    </row>
    <row r="172" spans="1:12" x14ac:dyDescent="0.3">
      <c r="J172" s="4" t="s">
        <v>54</v>
      </c>
      <c r="K172" s="14"/>
      <c r="L172" s="14">
        <v>22352</v>
      </c>
    </row>
    <row r="173" spans="1:12" x14ac:dyDescent="0.3">
      <c r="J173" s="4" t="s">
        <v>212</v>
      </c>
      <c r="K173" s="14"/>
      <c r="L173" s="14">
        <v>150900</v>
      </c>
    </row>
    <row r="174" spans="1:12" x14ac:dyDescent="0.3">
      <c r="J174" s="4" t="s">
        <v>209</v>
      </c>
      <c r="K174" s="14">
        <v>3000</v>
      </c>
      <c r="L174" s="14">
        <v>5000</v>
      </c>
    </row>
    <row r="175" spans="1:12" x14ac:dyDescent="0.3">
      <c r="J175" s="4" t="s">
        <v>194</v>
      </c>
      <c r="K175" s="14">
        <v>4000</v>
      </c>
      <c r="L175" s="14">
        <v>3300</v>
      </c>
    </row>
    <row r="176" spans="1:12" x14ac:dyDescent="0.3">
      <c r="J176" s="4" t="s">
        <v>106</v>
      </c>
      <c r="K176" s="14"/>
      <c r="L176" s="14"/>
    </row>
    <row r="177" spans="10:12" x14ac:dyDescent="0.3">
      <c r="J177" s="4" t="s">
        <v>201</v>
      </c>
      <c r="K177" s="14">
        <v>652170</v>
      </c>
      <c r="L177" s="14"/>
    </row>
    <row r="178" spans="10:12" x14ac:dyDescent="0.3">
      <c r="J178" s="4" t="s">
        <v>118</v>
      </c>
      <c r="K178" s="14"/>
      <c r="L178" s="14">
        <v>400000</v>
      </c>
    </row>
    <row r="179" spans="10:12" x14ac:dyDescent="0.3">
      <c r="J179" s="4" t="s">
        <v>35</v>
      </c>
      <c r="K179" s="14">
        <v>179000</v>
      </c>
      <c r="L179" s="14"/>
    </row>
    <row r="180" spans="10:12" x14ac:dyDescent="0.3">
      <c r="J180" s="4" t="s">
        <v>152</v>
      </c>
      <c r="K180" s="14"/>
      <c r="L180" s="14">
        <v>100000</v>
      </c>
    </row>
    <row r="181" spans="10:12" x14ac:dyDescent="0.3">
      <c r="J181" s="4" t="s">
        <v>64</v>
      </c>
      <c r="K181" s="14"/>
      <c r="L181" s="14">
        <v>12000</v>
      </c>
    </row>
    <row r="182" spans="10:12" x14ac:dyDescent="0.3">
      <c r="J182" s="4" t="s">
        <v>277</v>
      </c>
      <c r="K182" s="14"/>
      <c r="L182" s="14">
        <v>250000</v>
      </c>
    </row>
    <row r="183" spans="10:12" x14ac:dyDescent="0.3">
      <c r="J183" s="4" t="s">
        <v>174</v>
      </c>
      <c r="K183" s="14"/>
      <c r="L183" s="14">
        <v>457150</v>
      </c>
    </row>
    <row r="184" spans="10:12" x14ac:dyDescent="0.3">
      <c r="J184" s="4" t="s">
        <v>182</v>
      </c>
      <c r="K184" s="14"/>
      <c r="L184" s="14">
        <v>1000</v>
      </c>
    </row>
    <row r="185" spans="10:12" x14ac:dyDescent="0.3">
      <c r="J185" s="4" t="s">
        <v>187</v>
      </c>
      <c r="K185" s="14">
        <v>-18222</v>
      </c>
      <c r="L185" s="14"/>
    </row>
    <row r="186" spans="10:12" x14ac:dyDescent="0.3">
      <c r="J186" s="4" t="s">
        <v>198</v>
      </c>
      <c r="K186" s="14">
        <v>415571</v>
      </c>
      <c r="L186" s="14"/>
    </row>
    <row r="187" spans="10:12" x14ac:dyDescent="0.3">
      <c r="J187" s="4" t="s">
        <v>206</v>
      </c>
      <c r="K187" s="14"/>
      <c r="L187" s="14">
        <v>162250</v>
      </c>
    </row>
    <row r="188" spans="10:12" x14ac:dyDescent="0.3">
      <c r="J188" s="4" t="s">
        <v>214</v>
      </c>
      <c r="K188" s="14">
        <v>54825</v>
      </c>
      <c r="L188" s="14">
        <v>35195</v>
      </c>
    </row>
    <row r="189" spans="10:12" x14ac:dyDescent="0.3">
      <c r="J189" s="4" t="s">
        <v>222</v>
      </c>
      <c r="K189" s="14"/>
      <c r="L189" s="14">
        <v>42000</v>
      </c>
    </row>
    <row r="190" spans="10:12" x14ac:dyDescent="0.3">
      <c r="J190" s="4" t="s">
        <v>244</v>
      </c>
      <c r="K190" s="14"/>
      <c r="L190" s="14">
        <v>2503038</v>
      </c>
    </row>
    <row r="191" spans="10:12" x14ac:dyDescent="0.3">
      <c r="J191" s="4" t="s">
        <v>227</v>
      </c>
      <c r="K191" s="14">
        <v>98000</v>
      </c>
      <c r="L191" s="14"/>
    </row>
    <row r="192" spans="10:12" x14ac:dyDescent="0.3">
      <c r="J192" s="4" t="s">
        <v>180</v>
      </c>
      <c r="K192" s="14">
        <v>400000</v>
      </c>
      <c r="L192" s="14"/>
    </row>
    <row r="193" spans="10:12" x14ac:dyDescent="0.3">
      <c r="J193" s="4" t="s">
        <v>28</v>
      </c>
      <c r="K193" s="14">
        <v>6536166</v>
      </c>
      <c r="L193" s="14">
        <v>6385971</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G6" sqref="G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A6" s="1">
        <v>45955</v>
      </c>
      <c r="F6" t="s">
        <v>118</v>
      </c>
      <c r="G6">
        <f>SUMIFS(Table14[Debit], Table14[Date], Table8[[#This Row],[Date]], Table14[Party], Table8[[#This Row],[Party]])</f>
        <v>100000</v>
      </c>
      <c r="H6">
        <f>Table8[[#This Row],[Price]]-Table8[[#This Row],[Paid]]</f>
        <v>-100000</v>
      </c>
    </row>
    <row r="7" spans="1:14" x14ac:dyDescent="0.3">
      <c r="G7">
        <f>SUMIFS(Table14[Debit], Table14[Date], Table8[[#This Row],[Date]], Table14[Party], Table8[[#This Row],[Party]])</f>
        <v>0</v>
      </c>
      <c r="H7">
        <f>Table8[[#This Row],[Price]]-Table8[[#This Row],[Paid]]</f>
        <v>0</v>
      </c>
      <c r="K7" s="3" t="s">
        <v>113</v>
      </c>
      <c r="L7" t="s">
        <v>118</v>
      </c>
    </row>
    <row r="8" spans="1:14" x14ac:dyDescent="0.3">
      <c r="E8">
        <f>SUBTOTAL(109,Table8[Price])</f>
        <v>0</v>
      </c>
      <c r="H8">
        <f>SUBTOTAL(109,Table8[Balance])</f>
        <v>77875</v>
      </c>
    </row>
    <row r="9" spans="1:14" x14ac:dyDescent="0.3">
      <c r="K9" s="3" t="s">
        <v>6</v>
      </c>
      <c r="L9" t="s">
        <v>130</v>
      </c>
      <c r="M9" t="s">
        <v>131</v>
      </c>
    </row>
    <row r="10" spans="1:14" x14ac:dyDescent="0.3">
      <c r="K10" s="27">
        <v>45947</v>
      </c>
      <c r="M10">
        <v>640125</v>
      </c>
    </row>
    <row r="11" spans="1:14" x14ac:dyDescent="0.3">
      <c r="K11" s="27">
        <v>45948</v>
      </c>
      <c r="M11">
        <v>-300000</v>
      </c>
    </row>
    <row r="12" spans="1:14" x14ac:dyDescent="0.3">
      <c r="K12" s="27">
        <v>45955</v>
      </c>
      <c r="M12">
        <v>-100000</v>
      </c>
    </row>
    <row r="13" spans="1:14" x14ac:dyDescent="0.3">
      <c r="A13" t="s">
        <v>57</v>
      </c>
      <c r="B13" t="s">
        <v>159</v>
      </c>
      <c r="C13" t="s">
        <v>160</v>
      </c>
      <c r="D13" t="s">
        <v>4</v>
      </c>
      <c r="E13" t="s">
        <v>161</v>
      </c>
      <c r="K13" s="4" t="s">
        <v>28</v>
      </c>
      <c r="M13">
        <v>240125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topLeftCell="A6" workbookViewId="0">
      <selection activeCell="G22" sqref="G22"/>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664062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119</v>
      </c>
      <c r="K5">
        <v>128000</v>
      </c>
      <c r="L5">
        <v>0</v>
      </c>
      <c r="M5">
        <v>123000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120</v>
      </c>
      <c r="K6">
        <v>0</v>
      </c>
      <c r="L6">
        <v>0</v>
      </c>
      <c r="M6">
        <v>353250</v>
      </c>
    </row>
    <row r="7" spans="1:13" x14ac:dyDescent="0.3">
      <c r="A7" s="90">
        <v>45947</v>
      </c>
      <c r="B7" s="90" t="s">
        <v>168</v>
      </c>
      <c r="C7" s="87" t="s">
        <v>184</v>
      </c>
      <c r="F7">
        <v>0</v>
      </c>
      <c r="G7">
        <v>0</v>
      </c>
      <c r="H7" s="86">
        <v>0</v>
      </c>
      <c r="J7" s="4" t="s">
        <v>168</v>
      </c>
      <c r="K7">
        <v>120000</v>
      </c>
      <c r="L7">
        <v>0</v>
      </c>
      <c r="M7">
        <v>120000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28</v>
      </c>
      <c r="K8">
        <v>248000</v>
      </c>
      <c r="L8">
        <v>0</v>
      </c>
      <c r="M8">
        <v>596250</v>
      </c>
    </row>
    <row r="9" spans="1:13" x14ac:dyDescent="0.3">
      <c r="A9" s="1">
        <v>45954</v>
      </c>
      <c r="B9" s="1" t="s">
        <v>168</v>
      </c>
      <c r="C9" t="s">
        <v>169</v>
      </c>
      <c r="D9">
        <v>4</v>
      </c>
      <c r="E9">
        <v>125</v>
      </c>
      <c r="F9">
        <f>Table2[[#This Row],[Quantity]]*240*Table2[[#This Row],[Boxes]]</f>
        <v>120000</v>
      </c>
      <c r="G9">
        <f>SUMIFS(Table14[Debit], Table14[Date], Table2[[#This Row],[Date]], Table14[Party], Table2[[#This Row],[Party Name]],Table14[Description],Table2[[#This Row],[Item]])</f>
        <v>0</v>
      </c>
      <c r="H9">
        <f>Table2[[#This Row],[Price]]-Table2[[#This Row],[Paid]]</f>
        <v>120000</v>
      </c>
    </row>
    <row r="10" spans="1:13" x14ac:dyDescent="0.3">
      <c r="A10" s="1"/>
      <c r="F10">
        <f>SUBTOTAL(109,Table2[Price])</f>
        <v>248000</v>
      </c>
      <c r="G10">
        <f>SUBTOTAL(109,Table2[Paid])</f>
        <v>0</v>
      </c>
      <c r="H10">
        <f>SUBTOTAL(109,Table2[Balance])</f>
        <v>596250</v>
      </c>
    </row>
    <row r="24" spans="9:10" x14ac:dyDescent="0.3">
      <c r="I24" t="s">
        <v>57</v>
      </c>
      <c r="J24" t="s">
        <v>185</v>
      </c>
    </row>
    <row r="25" spans="9:10" x14ac:dyDescent="0.3">
      <c r="I25" t="s">
        <v>61</v>
      </c>
      <c r="J25">
        <f>7750*16</f>
        <v>124000</v>
      </c>
    </row>
    <row r="26" spans="9:10" x14ac:dyDescent="0.3">
      <c r="I26" t="s">
        <v>61</v>
      </c>
      <c r="J26">
        <f>353250</f>
        <v>353250</v>
      </c>
    </row>
    <row r="27" spans="9:10" x14ac:dyDescent="0.3">
      <c r="I27" t="s">
        <v>167</v>
      </c>
      <c r="J27">
        <f>(82000/3)*2</f>
        <v>54666.666666666664</v>
      </c>
    </row>
    <row r="30" spans="9:10" x14ac:dyDescent="0.3">
      <c r="I30" t="s">
        <v>161</v>
      </c>
      <c r="J30">
        <f>SUM(J25:J27)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423048</v>
      </c>
      <c r="C2" s="37">
        <f>GETPIVOTDATA("Sum of Tiyaar/gaz",$A$3)</f>
        <v>422808</v>
      </c>
      <c r="D2" s="36">
        <f>((B2*48)+((C2/1.0936)*10))/C2</f>
        <v>57.171357602109985</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v>1836</v>
      </c>
      <c r="B17" s="14">
        <v>9527</v>
      </c>
      <c r="C17" s="14">
        <v>10153</v>
      </c>
      <c r="D17" s="33">
        <f t="shared" si="1"/>
        <v>54.184591838506549</v>
      </c>
      <c r="E17" s="11">
        <f t="shared" si="2"/>
        <v>10418.727199999999</v>
      </c>
      <c r="F17" s="11">
        <f t="shared" si="0"/>
        <v>10153</v>
      </c>
      <c r="G17" s="83">
        <f t="shared" si="4"/>
        <v>2.5504766071617553</v>
      </c>
      <c r="H17" s="33">
        <f t="shared" si="3"/>
        <v>9284.0160936356988</v>
      </c>
      <c r="I17" s="33">
        <f>((B17*48)+(H17*10))/C17</f>
        <v>54.184591838506549</v>
      </c>
    </row>
    <row r="18" spans="1:9" x14ac:dyDescent="0.3">
      <c r="A18" s="16">
        <v>1828</v>
      </c>
      <c r="B18" s="14">
        <v>31302</v>
      </c>
      <c r="C18" s="14">
        <v>33933</v>
      </c>
      <c r="D18" s="33">
        <f t="shared" si="1"/>
        <v>53.422424338886657</v>
      </c>
      <c r="E18" s="11">
        <f t="shared" si="2"/>
        <v>34231.867200000001</v>
      </c>
      <c r="F18" s="11">
        <f t="shared" si="0"/>
        <v>33933</v>
      </c>
      <c r="G18" s="83">
        <f t="shared" si="4"/>
        <v>0.87306718693977814</v>
      </c>
      <c r="H18" s="33">
        <f t="shared" si="3"/>
        <v>31028.712509144112</v>
      </c>
      <c r="I18" s="33">
        <f>((B18*48)+(H18*10))/C18</f>
        <v>53.422424338886657</v>
      </c>
    </row>
    <row r="19" spans="1:9" x14ac:dyDescent="0.3">
      <c r="A19" s="16">
        <v>1837</v>
      </c>
      <c r="B19" s="14">
        <v>11233</v>
      </c>
      <c r="C19" s="14">
        <v>13383</v>
      </c>
      <c r="D19" s="33">
        <f t="shared" si="1"/>
        <v>49.432835693625009</v>
      </c>
      <c r="E19" s="11">
        <f t="shared" si="2"/>
        <v>12284.408799999999</v>
      </c>
      <c r="F19" s="11">
        <f t="shared" si="0"/>
        <v>13383</v>
      </c>
      <c r="G19" s="83">
        <f t="shared" ref="G19:G38" si="6">100- (F19/E19 *100)</f>
        <v>-8.9429716796790615</v>
      </c>
      <c r="H19" s="33">
        <f t="shared" si="3"/>
        <v>12237.564008778349</v>
      </c>
      <c r="I19" s="33">
        <f t="shared" si="5"/>
        <v>49.432835693625009</v>
      </c>
    </row>
    <row r="20" spans="1:9" x14ac:dyDescent="0.3">
      <c r="A20" s="16">
        <v>1840</v>
      </c>
      <c r="B20" s="14">
        <v>8913</v>
      </c>
      <c r="C20" s="14">
        <v>9498</v>
      </c>
      <c r="D20" s="33">
        <f t="shared" si="1"/>
        <v>54.187699316207642</v>
      </c>
      <c r="E20" s="11">
        <f>B20 * 1.0936</f>
        <v>9747.2567999999992</v>
      </c>
      <c r="F20" s="11">
        <f t="shared" si="0"/>
        <v>9498</v>
      </c>
      <c r="G20" s="83">
        <f t="shared" si="6"/>
        <v>2.5571994779084832</v>
      </c>
      <c r="H20" s="33">
        <f t="shared" si="3"/>
        <v>8685.0768105340176</v>
      </c>
      <c r="I20" s="33">
        <f t="shared" si="5"/>
        <v>54.187699316207642</v>
      </c>
    </row>
    <row r="21" spans="1:9" x14ac:dyDescent="0.3">
      <c r="A21" s="16">
        <v>1825</v>
      </c>
      <c r="B21" s="14">
        <v>25262</v>
      </c>
      <c r="C21" s="14">
        <v>27090</v>
      </c>
      <c r="D21" s="33">
        <f t="shared" si="1"/>
        <v>53.905130018527203</v>
      </c>
      <c r="E21" s="11">
        <f t="shared" si="2"/>
        <v>27626.523199999996</v>
      </c>
      <c r="F21" s="11">
        <f t="shared" si="0"/>
        <v>27090</v>
      </c>
      <c r="G21" s="83">
        <f t="shared" si="6"/>
        <v>1.942058347754724</v>
      </c>
      <c r="H21" s="33">
        <f t="shared" si="3"/>
        <v>24771.3972201902</v>
      </c>
      <c r="I21" s="33">
        <f t="shared" si="5"/>
        <v>53.905130018527203</v>
      </c>
    </row>
    <row r="22" spans="1:9" x14ac:dyDescent="0.3">
      <c r="A22" s="16">
        <v>1838</v>
      </c>
      <c r="B22" s="14">
        <v>10092</v>
      </c>
      <c r="C22" s="14">
        <v>10885</v>
      </c>
      <c r="D22" s="33">
        <f t="shared" si="1"/>
        <v>53.64718882215783</v>
      </c>
      <c r="E22" s="11">
        <f t="shared" si="2"/>
        <v>11036.611199999999</v>
      </c>
      <c r="F22" s="11">
        <f t="shared" si="0"/>
        <v>10885</v>
      </c>
      <c r="G22" s="83">
        <f t="shared" si="6"/>
        <v>1.3737115247839853</v>
      </c>
      <c r="H22" s="33">
        <f t="shared" si="3"/>
        <v>9953.3650329188004</v>
      </c>
      <c r="I22" s="33">
        <f t="shared" si="5"/>
        <v>53.64718882215783</v>
      </c>
    </row>
    <row r="23" spans="1:9" x14ac:dyDescent="0.3">
      <c r="A23" s="16">
        <v>1845</v>
      </c>
      <c r="B23" s="14">
        <v>14494</v>
      </c>
      <c r="C23" s="14">
        <v>15623</v>
      </c>
      <c r="D23" s="33">
        <f t="shared" si="1"/>
        <v>53.675379194696397</v>
      </c>
      <c r="E23" s="11">
        <f t="shared" si="2"/>
        <v>15850.638399999998</v>
      </c>
      <c r="F23" s="11">
        <f t="shared" si="0"/>
        <v>15623</v>
      </c>
      <c r="G23" s="83">
        <f t="shared" si="6"/>
        <v>1.4361465718629773</v>
      </c>
      <c r="H23" s="33">
        <f t="shared" si="3"/>
        <v>14285.844915874179</v>
      </c>
      <c r="I23" s="33">
        <f t="shared" si="5"/>
        <v>53.675379194696397</v>
      </c>
    </row>
    <row r="24" spans="1:9" x14ac:dyDescent="0.3">
      <c r="A24" s="16">
        <v>1807</v>
      </c>
      <c r="B24" s="14">
        <v>14854</v>
      </c>
      <c r="C24" s="14">
        <v>15938</v>
      </c>
      <c r="D24" s="33">
        <f t="shared" si="1"/>
        <v>53.879460671624123</v>
      </c>
      <c r="E24" s="11">
        <f t="shared" si="2"/>
        <v>16244.334399999998</v>
      </c>
      <c r="F24" s="11">
        <f t="shared" si="0"/>
        <v>15938</v>
      </c>
      <c r="G24" s="83">
        <f t="shared" si="6"/>
        <v>1.8857922550523085</v>
      </c>
      <c r="H24" s="33">
        <f t="shared" si="3"/>
        <v>14573.884418434529</v>
      </c>
      <c r="I24" s="33">
        <f t="shared" si="5"/>
        <v>53.879460671624123</v>
      </c>
    </row>
    <row r="25" spans="1:9" x14ac:dyDescent="0.3">
      <c r="A25" s="16" t="s">
        <v>290</v>
      </c>
      <c r="B25" s="14">
        <v>12811</v>
      </c>
      <c r="C25" s="14">
        <v>8709</v>
      </c>
      <c r="D25" s="33">
        <f t="shared" si="1"/>
        <v>79.75244739631907</v>
      </c>
      <c r="E25" s="11">
        <f t="shared" si="2"/>
        <v>14010.109599999998</v>
      </c>
      <c r="F25" s="11">
        <f t="shared" si="0"/>
        <v>8709</v>
      </c>
      <c r="G25" s="83">
        <f t="shared" si="6"/>
        <v>37.83774539493966</v>
      </c>
      <c r="H25" s="33">
        <f t="shared" si="3"/>
        <v>7963.6064374542802</v>
      </c>
      <c r="I25" s="33">
        <f t="shared" si="5"/>
        <v>79.75244739631907</v>
      </c>
    </row>
    <row r="26" spans="1:9" x14ac:dyDescent="0.3">
      <c r="A26" s="16" t="s">
        <v>28</v>
      </c>
      <c r="B26" s="35">
        <v>42632</v>
      </c>
      <c r="C26" s="35">
        <v>422808</v>
      </c>
      <c r="D26" s="33">
        <f t="shared" si="1"/>
        <v>13.98398177194594</v>
      </c>
      <c r="E26" s="11">
        <f t="shared" si="2"/>
        <v>46622.355199999998</v>
      </c>
      <c r="F26" s="11">
        <f t="shared" si="0"/>
        <v>422808</v>
      </c>
      <c r="G26" s="83">
        <f t="shared" si="6"/>
        <v>-806.87825225955123</v>
      </c>
      <c r="H26" s="33">
        <f t="shared" si="3"/>
        <v>386620.33650329191</v>
      </c>
      <c r="I26" s="33">
        <f t="shared" si="5"/>
        <v>13.98398177194594</v>
      </c>
    </row>
    <row r="27" spans="1:9" x14ac:dyDescent="0.3">
      <c r="D27" s="33" t="e">
        <f t="shared" si="1"/>
        <v>#DIV/0!</v>
      </c>
      <c r="E27" s="11">
        <f t="shared" si="2"/>
        <v>0</v>
      </c>
      <c r="F27" s="11">
        <f t="shared" si="0"/>
        <v>0</v>
      </c>
      <c r="G27" s="83" t="e">
        <f t="shared" si="6"/>
        <v>#DIV/0!</v>
      </c>
      <c r="H27" s="33">
        <f t="shared" si="3"/>
        <v>0</v>
      </c>
      <c r="I27" s="33" t="e">
        <f t="shared" si="5"/>
        <v>#DIV/0!</v>
      </c>
    </row>
    <row r="28" spans="1:9" x14ac:dyDescent="0.3">
      <c r="D28" s="33" t="e">
        <f t="shared" si="1"/>
        <v>#DIV/0!</v>
      </c>
      <c r="E28" s="11">
        <f t="shared" si="2"/>
        <v>0</v>
      </c>
      <c r="F28" s="11">
        <f t="shared" si="0"/>
        <v>0</v>
      </c>
      <c r="G28" s="83" t="e">
        <f t="shared" si="6"/>
        <v>#DIV/0!</v>
      </c>
      <c r="H28" s="33">
        <f t="shared" si="3"/>
        <v>0</v>
      </c>
      <c r="I28" s="33" t="e">
        <f t="shared" si="5"/>
        <v>#DIV/0!</v>
      </c>
    </row>
    <row r="29" spans="1:9" x14ac:dyDescent="0.3">
      <c r="D29" s="33" t="e">
        <f t="shared" si="1"/>
        <v>#DIV/0!</v>
      </c>
      <c r="E29" s="11">
        <f t="shared" si="2"/>
        <v>0</v>
      </c>
      <c r="F29" s="11">
        <f t="shared" si="0"/>
        <v>0</v>
      </c>
      <c r="G29" s="83" t="e">
        <f t="shared" si="6"/>
        <v>#DIV/0!</v>
      </c>
      <c r="H29" s="33">
        <f t="shared" si="3"/>
        <v>0</v>
      </c>
      <c r="I29" s="33" t="e">
        <f t="shared" si="5"/>
        <v>#DIV/0!</v>
      </c>
    </row>
    <row r="30" spans="1:9" x14ac:dyDescent="0.3">
      <c r="D30" s="33" t="e">
        <f t="shared" si="1"/>
        <v>#DIV/0!</v>
      </c>
      <c r="E30" s="11">
        <f t="shared" si="2"/>
        <v>0</v>
      </c>
      <c r="F30" s="11">
        <f t="shared" si="0"/>
        <v>0</v>
      </c>
      <c r="G30" s="83" t="e">
        <f t="shared" si="6"/>
        <v>#DIV/0!</v>
      </c>
      <c r="H30" s="33">
        <f t="shared" si="3"/>
        <v>0</v>
      </c>
      <c r="I30" s="33" t="e">
        <f t="shared" si="5"/>
        <v>#DIV/0!</v>
      </c>
    </row>
    <row r="31" spans="1:9" x14ac:dyDescent="0.3">
      <c r="D31" s="33" t="e">
        <f t="shared" si="1"/>
        <v>#DIV/0!</v>
      </c>
      <c r="E31" s="11">
        <f t="shared" si="2"/>
        <v>0</v>
      </c>
      <c r="F31" s="11">
        <f t="shared" si="0"/>
        <v>0</v>
      </c>
      <c r="G31" s="83" t="e">
        <f t="shared" si="6"/>
        <v>#DIV/0!</v>
      </c>
      <c r="H31" s="33">
        <f t="shared" si="3"/>
        <v>0</v>
      </c>
      <c r="I31" s="33" t="e">
        <f t="shared" si="5"/>
        <v>#DIV/0!</v>
      </c>
    </row>
    <row r="32" spans="1: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52400</v>
      </c>
    </row>
    <row r="11" spans="2:10" x14ac:dyDescent="0.3">
      <c r="B11" s="1">
        <v>45955</v>
      </c>
      <c r="C11" t="s">
        <v>116</v>
      </c>
      <c r="D11">
        <f>SUMIFS(Table14[Debit], Table14[Date], Table5[[#This Row],[Date]], Table14[Party], "Rashan")</f>
        <v>20000</v>
      </c>
      <c r="H11" s="1">
        <v>45955</v>
      </c>
      <c r="J11">
        <f>SUMIFS(Table14[Debit], Table14[Date], Table15[[#This Row],[Date]], Table14[Party], "Parts")</f>
        <v>20000</v>
      </c>
    </row>
    <row r="12" spans="2:10" x14ac:dyDescent="0.3">
      <c r="B12" s="1">
        <v>45956</v>
      </c>
      <c r="C12" t="s">
        <v>116</v>
      </c>
      <c r="D12">
        <f>SUMIFS(Table14[Debit], Table14[Date], Table5[[#This Row],[Date]], Table14[Party], "Rashan")</f>
        <v>0</v>
      </c>
      <c r="H12" s="1">
        <v>45956</v>
      </c>
      <c r="J12">
        <f>SUMIFS(Table14[Debit], Table14[Date], Table15[[#This Row],[Date]], Table14[Party], "Parts")</f>
        <v>20000</v>
      </c>
    </row>
    <row r="13" spans="2:10" x14ac:dyDescent="0.3">
      <c r="B13" s="1">
        <v>45957</v>
      </c>
      <c r="C13" t="s">
        <v>116</v>
      </c>
      <c r="D13">
        <f>SUMIFS(Table14[Debit], Table14[Date], Table5[[#This Row],[Date]], Table14[Party], "Rashan")</f>
        <v>0</v>
      </c>
      <c r="H13" s="1">
        <v>45957</v>
      </c>
      <c r="J13">
        <f>SUMIFS(Table14[Debit], Table14[Date], Table15[[#This Row],[Date]], Table14[Party], "Parts")</f>
        <v>22550</v>
      </c>
    </row>
    <row r="14" spans="2:10" x14ac:dyDescent="0.3">
      <c r="B14" s="1">
        <v>45958</v>
      </c>
      <c r="C14" t="s">
        <v>116</v>
      </c>
      <c r="D14">
        <f>SUMIFS(Table14[Debit], Table14[Date], Table5[[#This Row],[Date]], Table14[Party], "Rashan")</f>
        <v>0</v>
      </c>
      <c r="H14" s="1">
        <v>45958</v>
      </c>
      <c r="J14">
        <f>SUMIFS(Table14[Debit], Table14[Date], Table15[[#This Row],[Date]], Table14[Party], "Parts")</f>
        <v>1200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38245</v>
      </c>
      <c r="H35" s="1"/>
      <c r="J35">
        <f>SUM(Table15[Amount])</f>
        <v>219680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2" sqref="C2"/>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16815241</v>
      </c>
      <c r="C2" s="101">
        <f>Billing!X5</f>
        <v>556386.65179225057</v>
      </c>
    </row>
    <row r="3" spans="1:3" ht="18" x14ac:dyDescent="0.35">
      <c r="A3" s="86" t="str">
        <f>Billing!O6</f>
        <v>Ejaz Sahab</v>
      </c>
      <c r="B3" s="14">
        <f>Billing!W6</f>
        <v>859904</v>
      </c>
      <c r="C3" s="101">
        <f>Billing!X6</f>
        <v>1155421.5303584493</v>
      </c>
    </row>
    <row r="4" spans="1:3" ht="18" x14ac:dyDescent="0.35">
      <c r="A4" s="86" t="str">
        <f>Billing!O7</f>
        <v>Arshad</v>
      </c>
      <c r="B4" s="14">
        <f>Billing!W7</f>
        <v>3093935</v>
      </c>
      <c r="C4" s="102">
        <f>Billing!X7</f>
        <v>0.62545720580965281</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9629100</v>
      </c>
      <c r="C6" s="101">
        <f>Billing!X9</f>
        <v>1609704.4725676663</v>
      </c>
    </row>
    <row r="7" spans="1:3" ht="18" x14ac:dyDescent="0.35">
      <c r="A7" s="86" t="str">
        <f>Billing!O10</f>
        <v>Sajad Khan</v>
      </c>
      <c r="B7" s="14">
        <f>Billing!W10</f>
        <v>4817947</v>
      </c>
      <c r="C7" s="101">
        <f>Billing!X10</f>
        <v>917.30138990469277</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2">
        <f>Billing!X12</f>
        <v>467.05193855194375</v>
      </c>
    </row>
    <row r="10" spans="1:3" ht="18" x14ac:dyDescent="0.35">
      <c r="A10" s="86" t="str">
        <f>Billing!O13</f>
        <v>Ubaidullah</v>
      </c>
      <c r="B10" s="14">
        <f>Billing!W13</f>
        <v>630150</v>
      </c>
      <c r="C10" s="101">
        <f>Billing!X13</f>
        <v>1084.4550109730335</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505934.52816386265</v>
      </c>
    </row>
    <row r="13" spans="1:3" ht="18" x14ac:dyDescent="0.35">
      <c r="A13" s="86" t="str">
        <f>Billing!O16</f>
        <v>Badshah Fabrics</v>
      </c>
      <c r="B13" s="14">
        <f>Billing!W16</f>
        <v>1510000</v>
      </c>
      <c r="C13" s="101">
        <f>Billing!X16</f>
        <v>1835932.699341624</v>
      </c>
    </row>
    <row r="14" spans="1:3" ht="18" x14ac:dyDescent="0.35">
      <c r="A14" t="str">
        <f>Billing!O17</f>
        <v>Reject</v>
      </c>
      <c r="B14" s="14">
        <f>Billing!W17</f>
        <v>0</v>
      </c>
      <c r="C14" s="101">
        <f>Billing!X17</f>
        <v>0</v>
      </c>
    </row>
    <row r="15" spans="1:3" ht="18" x14ac:dyDescent="0.35">
      <c r="A15" t="str">
        <f>Billing!O18</f>
        <v>Amjad 7up</v>
      </c>
      <c r="B15" s="14">
        <f>Billing!W18</f>
        <v>400000</v>
      </c>
      <c r="C15" s="101">
        <f>Billing!X18</f>
        <v>83851.499634235573</v>
      </c>
    </row>
    <row r="16" spans="1:3" ht="18" x14ac:dyDescent="0.35">
      <c r="A16" t="str">
        <f>Billing!O19</f>
        <v>Hazrat Khan</v>
      </c>
      <c r="B16" s="14">
        <f>Billing!W19</f>
        <v>95000</v>
      </c>
      <c r="C16" s="101">
        <f>Billing!X19</f>
        <v>-5844.9158741770225</v>
      </c>
    </row>
    <row r="17" spans="1:3" ht="18" x14ac:dyDescent="0.35">
      <c r="A17" t="str">
        <f>Billing!O20</f>
        <v>Haseeb Shamsi</v>
      </c>
      <c r="B17" s="14">
        <f>Billing!W20</f>
        <v>256200</v>
      </c>
      <c r="C17" s="101">
        <f>Billing!X20</f>
        <v>72.860277981031686</v>
      </c>
    </row>
    <row r="18" spans="1:3" ht="18" x14ac:dyDescent="0.35">
      <c r="A18" t="str">
        <f>Billing!O21</f>
        <v>Faizan</v>
      </c>
      <c r="B18" s="14">
        <f>Billing!W21</f>
        <v>415571</v>
      </c>
      <c r="C18" s="102">
        <f>Billing!X21</f>
        <v>10.565471836132929</v>
      </c>
    </row>
    <row r="19" spans="1:3" ht="18" x14ac:dyDescent="0.35">
      <c r="A19" t="str">
        <f>Billing!O22</f>
        <v>Shafique Ansari</v>
      </c>
      <c r="B19" s="14">
        <f>Billing!W22</f>
        <v>98000</v>
      </c>
      <c r="C19" s="102">
        <f>Billing!X22</f>
        <v>355.88880760791653</v>
      </c>
    </row>
    <row r="20" spans="1:3" ht="18" x14ac:dyDescent="0.35">
      <c r="A20" t="str">
        <f>Billing!O23</f>
        <v>Amjad sohail</v>
      </c>
      <c r="B20" s="14">
        <f>Billing!W23</f>
        <v>300000</v>
      </c>
      <c r="C20" s="101">
        <f>Billing!X23</f>
        <v>-280243.23335771763</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2025-10-28T20:34:55Z</dcterms:modified>
  <cp:category/>
  <cp:contentStatus/>
</cp:coreProperties>
</file>