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422" documentId="8_{4BA2F63F-AD4E-4F04-A724-5F712AF3C5FD}" xr6:coauthVersionLast="47" xr6:coauthVersionMax="47" xr10:uidLastSave="{27A2342F-B29A-44FD-AE2B-5F317F22BDC9}"/>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78" r:id="rId19"/>
    <pivotCache cacheId="82" r:id="rId20"/>
    <pivotCache cacheId="88" r:id="rId21"/>
    <pivotCache cacheId="93" r:id="rId22"/>
    <pivotCache cacheId="97" r:id="rId23"/>
    <pivotCache cacheId="10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J58" i="1" a="1"/>
  <c r="J58" i="1" s="1"/>
  <c r="I59" i="1"/>
  <c r="J59" i="1" s="1" a="1"/>
  <c r="J59" i="1" s="1"/>
  <c r="I60" i="1"/>
  <c r="J60" i="1" a="1"/>
  <c r="J60" i="1"/>
  <c r="I61" i="1"/>
  <c r="J61" i="1" s="1" a="1"/>
  <c r="J61" i="1" s="1"/>
  <c r="I62" i="1"/>
  <c r="J62" i="1" a="1"/>
  <c r="J62" i="1" s="1"/>
  <c r="I63" i="1"/>
  <c r="J63" i="1" s="1" a="1"/>
  <c r="J63" i="1" s="1"/>
  <c r="G63" i="1"/>
  <c r="H25" i="6"/>
  <c r="H24" i="6"/>
  <c r="D2" i="17"/>
  <c r="I24" i="1"/>
  <c r="J24" i="1" s="1" a="1"/>
  <c r="J24" i="1" s="1"/>
  <c r="I5" i="1"/>
  <c r="J5" i="1" s="1" a="1"/>
  <c r="J5" i="1" s="1"/>
  <c r="I20" i="1"/>
  <c r="J20" i="1" s="1" a="1"/>
  <c r="J20" i="1" s="1"/>
  <c r="I28" i="1"/>
  <c r="J28" i="1" s="1" a="1"/>
  <c r="J28" i="1" s="1"/>
  <c r="I8" i="1"/>
  <c r="J8" i="1" s="1" a="1"/>
  <c r="J8" i="1" s="1"/>
  <c r="I9" i="1"/>
  <c r="I3" i="1"/>
  <c r="J3" i="1" s="1" a="1"/>
  <c r="J3" i="1" s="1"/>
  <c r="I4" i="1"/>
  <c r="J4" i="1" s="1" a="1"/>
  <c r="J4" i="1" s="1"/>
  <c r="I12" i="1"/>
  <c r="J12" i="1" s="1" a="1"/>
  <c r="J12" i="1" s="1"/>
  <c r="I22" i="1"/>
  <c r="J22" i="1" s="1" a="1"/>
  <c r="J22" i="1" s="1"/>
  <c r="I21" i="1"/>
  <c r="J21" i="1" s="1" a="1"/>
  <c r="J21" i="1" s="1"/>
  <c r="I10" i="1"/>
  <c r="J10" i="1" s="1" a="1"/>
  <c r="J10" i="1" s="1"/>
  <c r="I27" i="1"/>
  <c r="J27" i="1" s="1" a="1"/>
  <c r="J27" i="1" s="1"/>
  <c r="I19" i="1"/>
  <c r="J19" i="1" s="1" a="1"/>
  <c r="J19" i="1" s="1"/>
  <c r="I2" i="1"/>
  <c r="J2" i="1" s="1" a="1"/>
  <c r="J2" i="1" s="1"/>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I24" i="6"/>
  <c r="I25"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I33" i="1"/>
  <c r="J33" i="1" s="1" a="1"/>
  <c r="J33" i="1" s="1"/>
  <c r="I32" i="1"/>
  <c r="J32" i="1" s="1" a="1"/>
  <c r="J32" i="1" s="1"/>
  <c r="I31" i="1"/>
  <c r="J31" i="1" a="1"/>
  <c r="J31" i="1" s="1"/>
  <c r="I30" i="1"/>
  <c r="J30" i="1" s="1" a="1"/>
  <c r="J30" i="1" s="1"/>
  <c r="I29" i="1"/>
  <c r="J29" i="1" s="1" a="1"/>
  <c r="J29" i="1" s="1"/>
  <c r="I26" i="1"/>
  <c r="J26" i="1" s="1" a="1"/>
  <c r="J26" i="1" s="1"/>
  <c r="I25" i="1"/>
  <c r="J25" i="1" s="1" a="1"/>
  <c r="J25" i="1" s="1"/>
  <c r="I23" i="1"/>
  <c r="J23" i="1" s="1" a="1"/>
  <c r="J23" i="1" s="1"/>
  <c r="I18" i="1"/>
  <c r="J18" i="1" s="1" a="1"/>
  <c r="J18" i="1" s="1"/>
  <c r="I17" i="1"/>
  <c r="J17" i="1" s="1" a="1"/>
  <c r="J17" i="1" s="1"/>
  <c r="I16" i="1"/>
  <c r="J16" i="1" s="1" a="1"/>
  <c r="J16" i="1" s="1"/>
  <c r="I15" i="1"/>
  <c r="J15" i="1" s="1" a="1"/>
  <c r="J15" i="1" s="1"/>
  <c r="I14" i="1"/>
  <c r="J14" i="1" s="1" a="1"/>
  <c r="J14" i="1" s="1"/>
  <c r="I13" i="1"/>
  <c r="J13" i="1" s="1" a="1"/>
  <c r="J13" i="1" s="1"/>
  <c r="I11" i="1"/>
  <c r="J11" i="1" s="1" a="1"/>
  <c r="J11" i="1" s="1"/>
  <c r="I6" i="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C6" i="8"/>
  <c r="G8" i="15"/>
  <c r="G9" i="15"/>
  <c r="B84" i="9" a="1"/>
  <c r="B84" i="9"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98" i="9"/>
  <c r="G89" i="9"/>
  <c r="T10" i="9" s="1" a="1"/>
  <c r="T10" i="9" s="1"/>
  <c r="J88" i="9"/>
  <c r="W9" i="9" s="1"/>
  <c r="B6" i="20" s="1"/>
  <c r="I7" i="1"/>
  <c r="J7" i="1" s="1" a="1"/>
  <c r="J7" i="1" s="1"/>
  <c r="D3" i="17"/>
  <c r="N6" i="17" s="1"/>
  <c r="C136" i="17"/>
  <c r="K4" i="17" s="1"/>
  <c r="G17" i="2"/>
  <c r="H51" i="1" s="1"/>
  <c r="G9" i="2"/>
  <c r="H41" i="1" s="1"/>
  <c r="G22" i="2"/>
  <c r="H59" i="1" s="1"/>
  <c r="H8" i="2"/>
  <c r="I8" i="2" s="1"/>
  <c r="D8" i="2" s="1"/>
  <c r="G4" i="2"/>
  <c r="H40" i="1"/>
  <c r="H39" i="1"/>
  <c r="H56" i="1"/>
  <c r="H57" i="1"/>
  <c r="H53" i="1"/>
  <c r="G6" i="2"/>
  <c r="H37" i="1" s="1"/>
  <c r="H55" i="1"/>
  <c r="G14" i="2"/>
  <c r="H48" i="1" s="1"/>
  <c r="H22" i="2"/>
  <c r="I22" i="2" s="1"/>
  <c r="D22" i="2" s="1"/>
  <c r="C87" i="9"/>
  <c r="P8" i="9" s="1" a="1"/>
  <c r="P8" i="9" s="1"/>
  <c r="F91" i="9"/>
  <c r="S12" i="9" s="1" a="1"/>
  <c r="S12" i="9" s="1"/>
  <c r="G96" i="9"/>
  <c r="T17" i="9" s="1" a="1"/>
  <c r="T17" i="9" s="1"/>
  <c r="F92" i="9"/>
  <c r="D85" i="9"/>
  <c r="Q6" i="9" s="1" a="1"/>
  <c r="Q6" i="9" s="1"/>
  <c r="E85" i="9"/>
  <c r="R6" i="9" s="1" a="1"/>
  <c r="R6" i="9" s="1"/>
  <c r="H50" i="9" a="1"/>
  <c r="H50" i="9" s="1"/>
  <c r="B5" i="9"/>
  <c r="J68" i="9"/>
  <c r="H88" i="9"/>
  <c r="U9" i="9" s="1" a="1"/>
  <c r="U9" i="9" s="1"/>
  <c r="Q23" i="9" a="1"/>
  <c r="Q23" i="9" s="1"/>
  <c r="H65" i="9" a="1"/>
  <c r="H65" i="9" s="1"/>
  <c r="G68" i="9" a="1"/>
  <c r="G68" i="9" s="1"/>
  <c r="F95" i="9"/>
  <c r="S16" i="9" s="1" a="1"/>
  <c r="S16" i="9" s="1"/>
  <c r="H54" i="9" a="1"/>
  <c r="H54" i="9" s="1"/>
  <c r="E96" i="9"/>
  <c r="R17" i="9" s="1" a="1"/>
  <c r="R17" i="9" s="1"/>
  <c r="R25" i="9" a="1"/>
  <c r="R25" i="9" s="1"/>
  <c r="H96" i="9"/>
  <c r="U17" i="9" s="1" a="1"/>
  <c r="U17" i="9" s="1"/>
  <c r="C94" i="9"/>
  <c r="P15" i="9" s="1" a="1"/>
  <c r="P15" i="9" s="1"/>
  <c r="U22" i="9" a="1"/>
  <c r="U22" i="9" s="1"/>
  <c r="S25" i="9" a="1"/>
  <c r="S25" i="9" s="1"/>
  <c r="P25" i="9" a="1"/>
  <c r="P25" i="9" s="1"/>
  <c r="H59" i="9" a="1"/>
  <c r="H59" i="9" s="1"/>
  <c r="H57" i="9" a="1"/>
  <c r="H57" i="9" s="1"/>
  <c r="S23" i="9" a="1"/>
  <c r="S23" i="9" s="1"/>
  <c r="Q25" i="9" a="1"/>
  <c r="Q25" i="9" s="1"/>
  <c r="C91" i="9"/>
  <c r="P12" i="9" s="1" a="1"/>
  <c r="P12" i="9" s="1"/>
  <c r="J69" i="9"/>
  <c r="G69" i="9" a="1"/>
  <c r="G69" i="9" s="1"/>
  <c r="A22" i="20"/>
  <c r="W25" i="9"/>
  <c r="B22" i="20" s="1"/>
  <c r="E92" i="9"/>
  <c r="R13" i="9" s="1" a="1"/>
  <c r="R13" i="9" s="1"/>
  <c r="F98" i="9"/>
  <c r="S19" i="9" s="1" a="1"/>
  <c r="S19" i="9" s="1"/>
  <c r="U25" i="9" a="1"/>
  <c r="U25" i="9" s="1"/>
  <c r="J56" i="9"/>
  <c r="H55" i="9" a="1"/>
  <c r="H55" i="9" s="1"/>
  <c r="T25" i="9" a="1"/>
  <c r="T25" i="9" s="1"/>
  <c r="H69" i="9" a="1"/>
  <c r="H69" i="9" s="1"/>
  <c r="H61" i="9" a="1"/>
  <c r="H61" i="9" s="1"/>
  <c r="H99" i="9"/>
  <c r="U20" i="9" s="1" a="1"/>
  <c r="U20" i="9" s="1"/>
  <c r="H97" i="9"/>
  <c r="U18" i="9" s="1" a="1"/>
  <c r="U18" i="9" s="1"/>
  <c r="J87" i="9"/>
  <c r="W8" i="9" s="1"/>
  <c r="B5" i="20" s="1"/>
  <c r="B17" i="9"/>
  <c r="C17" i="9" s="1"/>
  <c r="B3" i="9"/>
  <c r="E3" i="9" s="1"/>
  <c r="J59" i="9"/>
  <c r="H68" i="9" a="1"/>
  <c r="H68" i="9" s="1"/>
  <c r="J86" i="9"/>
  <c r="W7" i="9" s="1"/>
  <c r="B4" i="20" s="1"/>
  <c r="J60" i="9"/>
  <c r="F85" i="9"/>
  <c r="S6" i="9" s="1" a="1"/>
  <c r="S6" i="9" s="1"/>
  <c r="R21" i="9" a="1"/>
  <c r="R21" i="9" s="1"/>
  <c r="E88" i="9"/>
  <c r="R9" i="9" s="1" a="1"/>
  <c r="R9" i="9" s="1"/>
  <c r="C95" i="9"/>
  <c r="P16" i="9" s="1" a="1"/>
  <c r="P16" i="9" s="1"/>
  <c r="F88" i="9"/>
  <c r="S9" i="9" s="1" a="1"/>
  <c r="S9" i="9" s="1"/>
  <c r="F90" i="9"/>
  <c r="S11" i="9" s="1" a="1"/>
  <c r="S11" i="9" s="1"/>
  <c r="G58" i="9" a="1"/>
  <c r="G58" i="9" s="1"/>
  <c r="C85" i="9"/>
  <c r="P6" i="9" s="1" a="1"/>
  <c r="P6" i="9" s="1"/>
  <c r="H56" i="9" a="1"/>
  <c r="H56" i="9" s="1"/>
  <c r="J67" i="9"/>
  <c r="D87" i="9"/>
  <c r="Q8" i="9" s="1" a="1"/>
  <c r="Q8" i="9" s="1"/>
  <c r="G92" i="9"/>
  <c r="T13" i="9" s="1" a="1"/>
  <c r="T13" i="9" s="1"/>
  <c r="H95" i="9"/>
  <c r="U16" i="9" s="1" a="1"/>
  <c r="U16" i="9" s="1"/>
  <c r="G88" i="9"/>
  <c r="T9" i="9" s="1" a="1"/>
  <c r="T9" i="9" s="1"/>
  <c r="G87" i="9"/>
  <c r="T8" i="9" s="1" a="1"/>
  <c r="T8" i="9" s="1"/>
  <c r="H98" i="9"/>
  <c r="U19" i="9" s="1" a="1"/>
  <c r="U19" i="9" s="1"/>
  <c r="C89" i="9"/>
  <c r="P10" i="9" s="1" a="1"/>
  <c r="P10" i="9" s="1"/>
  <c r="T23" i="9" a="1"/>
  <c r="T23" i="9" s="1"/>
  <c r="J63" i="9"/>
  <c r="C97" i="9"/>
  <c r="P18" i="9" s="1" a="1"/>
  <c r="P18" i="9" s="1"/>
  <c r="J58" i="9"/>
  <c r="H87" i="9"/>
  <c r="U8" i="9" s="1" a="1"/>
  <c r="U8" i="9" s="1"/>
  <c r="H53" i="9" a="1"/>
  <c r="H53" i="9" s="1"/>
  <c r="Q22" i="9" a="1"/>
  <c r="Q22" i="9" s="1"/>
  <c r="J9" i="1" a="1"/>
  <c r="J9" i="1" s="1"/>
  <c r="G66" i="9" a="1"/>
  <c r="G66" i="9" s="1"/>
  <c r="B14" i="9"/>
  <c r="E14" i="9" s="1"/>
  <c r="B15" i="9"/>
  <c r="T21" i="9" a="1"/>
  <c r="T21" i="9" s="1"/>
  <c r="E98" i="9"/>
  <c r="R19" i="9" s="1" a="1"/>
  <c r="R19" i="9" s="1"/>
  <c r="F89" i="9"/>
  <c r="S10" i="9" s="1" a="1"/>
  <c r="S10" i="9" s="1"/>
  <c r="D88" i="9"/>
  <c r="Q9" i="9" s="1" a="1"/>
  <c r="Q9" i="9" s="1"/>
  <c r="F93" i="9"/>
  <c r="S14" i="9" s="1" a="1"/>
  <c r="S14" i="9" s="1"/>
  <c r="D90" i="9"/>
  <c r="Q11" i="9" s="1" a="1"/>
  <c r="Q11" i="9" s="1"/>
  <c r="E87" i="9"/>
  <c r="R8" i="9" s="1" a="1"/>
  <c r="R8" i="9" s="1"/>
  <c r="C93" i="9"/>
  <c r="P14" i="9" s="1" a="1"/>
  <c r="P14" i="9" s="1"/>
  <c r="G52" i="9" a="1"/>
  <c r="G52" i="9" s="1"/>
  <c r="G85" i="9"/>
  <c r="T6" i="9" s="1" a="1"/>
  <c r="T6" i="9" s="1"/>
  <c r="B9" i="9"/>
  <c r="E9" i="9" s="1"/>
  <c r="F94" i="9"/>
  <c r="S15" i="9" s="1" a="1"/>
  <c r="S15" i="9" s="1"/>
  <c r="G86" i="9"/>
  <c r="T7" i="9" s="1" a="1"/>
  <c r="T7" i="9" s="1"/>
  <c r="J85" i="9"/>
  <c r="W6" i="9" s="1"/>
  <c r="B3" i="20" s="1"/>
  <c r="R22" i="9" a="1"/>
  <c r="R22" i="9" s="1"/>
  <c r="H62" i="9" a="1"/>
  <c r="H62" i="9" s="1"/>
  <c r="P24" i="9" a="1"/>
  <c r="P24" i="9" s="1"/>
  <c r="E97" i="9"/>
  <c r="R18" i="9" s="1" a="1"/>
  <c r="R18" i="9" s="1"/>
  <c r="D95" i="9"/>
  <c r="Q16" i="9" s="1" a="1"/>
  <c r="Q16" i="9" s="1"/>
  <c r="G55" i="9" a="1"/>
  <c r="G55" i="9" s="1"/>
  <c r="H86" i="9"/>
  <c r="U7" i="9" s="1" a="1"/>
  <c r="U7" i="9" s="1"/>
  <c r="G53" i="9" a="1"/>
  <c r="G53" i="9" s="1"/>
  <c r="E91" i="9"/>
  <c r="R12" i="9" s="1" a="1"/>
  <c r="R12" i="9" s="1"/>
  <c r="H92" i="9"/>
  <c r="U13" i="9" s="1" a="1"/>
  <c r="U13" i="9" s="1"/>
  <c r="F97" i="9"/>
  <c r="S18" i="9" s="1" a="1"/>
  <c r="S18" i="9" s="1"/>
  <c r="E93" i="9"/>
  <c r="R14" i="9" s="1" a="1"/>
  <c r="R14" i="9" s="1"/>
  <c r="G51" i="9" a="1"/>
  <c r="G51" i="9" s="1"/>
  <c r="P22" i="9" a="1"/>
  <c r="P22" i="9" s="1"/>
  <c r="G57" i="9" a="1"/>
  <c r="G57" i="9" s="1"/>
  <c r="F96" i="9"/>
  <c r="S17" i="9" s="1" a="1"/>
  <c r="S17" i="9" s="1"/>
  <c r="D99" i="9"/>
  <c r="Q20" i="9" s="1" a="1"/>
  <c r="Q20" i="9" s="1"/>
  <c r="B10" i="9"/>
  <c r="E89" i="9"/>
  <c r="R10" i="9" s="1" a="1"/>
  <c r="R10" i="9" s="1"/>
  <c r="J50" i="9"/>
  <c r="J97" i="9"/>
  <c r="W18" i="9" s="1"/>
  <c r="B15" i="20" s="1"/>
  <c r="J94" i="9"/>
  <c r="W15" i="9" s="1"/>
  <c r="B12" i="20" s="1"/>
  <c r="J98" i="9"/>
  <c r="W19" i="9" s="1"/>
  <c r="B16" i="20" s="1"/>
  <c r="R24" i="9" a="1"/>
  <c r="R24" i="9" s="1"/>
  <c r="Q24" i="9" a="1"/>
  <c r="Q24" i="9" s="1"/>
  <c r="G61" i="9" a="1"/>
  <c r="G61" i="9" s="1"/>
  <c r="H58" i="9" a="1"/>
  <c r="H58" i="9" s="1"/>
  <c r="B6" i="9"/>
  <c r="H67" i="9" a="1"/>
  <c r="H67" i="9" s="1"/>
  <c r="H60" i="9" a="1"/>
  <c r="H60" i="9" s="1"/>
  <c r="D89" i="9"/>
  <c r="Q10" i="9" s="1" a="1"/>
  <c r="Q10" i="9" s="1"/>
  <c r="E95" i="9"/>
  <c r="R16" i="9" s="1" a="1"/>
  <c r="R16" i="9" s="1"/>
  <c r="H93" i="9"/>
  <c r="U14" i="9" s="1" a="1"/>
  <c r="U14" i="9" s="1"/>
  <c r="G99" i="9"/>
  <c r="T20" i="9" s="1" a="1"/>
  <c r="T20" i="9" s="1"/>
  <c r="G59" i="9" a="1"/>
  <c r="G59" i="9" s="1"/>
  <c r="J93" i="9"/>
  <c r="W14" i="9" s="1"/>
  <c r="B11" i="20" s="1"/>
  <c r="C88" i="9"/>
  <c r="P9" i="9" s="1" a="1"/>
  <c r="P9" i="9" s="1"/>
  <c r="H85" i="9"/>
  <c r="J52" i="9"/>
  <c r="H89" i="9"/>
  <c r="U10" i="9" s="1" a="1"/>
  <c r="U10" i="9" s="1"/>
  <c r="G62" i="9" a="1"/>
  <c r="G62" i="9" s="1"/>
  <c r="H90" i="9"/>
  <c r="D86" i="9"/>
  <c r="Q7" i="9" s="1" a="1"/>
  <c r="Q7" i="9" s="1"/>
  <c r="U21" i="9" a="1"/>
  <c r="U21" i="9" s="1"/>
  <c r="D94" i="9"/>
  <c r="Q15" i="9" s="1" a="1"/>
  <c r="Q15" i="9" s="1"/>
  <c r="G56" i="9" a="1"/>
  <c r="G56" i="9" s="1"/>
  <c r="B16" i="9"/>
  <c r="C16" i="9" s="1"/>
  <c r="G65" i="9" a="1"/>
  <c r="G65" i="9" s="1"/>
  <c r="D91" i="9"/>
  <c r="Q12" i="9" s="1" a="1"/>
  <c r="Q12" i="9" s="1"/>
  <c r="G60" i="9" a="1"/>
  <c r="G60" i="9" s="1"/>
  <c r="D97" i="9"/>
  <c r="Q18" i="9" s="1" a="1"/>
  <c r="Q18" i="9" s="1"/>
  <c r="C98" i="9"/>
  <c r="P19" i="9" s="1" a="1"/>
  <c r="P19" i="9" s="1"/>
  <c r="B8" i="9"/>
  <c r="S24" i="9" a="1"/>
  <c r="S24" i="9" s="1"/>
  <c r="P21" i="9" a="1"/>
  <c r="P21" i="9" s="1"/>
  <c r="U23" i="9" a="1"/>
  <c r="U23" i="9" s="1"/>
  <c r="J61" i="9"/>
  <c r="J92" i="9"/>
  <c r="W13" i="9" s="1"/>
  <c r="B10" i="20" s="1"/>
  <c r="H51" i="9" a="1"/>
  <c r="H51" i="9" s="1"/>
  <c r="B7" i="9"/>
  <c r="G54" i="9" a="1"/>
  <c r="G54" i="9" s="1"/>
  <c r="C90" i="9"/>
  <c r="P11" i="9" s="1" a="1"/>
  <c r="P11" i="9" s="1"/>
  <c r="J95" i="9"/>
  <c r="W16" i="9" s="1"/>
  <c r="B13" i="20" s="1"/>
  <c r="J99" i="9"/>
  <c r="W20" i="9" s="1"/>
  <c r="B17" i="20" s="1"/>
  <c r="G91" i="9"/>
  <c r="T12" i="9" s="1" a="1"/>
  <c r="T12" i="9" s="1"/>
  <c r="J66" i="9"/>
  <c r="D96" i="9"/>
  <c r="Q17" i="9" s="1" a="1"/>
  <c r="Q17" i="9" s="1"/>
  <c r="G93" i="9"/>
  <c r="J89" i="9"/>
  <c r="W10" i="9" s="1"/>
  <c r="B7" i="20" s="1"/>
  <c r="H91" i="9"/>
  <c r="U12" i="9" s="1" a="1"/>
  <c r="U12" i="9" s="1"/>
  <c r="J51" i="9"/>
  <c r="B12" i="9"/>
  <c r="H63" i="9" a="1"/>
  <c r="H63" i="9" s="1"/>
  <c r="B4" i="9"/>
  <c r="E4" i="9" s="1"/>
  <c r="J96" i="9"/>
  <c r="W17" i="9" s="1"/>
  <c r="B14" i="20" s="1"/>
  <c r="P23" i="9" a="1"/>
  <c r="P23" i="9" s="1"/>
  <c r="C86" i="9"/>
  <c r="P7" i="9" s="1" a="1"/>
  <c r="P7" i="9" s="1"/>
  <c r="B18" i="9"/>
  <c r="T22" i="9" a="1"/>
  <c r="T22" i="9" s="1"/>
  <c r="J53" i="9"/>
  <c r="C96" i="9"/>
  <c r="P17" i="9" s="1" a="1"/>
  <c r="P17" i="9" s="1"/>
  <c r="S21" i="9" a="1"/>
  <c r="S21" i="9" s="1"/>
  <c r="D92" i="9"/>
  <c r="Q13" i="9" s="1" a="1"/>
  <c r="Q13" i="9" s="1"/>
  <c r="J62" i="9"/>
  <c r="G95" i="9"/>
  <c r="H66" i="9" a="1"/>
  <c r="H66" i="9" s="1"/>
  <c r="T24" i="9" a="1"/>
  <c r="T24" i="9" s="1"/>
  <c r="A11" i="20"/>
  <c r="W24" i="9"/>
  <c r="B21" i="20" s="1"/>
  <c r="A19" i="20"/>
  <c r="A21" i="20"/>
  <c r="A7" i="21"/>
  <c r="B7" i="21" s="1"/>
  <c r="A9" i="20"/>
  <c r="G97" i="9"/>
  <c r="C99" i="9"/>
  <c r="P20" i="9" s="1" a="1"/>
  <c r="P20" i="9" s="1"/>
  <c r="U24" i="9" a="1"/>
  <c r="U24" i="9" s="1"/>
  <c r="G67" i="9" a="1"/>
  <c r="G67" i="9" s="1"/>
  <c r="A3" i="20"/>
  <c r="F99" i="9"/>
  <c r="S20" i="9" s="1" a="1"/>
  <c r="S20" i="9" s="1"/>
  <c r="G63" i="9" a="1"/>
  <c r="G63" i="9" s="1"/>
  <c r="G50" i="9" a="1"/>
  <c r="G50" i="9" s="1"/>
  <c r="R23" i="9" a="1"/>
  <c r="R23" i="9" s="1"/>
  <c r="B13" i="9"/>
  <c r="J90" i="9"/>
  <c r="E99" i="9"/>
  <c r="R20" i="9" s="1" a="1"/>
  <c r="R20" i="9" s="1"/>
  <c r="F86" i="9"/>
  <c r="S7" i="9" s="1" a="1"/>
  <c r="S7" i="9" s="1"/>
  <c r="G98" i="9"/>
  <c r="D93" i="9"/>
  <c r="Q14" i="9" s="1" a="1"/>
  <c r="Q14" i="9" s="1"/>
  <c r="F87" i="9"/>
  <c r="S8" i="9" s="1" a="1"/>
  <c r="S8" i="9" s="1"/>
  <c r="C92" i="9"/>
  <c r="P13" i="9" s="1" a="1"/>
  <c r="P13" i="9" s="1"/>
  <c r="E94" i="9"/>
  <c r="R15" i="9" s="1" a="1"/>
  <c r="R15" i="9" s="1"/>
  <c r="E86" i="9"/>
  <c r="R7" i="9" s="1" a="1"/>
  <c r="R7" i="9" s="1"/>
  <c r="Q21" i="9" a="1"/>
  <c r="Q21" i="9" s="1"/>
  <c r="B49" i="9"/>
  <c r="Q19" i="9" a="1"/>
  <c r="Q19" i="9" s="1"/>
  <c r="G94" i="9"/>
  <c r="E90" i="9"/>
  <c r="R11" i="9" s="1" a="1"/>
  <c r="R11" i="9" s="1"/>
  <c r="J55" i="9"/>
  <c r="B11" i="9"/>
  <c r="H52" i="9" a="1"/>
  <c r="H52" i="9" s="1"/>
  <c r="H94" i="9"/>
  <c r="U15" i="9" s="1" a="1"/>
  <c r="U15" i="9" s="1"/>
  <c r="J65" i="9"/>
  <c r="J54" i="9"/>
  <c r="S13" i="9" a="1"/>
  <c r="S13" i="9" s="1"/>
  <c r="J91" i="9"/>
  <c r="W12" i="9" s="1"/>
  <c r="B9" i="20" s="1"/>
  <c r="A18" i="21"/>
  <c r="B18" i="21" s="1"/>
  <c r="A13" i="20"/>
  <c r="A8" i="21"/>
  <c r="B8" i="21" s="1"/>
  <c r="A14" i="21"/>
  <c r="B14" i="21" s="1"/>
  <c r="A14" i="20"/>
  <c r="A17" i="21"/>
  <c r="B17" i="21" s="1"/>
  <c r="A4" i="21"/>
  <c r="B4" i="21" s="1"/>
  <c r="A11" i="21"/>
  <c r="B11" i="21" s="1"/>
  <c r="A7" i="20"/>
  <c r="W23" i="9"/>
  <c r="B20" i="20" s="1"/>
  <c r="A9" i="21"/>
  <c r="B9" i="21" s="1"/>
  <c r="A5" i="21"/>
  <c r="B5" i="21" s="1"/>
  <c r="A15" i="20"/>
  <c r="A12" i="20"/>
  <c r="W22" i="9"/>
  <c r="B19" i="20" s="1"/>
  <c r="A3" i="21"/>
  <c r="B3" i="21" s="1"/>
  <c r="A15" i="21"/>
  <c r="B15" i="21" s="1"/>
  <c r="A20" i="20"/>
  <c r="A5" i="20"/>
  <c r="A13" i="21"/>
  <c r="B13" i="21" s="1"/>
  <c r="O5" i="9"/>
  <c r="A12" i="21"/>
  <c r="B12" i="21" s="1"/>
  <c r="A16" i="20"/>
  <c r="A10" i="20"/>
  <c r="A6" i="21"/>
  <c r="B6" i="21" s="1"/>
  <c r="A10" i="21"/>
  <c r="B10" i="21" s="1"/>
  <c r="A4" i="20"/>
  <c r="A16" i="21"/>
  <c r="B16" i="21" s="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I36" i="12"/>
  <c r="G10" i="15"/>
  <c r="H8" i="7"/>
  <c r="D35" i="18"/>
  <c r="C11" i="8" s="1"/>
  <c r="E35" i="18"/>
  <c r="H26" i="6"/>
  <c r="C37" i="12"/>
  <c r="J35" i="14"/>
  <c r="C12" i="8" s="1"/>
  <c r="D35" i="14"/>
  <c r="C10" i="8" s="1"/>
  <c r="I26" i="6"/>
  <c r="L42" i="6" s="1"/>
  <c r="H8" i="15"/>
  <c r="V34" i="9"/>
  <c r="X34" i="9" s="1"/>
  <c r="V32" i="9"/>
  <c r="X32" i="9" s="1"/>
  <c r="D2" i="2"/>
  <c r="I64" i="1" l="1" a="1"/>
  <c r="I64" i="1" s="1"/>
  <c r="V10" i="9"/>
  <c r="I54" i="9"/>
  <c r="K54" i="9" s="1"/>
  <c r="J6" i="1"/>
  <c r="I56" i="9"/>
  <c r="K56" i="9" s="1"/>
  <c r="D14" i="19" a="1"/>
  <c r="D14" i="19" s="1"/>
  <c r="D10" i="19" a="1"/>
  <c r="D10" i="19" s="1"/>
  <c r="G90" i="9"/>
  <c r="T11" i="9" s="1" a="1"/>
  <c r="T11" i="9" s="1"/>
  <c r="I97" i="9"/>
  <c r="K97" i="9" s="1"/>
  <c r="I95" i="9"/>
  <c r="K95" i="9" s="1"/>
  <c r="C12" i="10"/>
  <c r="D136" i="17"/>
  <c r="K5" i="17" s="1"/>
  <c r="K6" i="17" s="1"/>
  <c r="N7" i="17"/>
  <c r="P7" i="17" s="1"/>
  <c r="H10" i="15"/>
  <c r="H45" i="1"/>
  <c r="H34" i="1"/>
  <c r="V25" i="9"/>
  <c r="X25" i="9" s="1"/>
  <c r="C22" i="20" s="1"/>
  <c r="V17" i="9"/>
  <c r="X17" i="9" s="1"/>
  <c r="C14" i="20" s="1"/>
  <c r="I50" i="9"/>
  <c r="K50" i="9" s="1"/>
  <c r="V7" i="9"/>
  <c r="X7" i="9" s="1"/>
  <c r="C4" i="20" s="1"/>
  <c r="V22" i="9"/>
  <c r="X22" i="9" s="1"/>
  <c r="C19" i="20" s="1"/>
  <c r="E5" i="9"/>
  <c r="C5" i="9"/>
  <c r="I88" i="9"/>
  <c r="K88" i="9" s="1"/>
  <c r="V9" i="9"/>
  <c r="X9" i="9" s="1"/>
  <c r="C6" i="20" s="1"/>
  <c r="I69" i="9"/>
  <c r="K69" i="9" s="1"/>
  <c r="I65" i="9"/>
  <c r="K65" i="9" s="1"/>
  <c r="I61" i="9"/>
  <c r="K61" i="9" s="1"/>
  <c r="I59" i="9"/>
  <c r="K59" i="9" s="1"/>
  <c r="V8" i="9"/>
  <c r="X8" i="9" s="1"/>
  <c r="C5" i="20" s="1"/>
  <c r="I55" i="9"/>
  <c r="K55" i="9" s="1"/>
  <c r="J64" i="1" a="1"/>
  <c r="J64" i="1" s="1"/>
  <c r="I58" i="9"/>
  <c r="I60" i="9"/>
  <c r="K60" i="9" s="1"/>
  <c r="E17" i="9"/>
  <c r="I57" i="9"/>
  <c r="K57" i="9" s="1"/>
  <c r="I68" i="9"/>
  <c r="K68" i="9" s="1"/>
  <c r="I62" i="9"/>
  <c r="K62" i="9" s="1"/>
  <c r="I52" i="9"/>
  <c r="K52" i="9" s="1"/>
  <c r="I96" i="9"/>
  <c r="K96" i="9" s="1"/>
  <c r="I66" i="9"/>
  <c r="K66" i="9" s="1"/>
  <c r="C14" i="9"/>
  <c r="C3" i="9"/>
  <c r="V24" i="9"/>
  <c r="X24" i="9" s="1"/>
  <c r="C21" i="20" s="1"/>
  <c r="K58" i="9"/>
  <c r="I87" i="9"/>
  <c r="K87" i="9" s="1"/>
  <c r="V23" i="9"/>
  <c r="X23" i="9" s="1"/>
  <c r="C20" i="20" s="1"/>
  <c r="I53" i="9"/>
  <c r="K53" i="9" s="1"/>
  <c r="C4" i="9"/>
  <c r="C15" i="9"/>
  <c r="E15" i="9"/>
  <c r="I67" i="9"/>
  <c r="K67" i="9" s="1"/>
  <c r="V20" i="9"/>
  <c r="X20" i="9" s="1"/>
  <c r="C17" i="20" s="1"/>
  <c r="I51" i="9"/>
  <c r="K51" i="9" s="1"/>
  <c r="V21" i="9"/>
  <c r="X21" i="9" s="1"/>
  <c r="C18" i="20" s="1"/>
  <c r="T16" i="9" a="1"/>
  <c r="T16" i="9" s="1"/>
  <c r="V16" i="9" s="1"/>
  <c r="X16" i="9" s="1"/>
  <c r="C13" i="20" s="1"/>
  <c r="C10" i="9"/>
  <c r="E10" i="9"/>
  <c r="V12" i="9"/>
  <c r="X12" i="9" s="1"/>
  <c r="C9" i="20" s="1"/>
  <c r="V13" i="9"/>
  <c r="X13" i="9" s="1"/>
  <c r="C10" i="20" s="1"/>
  <c r="C9" i="9"/>
  <c r="I63" i="9"/>
  <c r="K63" i="9" s="1"/>
  <c r="I92" i="9"/>
  <c r="K92" i="9" s="1"/>
  <c r="I99" i="9"/>
  <c r="K99" i="9" s="1"/>
  <c r="I86" i="9"/>
  <c r="K86" i="9" s="1"/>
  <c r="E18" i="19" a="1"/>
  <c r="E18" i="19" s="1"/>
  <c r="E12" i="9"/>
  <c r="C12" i="9"/>
  <c r="C6" i="9"/>
  <c r="E6" i="9"/>
  <c r="E18" i="9"/>
  <c r="C18" i="9"/>
  <c r="T14" i="9" a="1"/>
  <c r="T14" i="9" s="1"/>
  <c r="V14" i="9" s="1"/>
  <c r="X14" i="9" s="1"/>
  <c r="C11" i="20" s="1"/>
  <c r="I93" i="9"/>
  <c r="K93" i="9" s="1"/>
  <c r="X10" i="9"/>
  <c r="C7" i="20" s="1"/>
  <c r="D8" i="19" a="1"/>
  <c r="D8" i="19" s="1"/>
  <c r="E16" i="9"/>
  <c r="E8" i="9"/>
  <c r="C8" i="9"/>
  <c r="U11" i="9" a="1"/>
  <c r="U11" i="9" s="1"/>
  <c r="C7" i="9"/>
  <c r="E7" i="9" a="1"/>
  <c r="E7" i="9" s="1"/>
  <c r="I85" i="9"/>
  <c r="K85" i="9" s="1"/>
  <c r="U6" i="9" a="1"/>
  <c r="U6" i="9" s="1"/>
  <c r="V6" i="9" s="1"/>
  <c r="X6" i="9" s="1"/>
  <c r="C3" i="20" s="1"/>
  <c r="I89" i="9"/>
  <c r="K89" i="9" s="1"/>
  <c r="I91" i="9"/>
  <c r="K91" i="9" s="1"/>
  <c r="T18" i="9" a="1"/>
  <c r="T18" i="9" s="1"/>
  <c r="V18" i="9" s="1"/>
  <c r="X18" i="9" s="1"/>
  <c r="C15" i="20" s="1"/>
  <c r="C11" i="9"/>
  <c r="E11" i="9"/>
  <c r="T15" i="9" a="1"/>
  <c r="T15" i="9" s="1"/>
  <c r="V15" i="9" s="1"/>
  <c r="X15" i="9" s="1"/>
  <c r="C12" i="20" s="1"/>
  <c r="I94" i="9"/>
  <c r="K94" i="9" s="1"/>
  <c r="W11" i="9"/>
  <c r="B8" i="20" s="1"/>
  <c r="C13" i="9"/>
  <c r="E13" i="9"/>
  <c r="T19" i="9" a="1"/>
  <c r="T19" i="9" s="1"/>
  <c r="V19" i="9" s="1"/>
  <c r="X19" i="9" s="1"/>
  <c r="C16" i="20" s="1"/>
  <c r="I98" i="9"/>
  <c r="K98" i="9" s="1"/>
  <c r="J84" i="9"/>
  <c r="W5" i="9" s="1"/>
  <c r="B2" i="20" s="1"/>
  <c r="C14" i="19" a="1"/>
  <c r="C14" i="19" s="1"/>
  <c r="B2" i="9"/>
  <c r="G49" i="9" a="1"/>
  <c r="G49" i="9" s="1"/>
  <c r="C12" i="19" a="1"/>
  <c r="C12" i="19" s="1"/>
  <c r="F49" i="9" a="1"/>
  <c r="F49" i="9" s="1"/>
  <c r="H49" i="9" a="1"/>
  <c r="H49" i="9" s="1"/>
  <c r="G84" i="9"/>
  <c r="T5" i="9" s="1" a="1"/>
  <c r="T5" i="9" s="1"/>
  <c r="E49" i="9" a="1"/>
  <c r="E49" i="9" s="1"/>
  <c r="C49" i="9" a="1"/>
  <c r="C49" i="9" s="1"/>
  <c r="H84" i="9"/>
  <c r="U5" i="9" s="1" a="1"/>
  <c r="U5" i="9" s="1"/>
  <c r="D84" i="9"/>
  <c r="Q5" i="9" s="1" a="1"/>
  <c r="Q5" i="9" s="1"/>
  <c r="C84" i="9"/>
  <c r="P5" i="9" s="1" a="1"/>
  <c r="P5" i="9" s="1"/>
  <c r="F84" i="9"/>
  <c r="S5" i="9" s="1" a="1"/>
  <c r="S5" i="9" s="1"/>
  <c r="J49" i="9"/>
  <c r="D49" i="9" a="1"/>
  <c r="D49" i="9" s="1"/>
  <c r="E84" i="9"/>
  <c r="R5" i="9" s="1" a="1"/>
  <c r="R5" i="9" s="1"/>
  <c r="D12" i="19" s="1" a="1"/>
  <c r="D12" i="19" s="1"/>
  <c r="A2" i="21"/>
  <c r="B2" i="21" s="1"/>
  <c r="A2" i="20"/>
  <c r="F35" i="18"/>
  <c r="C9" i="8"/>
  <c r="C14" i="8" s="1"/>
  <c r="C4" i="10" s="1"/>
  <c r="C15" i="10" s="1"/>
  <c r="C17" i="10" s="1"/>
  <c r="E14" i="19" l="1"/>
  <c r="I90" i="9"/>
  <c r="K90" i="9" s="1"/>
  <c r="V11" i="9"/>
  <c r="X11" i="9" s="1"/>
  <c r="C8" i="20" s="1"/>
  <c r="F136" i="17"/>
  <c r="C19" i="10"/>
  <c r="E20" i="19" a="1"/>
  <c r="E20" i="19" s="1"/>
  <c r="E12" i="19"/>
  <c r="V5" i="9"/>
  <c r="X5" i="9" s="1"/>
  <c r="C2" i="20" s="1"/>
  <c r="I49" i="9"/>
  <c r="C21" i="9"/>
  <c r="E2" i="9"/>
  <c r="C2" i="9"/>
  <c r="I84" i="9"/>
  <c r="K84" i="9" s="1"/>
  <c r="E16" i="19" l="1"/>
  <c r="C23" i="9"/>
  <c r="C3" i="10" s="1"/>
  <c r="K49"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<sst xmlns="http://schemas.openxmlformats.org/spreadsheetml/2006/main" count="1009" uniqueCount="291">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</sst>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80">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40</xdr:row>
      <xdr:rowOff>119579</xdr:rowOff>
    </xdr:from>
    <xdr:to>
      <xdr:col>10</xdr:col>
      <xdr:colOff>1236689</xdr:colOff>
      <xdr:row>53</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-18992</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79">
      <pivotArea field="0" grandRow="1" outline="0" collapsedLevelsAreSubtotals="1" axis="axisRow" fieldPosition="0">
        <references count="1">
          <reference field="4294967294" count="1" selected="0">
            <x v="1"/>
          </reference>
        </references>
      </pivotArea>
    </format>
    <format dxfId="178">
      <pivotArea field="0" grandRow="1" outline="0" collapsedLevelsAreSubtotals="1" axis="axisRow" fieldPosition="0">
        <references count="1">
          <reference field="4294967294" count="1" selected="0">
            <x v="0"/>
          </reference>
        </references>
      </pivotArea>
    </format>
    <format dxfId="177">
      <pivotArea collapsedLevelsAreSubtotals="1" fieldPosition="0">
        <references count="2">
          <reference field="4294967294" count="1" selected="0">
            <x v="1"/>
          </reference>
          <reference field="0" count="0"/>
        </references>
      </pivotArea>
    </format>
    <format dxfId="17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5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52">
      <pivotArea dataOnly="0" labelOnly="1" outline="0" fieldPosition="0">
        <references count="1">
          <reference field="1" count="1">
            <x v="1"/>
          </reference>
        </references>
      </pivotArea>
    </format>
    <format dxfId="15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1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07">
      <pivotArea type="all" dataOnly="0" outline="0" fieldPosition="0"/>
    </format>
    <format dxfId="106">
      <pivotArea outline="0" collapsedLevelsAreSubtotals="1" fieldPosition="0"/>
    </format>
    <format dxfId="105">
      <pivotArea field="4" type="button" dataOnly="0" labelOnly="1" outline="0" axis="axisRow" fieldPosition="0"/>
    </format>
    <format dxfId="104">
      <pivotArea dataOnly="0" labelOnly="1" fieldPosition="0">
        <references count="1">
          <reference field="4" count="0"/>
        </references>
      </pivotArea>
    </format>
    <format dxfId="103">
      <pivotArea dataOnly="0" labelOnly="1" grandRow="1" outline="0" fieldPosition="0"/>
    </format>
    <format dxfId="102">
      <pivotArea dataOnly="0" labelOnly="1" outline="0" fieldPosition="0">
        <references count="1">
          <reference field="4294967294" count="2">
            <x v="0"/>
            <x v="1"/>
          </reference>
        </references>
      </pivotArea>
    </format>
    <format dxfId="101">
      <pivotArea grandRow="1" outline="0" collapsedLevelsAreSubtotals="1" fieldPosition="0"/>
    </format>
    <format dxfId="100">
      <pivotArea field="4" type="button" dataOnly="0" labelOnly="1" outline="0" axis="axisRow" fieldPosition="0"/>
    </format>
    <format dxfId="9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75">
      <calculatedColumnFormula>B49</calculatedColumnFormula>
    </tableColumn>
    <tableColumn id="2" xr3:uid="{7EDCC2ED-0339-42B3-9633-FFEA7A3DD9F3}" name="Tiyaar" dataDxfId="174">
      <calculatedColumnFormula>SUMIFS(ledger!G:G, ledger!B:B, B2, ledger!E:E, "&lt;&gt;*RD*") / 1.0936</calculatedColumnFormula>
    </tableColumn>
    <tableColumn id="3" xr3:uid="{CC1535DD-3FE7-4F55-8040-E7643388A78E}" name="Rate"/>
    <tableColumn id="4" xr3:uid="{059CB70B-ADAD-4985-84AA-0D530BAC5567}" name="Total" dataDxfId="173">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72" dataDxfId="171">
  <autoFilter ref="B7:E20" xr:uid="{449E5D32-DF9C-4018-96AB-CA98E118D910}"/>
  <tableColumns count="4">
    <tableColumn id="1" xr3:uid="{F663704C-91DD-4BB9-B7EB-EEB0C5EDED6C}" name="Description" dataDxfId="170"/>
    <tableColumn id="2" xr3:uid="{6D94D495-CD0B-4FD3-9771-81D731982A97}" name="Rate" dataDxfId="169" dataCellStyle="Comma"/>
    <tableColumn id="3" xr3:uid="{2D14CEAD-3602-40E7-A488-3584EBC9141E}" name="gazana" dataDxfId="168" dataCellStyle="Comma"/>
    <tableColumn id="4" xr3:uid="{06FEE63C-6480-4079-8426-51BC26B38B34}" name="sum" dataDxfId="167"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66" totalsRowDxfId="165"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64" dataDxfId="163" headerRowCellStyle="Comma" dataCellStyle="Comma">
  <autoFilter ref="B2:C5" xr:uid="{136E8F7F-D03F-4198-8335-91A003EA9E45}"/>
  <tableColumns count="2">
    <tableColumn id="1" xr3:uid="{279FA697-9952-479A-AC05-0D4992B41374}" name="Column1" dataDxfId="162" dataCellStyle="Comma"/>
    <tableColumn id="2" xr3:uid="{8A64998B-65EF-41CD-BCB0-3DDB7B359C54}" name="Column2" dataDxfId="161"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60"/>
    <tableColumn id="2" xr3:uid="{51D27FA2-8DDF-4369-BAF7-7D1FE90E16A0}" name="Column2" dataDxfId="15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58" totalsRowDxfId="157"/>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56">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54" dataDxfId="153" headerRowCellStyle="Comma" dataCellStyle="Comma">
  <autoFilter ref="A1:K63" xr:uid="{11DACEC6-751B-4B1D-817F-5C5BCD38EF6D}"/>
  <tableColumns count="11">
    <tableColumn id="1" xr3:uid="{2FCE3FA8-A48C-4685-8919-AE44C6C71FD9}" name="Date" dataDxfId="51" dataCellStyle="Comma"/>
    <tableColumn id="2" xr3:uid="{5780FD5F-0890-44E6-B59C-8E37A559FE36}" name="Party Name" dataDxfId="50" dataCellStyle="Comma"/>
    <tableColumn id="3" xr3:uid="{5B3ECD85-9174-40AC-BFBD-49CAC97A83D3}" name="Bill Number" dataDxfId="49" dataCellStyle="Comma"/>
    <tableColumn id="4" xr3:uid="{11B50761-04B6-4262-AD4D-7182450037D1}" name="Quality" dataDxfId="48" dataCellStyle="Comma"/>
    <tableColumn id="5" xr3:uid="{2C556969-B713-4967-BD24-466AACCBE5F5}" name="Shipment Number" dataDxfId="47" totalsRowDxfId="40" dataCellStyle="Comma"/>
    <tableColumn id="6" xr3:uid="{F4E1FD2B-9017-4DEB-B772-BF447ECE56F7}" name="Kora/metre" dataDxfId="46" totalsRowDxfId="39" dataCellStyle="Comma"/>
    <tableColumn id="7" xr3:uid="{52ACC1DA-7A76-4A90-B809-3A1AE728E7EA}" name="Tiyaar/gaz" dataDxfId="45" totalsRowDxfId="38" dataCellStyle="Comma"/>
    <tableColumn id="8" xr3:uid="{31A0FF5E-56F0-44D1-9865-73256B964660}" name="shortage %" dataDxfId="44" totalsRowDxfId="37" dataCellStyle="Comma">
      <calculatedColumnFormula>_xlfn.XLOOKUP(Table1[[#This Row],[Shipment Number]], 'pivot '!A:A,'pivot '!G:G, "NF")</calculatedColumnFormula>
    </tableColumn>
    <tableColumn id="9" xr3:uid="{F99075E0-AC8E-094D-BB85-272AD2C6C568}" name="tiyar/meters" totalsRowFunction="custom" dataDxfId="43" totalsRowDxfId="36"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42" totalsRowDxfId="3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41" totalsRowDxfId="34"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150" headerRowBorderDxfId="149" tableBorderDxfId="148">
  <autoFilter ref="A1:I25" xr:uid="{F8E8C957-ABE7-4E4F-8D4E-7D44E26B334F}">
    <filterColumn colId="1">
      <filters>
        <filter val="Malik Zaheer"/>
      </filters>
    </filterColumn>
  </autoFilter>
  <tableColumns count="9">
    <tableColumn id="1" xr3:uid="{C2E817D6-AB98-4DDD-8890-736B27F261CD}" name="Date" dataDxfId="83" totalsRowDxfId="82"/>
    <tableColumn id="2" xr3:uid="{CFB51890-CCDC-463C-81C9-3F8BD7469CB9}" name="Party Name"/>
    <tableColumn id="3" xr3:uid="{A113D971-1C9D-4733-99C4-BD0CC4333209}" name="Vehicle Number"/>
    <tableColumn id="4" xr3:uid="{49780304-3DD1-4AE9-98EE-2BC7EB8F3B57}" name="Weight" dataDxfId="81" totalsRowDxfId="80" dataCellStyle="Comma"/>
    <tableColumn id="5" xr3:uid="{FCAF1BC6-1D8C-42AD-8BBC-F924BF2DC7FE}" name="Rate" dataDxfId="79" totalsRowDxfId="78" dataCellStyle="Comma"/>
    <tableColumn id="6" xr3:uid="{8C70A624-4134-410C-9C45-9FDEB51D51BF}" name="Rent" dataDxfId="77" totalsRowDxfId="76" dataCellStyle="Comma"/>
    <tableColumn id="7" xr3:uid="{EBCE10AE-9634-4982-9C95-37ABC8A7078C}" name="Total" totalsRowFunction="sum" dataDxfId="75" totalsRowDxfId="74" dataCellStyle="Comma">
      <calculatedColumnFormula>D2*E2</calculatedColumnFormula>
    </tableColumn>
    <tableColumn id="9" xr3:uid="{D4788559-C94A-44D9-B9AE-E72B214355AC}" name="Paid" totalsRowFunction="sum" dataDxfId="73" totalsRowDxfId="72" dataCellStyle="Comma"/>
    <tableColumn id="8" xr3:uid="{E26F5BF0-1875-4FC6-994D-49F202ED562B}" name="balance" totalsRowFunction="sum" dataDxfId="71" totalsRowDxfId="7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36" totalsRowCount="1">
  <autoFilter ref="A1:G135" xr:uid="{CB032221-B416-47A8-9A76-693DE76CFD04}"/>
  <tableColumns count="7">
    <tableColumn id="1" xr3:uid="{554B1EED-65B6-4E9A-B646-82727FAC40DE}" name="Date" dataDxfId="91" totalsRowDxfId="87"/>
    <tableColumn id="2" xr3:uid="{32259059-42CF-4947-83DE-115AA430BE2B}" name="Party"/>
    <tableColumn id="3" xr3:uid="{A1320223-D55D-483C-91C3-AB19B95CC9D8}" name="Debit" totalsRowFunction="sum" dataDxfId="90" totalsRowDxfId="86" dataCellStyle="Comma"/>
    <tableColumn id="4" xr3:uid="{E9745767-9FF0-4B1C-9052-FF335D1D7588}" name="Credit" totalsRowFunction="sum" dataDxfId="89" totalsRowDxfId="85" dataCellStyle="Comma"/>
    <tableColumn id="5" xr3:uid="{5C88A48E-2467-4E6D-B626-2442B7FD0BE4}" name="Description"/>
    <tableColumn id="6" xr3:uid="{63CA4666-144E-4BE6-8B7C-7CB992BD3041}" name="Mode" totalsRowFunction="custom" dataDxfId="88" totalsRowDxfId="8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46" tableBorderDxfId="145" totalsRowBorderDxfId="144">
  <autoFilter ref="J3:K6" xr:uid="{DCE01694-23ED-48BF-8B92-4186B9ED10A8}"/>
  <tableColumns count="2">
    <tableColumn id="1" xr3:uid="{C8484DAF-2989-4C2F-9AEC-A6917E1C57F6}" name="Type" dataDxfId="143"/>
    <tableColumn id="2" xr3:uid="{B07B7A2A-4D4E-4654-BED6-FE2F0A7BEC34}" name="Amount" dataDxfId="14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41" headerRowBorderDxfId="140" tableBorderDxfId="139" totalsRowBorderDxfId="138">
  <autoFilter ref="M3:O6" xr:uid="{D166BDD1-ACD7-45D7-8AE9-7350373F8CEB}"/>
  <tableColumns count="3">
    <tableColumn id="1" xr3:uid="{64F0205E-DEA7-4571-BA86-E4374A5FEE28}" name="Type" totalsRowLabel="Total" dataDxfId="137" totalsRowDxfId="136"/>
    <tableColumn id="2" xr3:uid="{15FA05F9-789C-4459-9BE0-5C1EC84D3365}" name="amount" totalsRowFunction="custom" dataDxfId="135" totalsRowDxfId="134">
      <totalsRowFormula>SUM(N5:N6)</totalsRowFormula>
    </tableColumn>
    <tableColumn id="3" xr3:uid="{3681D409-90C6-44D0-BDE2-4B5943A516F0}" name="Actual" totalsRowFunction="custom" totalsRowDxfId="133">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32" totalsRowDxfId="131"/>
    <tableColumn id="2" xr3:uid="{5B9D0FEE-4304-4C5C-A05C-5B27CF7841D3}" name="Type"/>
    <tableColumn id="3" xr3:uid="{6A91CA0D-C802-4C6F-9F39-CA53687E8EDE}" name="Description"/>
    <tableColumn id="4" xr3:uid="{A251D40C-AB87-4BB4-85F8-444B20E32FDF}" name="Total" totalsRowFunction="custom" dataDxfId="130" totalsRowDxfId="129"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128" headerRowBorderDxfId="127">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26"/>
    <tableColumn id="4" xr3:uid="{1889A312-9B41-4EC4-BD8F-05252F27084A}" name="Price" totalsRowFunction="sum"/>
    <tableColumn id="6" xr3:uid="{8B974B20-F003-4E67-8660-024FA4F324A9}" name="Party"/>
    <tableColumn id="7" xr3:uid="{0A5A5C21-FD61-47DA-9F54-66A6479FA557}" name="Paid" dataDxfId="125">
      <calculatedColumnFormula>SUMIFS(Table14[Debit], Table14[Date], Table8[[#This Row],[Date]], Table14[Party], Table8[[#This Row],[Party]])</calculatedColumnFormula>
    </tableColumn>
    <tableColumn id="8" xr3:uid="{8DCB3B43-2161-4081-82EC-CDB0F4DE4E6F}" name="Balance" totalsRowFunction="sum" dataDxfId="12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123" headerRowBorderDxfId="122">
  <autoFilter ref="A4:H9" xr:uid="{A4C80688-A8BA-4BA7-90B4-791CD99446B4}"/>
  <sortState xmlns:xlrd2="http://schemas.microsoft.com/office/spreadsheetml/2017/richdata2" ref="A5:H6">
    <sortCondition ref="A4:A6"/>
  </sortState>
  <tableColumns count="8">
    <tableColumn id="1" xr3:uid="{4A818912-918E-4111-ACFC-BC93FEF7C1AD}" name="Date" dataDxfId="121" totalsRowDxfId="120"/>
    <tableColumn id="8" xr3:uid="{477ACFD5-62AF-4F69-974B-E9B974C11D7D}" name="Party Name" dataDxfId="11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118">
      <calculatedColumnFormula>Table2[[#This Row],[Quantity]]*200*Table2[[#This Row],[Boxes]]</calculatedColumnFormula>
    </tableColumn>
    <tableColumn id="6" xr3:uid="{30432929-CBD4-4BA8-B63F-CD0F6CF6405F}" name="Paid" totalsRowFunction="sum" dataDxfId="117">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116">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115" totalsRowDxfId="114"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113" totalsRowDxfId="112"/>
    <tableColumn id="2" xr3:uid="{053BFC14-4828-417C-9F9F-95B6E232A945}" name="Amount" totalsRowFunction="custom" dataDxfId="111" totalsRowDxfId="11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109" totalsRowDxfId="108"/>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8" totalsRowDxfId="97"/>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96" totalsRowDxfId="95"/>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94">
      <calculatedColumnFormula>Billing!O5</calculatedColumnFormula>
    </tableColumn>
    <tableColumn id="2" xr3:uid="{7093A59E-B58F-487D-888A-9AA8156B5F9A}" name="Amount Paid" dataDxfId="93">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92"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10"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4403436</v>
      </c>
      <c r="X10" s="38">
        <f t="shared" si="2"/>
        <v>415428.30138990469</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0</v>
      </c>
      <c r="X23" s="38">
        <f t="shared" si="8"/>
        <v>19756.766642282371</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652170</v>
      </c>
      <c r="K54" s="42">
        <f t="shared" si="10"/>
        <v>-237658.29553767369</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0</v>
      </c>
      <c r="K67" s="42">
        <f t="shared" si="11"/>
        <v>18237.015362106802</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3143925</v>
      </c>
      <c r="D4" t="s">
        <v>228</v>
      </c>
    </row>
    <row r="5" spans="1:4" x14ac:dyDescent="0.3">
      <c r="B5" t="s">
        <v>48</v>
      </c>
      <c r="C5" s="11">
        <f>SUM(Table8[Price])+Table2325[[#Totals],[total]]</f>
        <v>179750</v>
      </c>
    </row>
    <row r="6" spans="1:4" x14ac:dyDescent="0.3">
      <c r="B6" t="s">
        <v>49</v>
      </c>
      <c r="C6" s="11">
        <f>SUM(Table2[Price])+Finish!B30</f>
        <v>779916.66666666663</v>
      </c>
      <c r="D6" t="s">
        <v>229</v>
      </c>
    </row>
    <row r="7" spans="1:4" x14ac:dyDescent="0.3">
      <c r="B7" t="s">
        <v>50</v>
      </c>
      <c r="C7" s="11">
        <f>SUMIFS(Table14[Debit], Table14[Party],Table12[[#This Row],[Type]])</f>
        <v>11030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175930</v>
      </c>
    </row>
    <row r="13" spans="1:4" x14ac:dyDescent="0.3">
      <c r="C13" s="11"/>
    </row>
    <row r="14" spans="1:4" x14ac:dyDescent="0.3">
      <c r="C14" s="14">
        <f>SUM(Table12[Amount])</f>
        <v>4342546.666666666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4342546.666666666</v>
      </c>
    </row>
    <row r="5" spans="1:3" x14ac:dyDescent="0.3">
      <c r="A5" s="6"/>
      <c r="B5" s="15" t="s">
        <v>68</v>
      </c>
      <c r="C5" s="15">
        <f ca="1">C3-C4</f>
        <v>-682049.22701779939</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6536166</v>
      </c>
    </row>
    <row r="13" spans="1:3" ht="15" thickBot="1" x14ac:dyDescent="0.35">
      <c r="B13" s="79" t="s">
        <v>96</v>
      </c>
      <c r="C13" s="78">
        <f ca="1">(C11-C12)</f>
        <v>-2875668.5603511333</v>
      </c>
    </row>
    <row r="14" spans="1:3" ht="15" thickBot="1" x14ac:dyDescent="0.35">
      <c r="B14" s="63"/>
      <c r="C14" s="64"/>
    </row>
    <row r="15" spans="1:3" x14ac:dyDescent="0.3">
      <c r="B15" s="61" t="s">
        <v>44</v>
      </c>
      <c r="C15" s="62">
        <f>C4</f>
        <v>4342546.666666666</v>
      </c>
    </row>
    <row r="16" spans="1:3" x14ac:dyDescent="0.3">
      <c r="B16" s="63" t="s">
        <v>70</v>
      </c>
      <c r="C16" s="64">
        <f>SUM(Table14[Debit])</f>
        <v>6385971</v>
      </c>
    </row>
    <row r="17" spans="2:6" ht="15" thickBot="1" x14ac:dyDescent="0.35">
      <c r="B17" s="79" t="s">
        <v>71</v>
      </c>
      <c r="C17" s="78">
        <f>C15-C16</f>
        <v>-2043424.333333334</v>
      </c>
    </row>
    <row r="18" spans="2:6" ht="15" thickBot="1" x14ac:dyDescent="0.35">
      <c r="B18" s="63"/>
      <c r="C18" s="64"/>
    </row>
    <row r="19" spans="2:6" ht="15" thickBot="1" x14ac:dyDescent="0.35">
      <c r="B19" s="80" t="s">
        <v>72</v>
      </c>
      <c r="C19" s="81">
        <f>Table18[[#Totals],[amount]]</f>
        <v>150195</v>
      </c>
    </row>
    <row r="20" spans="2:6" ht="15" thickBot="1" x14ac:dyDescent="0.35">
      <c r="B20" s="76"/>
      <c r="C20" s="77"/>
    </row>
    <row r="21" spans="2:6" ht="15" thickBot="1" x14ac:dyDescent="0.35">
      <c r="B21" s="65" t="s">
        <v>73</v>
      </c>
      <c r="C21" s="66">
        <f ca="1">(C13-C17)+C19</f>
        <v>-682049.22701779939</v>
      </c>
      <c r="E21" s="84" t="s">
        <v>74</v>
      </c>
      <c r="F21" s="85">
        <f ca="1">C5*0.05</f>
        <v>-34102.461350889971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abSelected="1" topLeftCell="B53"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386620.33650329197</v>
      </c>
      <c r="J64" s="48" cm="1">
        <f t="array" aca="1" ref="J64" ca="1">SUMPRODUCT( SUBTOTAL(109, OFFSET(Table1[billing], ROW(Table1[billing])-MIN(ROW(Table1[billing])), 0, 1)), --(Table1[Bill Number]&lt;&gt;"September Closing CF") )</f>
        <v>4194191.6605705922</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s="128"/>
      <c r="F110" s="33">
        <v>4247868.5076810541</v>
      </c>
      <c r="G110" s="128">
        <v>43208092.582516462</v>
      </c>
      <c r="I110" s="27">
        <v>45947</v>
      </c>
      <c r="J110" s="48">
        <v>4247868.5076810541</v>
      </c>
      <c r="K110" s="14">
        <v>43208092.582516462</v>
      </c>
      <c r="L110"/>
      <c r="O110"/>
      <c r="P110"/>
      <c r="Q110"/>
    </row>
    <row r="111" spans="4:18" x14ac:dyDescent="0.3">
      <c r="D111" s="16">
        <v>985</v>
      </c>
      <c r="E111" s="128">
        <v>3532</v>
      </c>
      <c r="F111" s="33">
        <v>3229.7000731528897</v>
      </c>
      <c r="G111" s="128">
        <v>38756.400877834676</v>
      </c>
      <c r="I111" s="27">
        <v>45948</v>
      </c>
      <c r="J111" s="48">
        <v>52326.261887344546</v>
      </c>
      <c r="K111" s="14">
        <v>659882.95537673729</v>
      </c>
      <c r="L111"/>
      <c r="O111"/>
      <c r="P111"/>
      <c r="Q111"/>
    </row>
    <row r="112" spans="4:18" x14ac:dyDescent="0.3">
      <c r="D112" s="16">
        <v>986</v>
      </c>
      <c r="E112" s="128">
        <v>4356</v>
      </c>
      <c r="F112" s="33">
        <v>3983.1748354059987</v>
      </c>
      <c r="G112" s="128">
        <v>47798.098024871986</v>
      </c>
      <c r="I112" s="27">
        <v>45950</v>
      </c>
      <c r="J112" s="48">
        <v>47101.316752011713</v>
      </c>
      <c r="K112" s="14">
        <v>572781.63862472575</v>
      </c>
      <c r="L112"/>
      <c r="O112"/>
      <c r="P112"/>
      <c r="Q112"/>
    </row>
    <row r="113" spans="4:17" x14ac:dyDescent="0.3">
      <c r="D113" s="16">
        <v>987</v>
      </c>
      <c r="E113" s="128">
        <v>7867</v>
      </c>
      <c r="F113" s="33">
        <v>7193.6722750548652</v>
      </c>
      <c r="G113" s="128">
        <v>86324.067300658382</v>
      </c>
      <c r="I113" s="27">
        <v>45951</v>
      </c>
      <c r="J113" s="48">
        <v>77286.027798098046</v>
      </c>
      <c r="K113" s="14">
        <v>857900.51207022695</v>
      </c>
      <c r="O113"/>
      <c r="P113"/>
      <c r="Q113"/>
    </row>
    <row r="114" spans="4:17" x14ac:dyDescent="0.3">
      <c r="D114" s="16">
        <v>988</v>
      </c>
      <c r="E114" s="128">
        <v>3112</v>
      </c>
      <c r="F114" s="33">
        <v>2845.6474030724216</v>
      </c>
      <c r="G114" s="128">
        <v>34147.768836869058</v>
      </c>
      <c r="I114" s="27">
        <v>45952</v>
      </c>
      <c r="J114" s="48">
        <v>77123.262618873443</v>
      </c>
      <c r="K114" s="14">
        <v>775791.88002926123</v>
      </c>
      <c r="O114"/>
      <c r="P114"/>
      <c r="Q114"/>
    </row>
    <row r="115" spans="4:17" x14ac:dyDescent="0.3">
      <c r="D115" s="16">
        <v>989</v>
      </c>
      <c r="E115" s="128">
        <v>34960</v>
      </c>
      <c r="F115" s="33">
        <v>31967.812728602781</v>
      </c>
      <c r="G115" s="128">
        <v>415581.56547183613</v>
      </c>
      <c r="I115" s="27">
        <v>45953</v>
      </c>
      <c r="J115" s="48">
        <v>41251.82882223848</v>
      </c>
      <c r="K115" s="14">
        <v>412518.28822238487</v>
      </c>
      <c r="O115"/>
      <c r="P115"/>
      <c r="Q115"/>
    </row>
    <row r="116" spans="4:17" x14ac:dyDescent="0.3">
      <c r="D116" s="16">
        <v>990</v>
      </c>
      <c r="E116" s="128">
        <v>3397</v>
      </c>
      <c r="F116" s="33">
        <v>3106.2545720555963</v>
      </c>
      <c r="G116" s="128">
        <v>37275.054864667152</v>
      </c>
      <c r="I116" s="27">
        <v>45954</v>
      </c>
      <c r="J116" s="48">
        <v>44754.937820043895</v>
      </c>
      <c r="K116" s="14">
        <v>447549.37820043892</v>
      </c>
      <c r="O116"/>
      <c r="P116"/>
      <c r="Q116"/>
    </row>
    <row r="117" spans="4:17" x14ac:dyDescent="0.3">
      <c r="D117" s="16">
        <v>991</v>
      </c>
      <c r="E117" s="128">
        <v>20118</v>
      </c>
      <c r="F117" s="33">
        <v>18396.122896854427</v>
      </c>
      <c r="G117" s="128">
        <v>220753.47476225311</v>
      </c>
      <c r="I117" s="27">
        <v>45955</v>
      </c>
      <c r="J117" s="48">
        <v>46776.700804681794</v>
      </c>
      <c r="K117" s="14">
        <v>467767.00804681785</v>
      </c>
      <c r="O117"/>
      <c r="P117"/>
      <c r="Q117"/>
    </row>
    <row r="118" spans="4:17" x14ac:dyDescent="0.3">
      <c r="D118" s="16">
        <v>992</v>
      </c>
      <c r="E118" s="128">
        <v>21555</v>
      </c>
      <c r="F118" s="33">
        <v>19710.131675201173</v>
      </c>
      <c r="G118" s="128">
        <v>236521.58010241407</v>
      </c>
      <c r="I118" s="27" t="s">
        <v>28</v>
      </c>
      <c r="J118" s="48">
        <v>4634488.8441843465</v>
      </c>
      <c r="K118" s="14">
        <v>47402284.243087061</v>
      </c>
      <c r="O118"/>
      <c r="P118"/>
      <c r="Q118"/>
    </row>
    <row r="119" spans="4:17" x14ac:dyDescent="0.3">
      <c r="D119" s="16">
        <v>993</v>
      </c>
      <c r="E119" s="128">
        <v>1563</v>
      </c>
      <c r="F119" s="33">
        <v>1429.2245793708853</v>
      </c>
      <c r="G119" s="128">
        <v>17150.694952450624</v>
      </c>
      <c r="I119"/>
      <c r="J119"/>
      <c r="K119"/>
      <c r="O119"/>
      <c r="P119"/>
      <c r="Q119"/>
    </row>
    <row r="120" spans="4:17" x14ac:dyDescent="0.3">
      <c r="D120" s="16">
        <v>994</v>
      </c>
      <c r="E120" s="128">
        <v>8274</v>
      </c>
      <c r="F120" s="33">
        <v>7565.8376005852242</v>
      </c>
      <c r="G120" s="128">
        <v>98355.888807607917</v>
      </c>
      <c r="I120"/>
      <c r="J120"/>
      <c r="K120"/>
      <c r="P120"/>
      <c r="Q120"/>
    </row>
    <row r="121" spans="4:17" x14ac:dyDescent="0.3">
      <c r="D121" s="16">
        <v>995</v>
      </c>
      <c r="E121" s="128">
        <v>19667</v>
      </c>
      <c r="F121" s="33">
        <v>17983.723482077545</v>
      </c>
      <c r="G121" s="128">
        <v>215804.68178493052</v>
      </c>
      <c r="I121"/>
      <c r="J121"/>
      <c r="K121"/>
      <c r="P121"/>
      <c r="Q121"/>
    </row>
    <row r="122" spans="4:17" x14ac:dyDescent="0.3">
      <c r="D122" s="16">
        <v>996</v>
      </c>
      <c r="E122" s="128">
        <v>17569</v>
      </c>
      <c r="F122" s="33">
        <v>16065.288953913681</v>
      </c>
      <c r="G122" s="128">
        <v>192783.46744696418</v>
      </c>
      <c r="I122"/>
      <c r="J122"/>
      <c r="K122"/>
      <c r="P122"/>
      <c r="Q122"/>
    </row>
    <row r="123" spans="4:17" x14ac:dyDescent="0.3">
      <c r="D123" s="16">
        <v>997</v>
      </c>
      <c r="E123" s="128">
        <v>9264</v>
      </c>
      <c r="F123" s="33">
        <v>8471.1046086320421</v>
      </c>
      <c r="G123" s="128">
        <v>101653.2553035845</v>
      </c>
      <c r="I123"/>
      <c r="J123"/>
      <c r="K123"/>
      <c r="P123"/>
      <c r="Q123"/>
    </row>
    <row r="124" spans="4:17" x14ac:dyDescent="0.3">
      <c r="D124" s="16">
        <v>998</v>
      </c>
      <c r="E124" s="128">
        <v>38020</v>
      </c>
      <c r="F124" s="33">
        <v>34765.910753474767</v>
      </c>
      <c r="G124" s="128">
        <v>347659.10753474769</v>
      </c>
      <c r="I124"/>
      <c r="J124"/>
      <c r="K124"/>
      <c r="P124"/>
      <c r="Q124"/>
    </row>
    <row r="125" spans="4:17" x14ac:dyDescent="0.3">
      <c r="D125" s="16">
        <v>999</v>
      </c>
      <c r="E125" s="128">
        <v>37349</v>
      </c>
      <c r="F125" s="33">
        <v>34152.340892465254</v>
      </c>
      <c r="G125" s="128">
        <v>341523.40892465255</v>
      </c>
      <c r="I125"/>
      <c r="J125"/>
      <c r="K125"/>
      <c r="P125"/>
      <c r="Q125"/>
    </row>
    <row r="126" spans="4:17" x14ac:dyDescent="0.3">
      <c r="D126" s="16">
        <v>1000</v>
      </c>
      <c r="E126" s="128">
        <v>1662</v>
      </c>
      <c r="F126" s="33">
        <v>1519.751280175567</v>
      </c>
      <c r="G126" s="128">
        <v>19756.766642282371</v>
      </c>
      <c r="I126"/>
      <c r="J126"/>
      <c r="K126"/>
      <c r="P126"/>
      <c r="Q126"/>
    </row>
    <row r="127" spans="4:17" x14ac:dyDescent="0.3">
      <c r="D127" s="16">
        <v>1001</v>
      </c>
      <c r="E127" s="128">
        <v>45331</v>
      </c>
      <c r="F127" s="33">
        <v>41451.170446232631</v>
      </c>
      <c r="G127" s="128">
        <v>414511.70446232631</v>
      </c>
      <c r="I127"/>
      <c r="J127"/>
      <c r="K127"/>
      <c r="P127"/>
      <c r="Q127"/>
    </row>
    <row r="128" spans="4:17" x14ac:dyDescent="0.3">
      <c r="D128" s="16">
        <v>1002</v>
      </c>
      <c r="E128" s="128">
        <v>10153</v>
      </c>
      <c r="F128" s="33">
        <v>9284.0160936356988</v>
      </c>
      <c r="G128" s="128">
        <v>92840.160936356988</v>
      </c>
      <c r="I128"/>
      <c r="J128"/>
      <c r="K128"/>
      <c r="P128"/>
      <c r="Q128"/>
    </row>
    <row r="129" spans="4:17" x14ac:dyDescent="0.3">
      <c r="D129" s="16">
        <v>1003</v>
      </c>
      <c r="E129" s="128">
        <v>31733</v>
      </c>
      <c r="F129" s="33">
        <v>29017.008046817853</v>
      </c>
      <c r="G129" s="128">
        <v>290170.08046817855</v>
      </c>
      <c r="I129"/>
      <c r="J129"/>
      <c r="K129"/>
      <c r="P129"/>
      <c r="Q129"/>
    </row>
    <row r="130" spans="4:17" x14ac:dyDescent="0.3">
      <c r="D130" s="16">
        <v>1004</v>
      </c>
      <c r="E130" s="128">
        <v>3227</v>
      </c>
      <c r="F130" s="33">
        <v>2950.8046817849308</v>
      </c>
      <c r="G130" s="128">
        <v>29508.04681784931</v>
      </c>
      <c r="I130"/>
      <c r="J130"/>
      <c r="K130"/>
      <c r="P130"/>
      <c r="Q130"/>
    </row>
    <row r="131" spans="4:17" x14ac:dyDescent="0.3">
      <c r="D131" s="16">
        <v>1005</v>
      </c>
      <c r="E131" s="128">
        <v>7126</v>
      </c>
      <c r="F131" s="33">
        <v>6516.0936356986103</v>
      </c>
      <c r="G131" s="128">
        <v>65160.936356986102</v>
      </c>
      <c r="I131"/>
      <c r="J131"/>
      <c r="K131"/>
      <c r="O131"/>
      <c r="P131"/>
      <c r="Q131"/>
    </row>
    <row r="132" spans="4:17" x14ac:dyDescent="0.3">
      <c r="D132" s="16">
        <v>1006</v>
      </c>
      <c r="E132" s="128">
        <v>2200</v>
      </c>
      <c r="F132" s="33">
        <v>2011.704462326262</v>
      </c>
      <c r="G132" s="128">
        <v>20117.04462326262</v>
      </c>
      <c r="I132"/>
      <c r="J132"/>
      <c r="K132"/>
      <c r="L132"/>
      <c r="M132"/>
      <c r="N132"/>
    </row>
    <row r="133" spans="4:17" x14ac:dyDescent="0.3">
      <c r="D133" s="16">
        <v>1007</v>
      </c>
      <c r="E133" s="128">
        <v>2372</v>
      </c>
      <c r="F133" s="33">
        <v>2168.9831748354063</v>
      </c>
      <c r="G133" s="128">
        <v>21689.831748354063</v>
      </c>
      <c r="I133"/>
      <c r="J133"/>
      <c r="K133"/>
    </row>
    <row r="134" spans="4:17" x14ac:dyDescent="0.3">
      <c r="D134" s="16">
        <v>1008</v>
      </c>
      <c r="E134" s="128">
        <v>10156</v>
      </c>
      <c r="F134" s="33">
        <v>9286.7593269934168</v>
      </c>
      <c r="G134" s="128">
        <v>92867.593269934165</v>
      </c>
      <c r="I134"/>
      <c r="J134"/>
      <c r="K134"/>
    </row>
    <row r="135" spans="4:17" x14ac:dyDescent="0.3">
      <c r="D135" s="16">
        <v>1009</v>
      </c>
      <c r="E135" s="128">
        <v>27090</v>
      </c>
      <c r="F135" s="33">
        <v>24771.3972201902</v>
      </c>
      <c r="G135" s="128">
        <v>247713.97220190201</v>
      </c>
      <c r="I135"/>
      <c r="J135"/>
      <c r="K135"/>
    </row>
    <row r="136" spans="4:17" x14ac:dyDescent="0.3">
      <c r="D136" s="16">
        <v>1010</v>
      </c>
      <c r="E136" s="128">
        <v>10885</v>
      </c>
      <c r="F136" s="33">
        <v>9953.3650329188004</v>
      </c>
      <c r="G136" s="128">
        <v>99533.650329188007</v>
      </c>
    </row>
    <row r="137" spans="4:17" x14ac:dyDescent="0.3">
      <c r="D137" s="16">
        <v>1011</v>
      </c>
      <c r="E137" s="128">
        <v>15623</v>
      </c>
      <c r="F137" s="33">
        <v>14285.844915874179</v>
      </c>
      <c r="G137" s="128">
        <v>142858.4491587418</v>
      </c>
    </row>
    <row r="138" spans="4:17" x14ac:dyDescent="0.3">
      <c r="D138" s="16">
        <v>1012</v>
      </c>
      <c r="E138" s="128">
        <v>15938</v>
      </c>
      <c r="F138" s="33">
        <v>14573.884418434529</v>
      </c>
      <c r="G138" s="128">
        <v>145738.84418434527</v>
      </c>
    </row>
    <row r="139" spans="4:17" x14ac:dyDescent="0.3">
      <c r="D139" s="16">
        <v>1013</v>
      </c>
      <c r="E139" s="128">
        <v>3756</v>
      </c>
      <c r="F139" s="33">
        <v>3434.5281638624729</v>
      </c>
      <c r="G139" s="128">
        <v>34345.281638624729</v>
      </c>
    </row>
    <row r="140" spans="4:17" x14ac:dyDescent="0.3">
      <c r="D140" s="16">
        <v>1014</v>
      </c>
      <c r="E140" s="128">
        <v>4953</v>
      </c>
      <c r="F140" s="33">
        <v>4529.0782735918074</v>
      </c>
      <c r="G140" s="128">
        <v>45290.782735918074</v>
      </c>
    </row>
    <row r="141" spans="4:17" x14ac:dyDescent="0.3">
      <c r="D141" s="16" t="s">
        <v>28</v>
      </c>
      <c r="E141" s="128">
        <v>422808</v>
      </c>
      <c r="F141" s="33">
        <v>4634488.8441843456</v>
      </c>
      <c r="G141" s="128">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B20" zoomScale="122" zoomScaleNormal="165" workbookViewId="0">
      <selection activeCell="E23" sqref="E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2833250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hidden="1"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c r="D26" s="14"/>
      <c r="E26" s="14"/>
      <c r="F26" s="14"/>
      <c r="G26" s="14">
        <f>SUBTOTAL(109,Table3[Total])</f>
        <v>2069550</v>
      </c>
      <c r="H26" s="14">
        <f>SUBTOTAL(109,Table3[Paid])</f>
        <v>1964831</v>
      </c>
      <c r="I26" s="14">
        <f>SUBTOTAL(109,Table3[balance])</f>
        <v>2077000</v>
      </c>
      <c r="L26" s="47" t="s">
        <v>280</v>
      </c>
      <c r="M26" s="14">
        <v>311</v>
      </c>
      <c r="N26" s="14">
        <v>251910</v>
      </c>
      <c r="O26" s="14">
        <v>252060</v>
      </c>
      <c r="P26" s="14">
        <v>-150</v>
      </c>
    </row>
    <row r="27" spans="1:16" x14ac:dyDescent="0.3">
      <c r="L27" s="27">
        <v>45955</v>
      </c>
      <c r="M27" s="14">
        <v>683</v>
      </c>
      <c r="N27" s="14">
        <v>553230</v>
      </c>
      <c r="O27" s="14">
        <v>426921</v>
      </c>
      <c r="P27" s="14">
        <v>126309</v>
      </c>
    </row>
    <row r="28" spans="1:16" x14ac:dyDescent="0.3">
      <c r="L28" s="47" t="s">
        <v>106</v>
      </c>
      <c r="M28" s="14"/>
      <c r="N28" s="14">
        <v>0</v>
      </c>
      <c r="O28" s="14">
        <v>100000</v>
      </c>
      <c r="P28" s="14">
        <v>-100000</v>
      </c>
    </row>
    <row r="29" spans="1:16" x14ac:dyDescent="0.3">
      <c r="K29" s="14"/>
      <c r="L29" s="47" t="s">
        <v>289</v>
      </c>
      <c r="M29" s="14">
        <v>266</v>
      </c>
      <c r="N29" s="14">
        <v>215460</v>
      </c>
      <c r="O29" s="14"/>
      <c r="P29" s="14">
        <v>215460</v>
      </c>
    </row>
    <row r="30" spans="1:16" x14ac:dyDescent="0.3">
      <c r="L30" s="47" t="s">
        <v>284</v>
      </c>
      <c r="M30" s="14">
        <v>417</v>
      </c>
      <c r="N30" s="14">
        <v>337770</v>
      </c>
      <c r="O30" s="14">
        <v>326921</v>
      </c>
      <c r="P30" s="14">
        <v>10849</v>
      </c>
    </row>
    <row r="31" spans="1:16" x14ac:dyDescent="0.3">
      <c r="L31" s="27" t="s">
        <v>28</v>
      </c>
      <c r="M31" s="14">
        <v>3631</v>
      </c>
      <c r="N31" s="14">
        <v>2833250</v>
      </c>
      <c r="O31" s="14">
        <v>2522981</v>
      </c>
      <c r="P31" s="14">
        <v>2826570</v>
      </c>
    </row>
    <row r="41" spans="12:12" x14ac:dyDescent="0.3">
      <c r="L41" s="14"/>
    </row>
    <row r="42" spans="12:12" x14ac:dyDescent="0.3">
      <c r="L42" s="14">
        <f>I2-Table3[[#Totals],[balance]]</f>
        <v>-104719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opLeftCell="A119" zoomScale="132" workbookViewId="0">
      <selection activeCell="B132" sqref="B13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-18992</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6385971</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6536166</v>
      </c>
      <c r="M5" s="50" t="s">
        <v>111</v>
      </c>
      <c r="N5" s="51">
        <f>(SUMIFS(Table14[Credit],Table14[Mode],"Bank")-SUMIFS(Table14[Debit],Table14[Mode],"Bank")-SUMIFS(Table14[Withdrawal],Table14[Mode],"Transfer"))</f>
        <v>167016</v>
      </c>
      <c r="O5">
        <v>360000</v>
      </c>
    </row>
    <row r="6" spans="1:16" x14ac:dyDescent="0.3">
      <c r="A6" s="115">
        <v>45948</v>
      </c>
      <c r="B6" t="s">
        <v>97</v>
      </c>
      <c r="C6" s="11">
        <v>44000</v>
      </c>
      <c r="D6" s="11"/>
      <c r="E6" t="s">
        <v>190</v>
      </c>
      <c r="F6" s="116" t="s">
        <v>111</v>
      </c>
      <c r="J6" s="57" t="s">
        <v>43</v>
      </c>
      <c r="K6" s="58">
        <f>(K5-K4)</f>
        <v>150195</v>
      </c>
      <c r="M6" s="50" t="s">
        <v>112</v>
      </c>
      <c r="N6" s="51">
        <f>((SUMIFS(Table14[Credit],Table14[Mode],"Cash")-SUMIFS(Table14[Debit],Table14[Mode],"Cash"))+SUMIFS(Table14[Withdrawal],Table14[Party],"Cash",Table14[Mode],"Transfer"))</f>
        <v>-16821</v>
      </c>
      <c r="O6">
        <v>50000</v>
      </c>
    </row>
    <row r="7" spans="1:16" x14ac:dyDescent="0.3">
      <c r="A7" s="115">
        <v>45948</v>
      </c>
      <c r="B7" t="s">
        <v>191</v>
      </c>
      <c r="C7" s="11">
        <v>10000</v>
      </c>
      <c r="D7" s="11"/>
      <c r="E7" t="s">
        <v>192</v>
      </c>
      <c r="F7" s="116" t="s">
        <v>111</v>
      </c>
      <c r="M7" s="53" t="s">
        <v>5</v>
      </c>
      <c r="N7" s="54">
        <f>SUM(N5:N6)</f>
        <v>150195</v>
      </c>
      <c r="O7" s="95">
        <f>SUM(O5,O6)</f>
        <v>410000</v>
      </c>
      <c r="P7" s="14">
        <f>Table18[[#Totals],[amount]]-Table18[[#Totals],[Actual]]</f>
        <v>-259805</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7" x14ac:dyDescent="0.3">
      <c r="A113" s="43">
        <v>45954</v>
      </c>
      <c r="B113" t="s">
        <v>21</v>
      </c>
      <c r="C113" s="117"/>
      <c r="D113" s="117">
        <v>200000</v>
      </c>
      <c r="E113" t="s">
        <v>250</v>
      </c>
      <c r="F113" s="116" t="s">
        <v>111</v>
      </c>
    </row>
    <row r="114" spans="1:7" x14ac:dyDescent="0.3">
      <c r="A114" s="43">
        <v>45954</v>
      </c>
      <c r="B114" t="s">
        <v>97</v>
      </c>
      <c r="C114" s="11">
        <v>200000</v>
      </c>
      <c r="D114" s="11"/>
      <c r="E114" t="s">
        <v>250</v>
      </c>
      <c r="F114" s="116" t="s">
        <v>111</v>
      </c>
    </row>
    <row r="115" spans="1:7" x14ac:dyDescent="0.3">
      <c r="A115" s="43">
        <v>45955</v>
      </c>
      <c r="B115" t="s">
        <v>194</v>
      </c>
      <c r="C115" s="11">
        <v>600</v>
      </c>
      <c r="D115" s="11"/>
      <c r="F115" s="116" t="s">
        <v>111</v>
      </c>
    </row>
    <row r="116" spans="1:7" x14ac:dyDescent="0.3">
      <c r="A116" s="43">
        <v>45955</v>
      </c>
      <c r="B116" t="s">
        <v>50</v>
      </c>
      <c r="C116" s="11">
        <v>1420</v>
      </c>
      <c r="D116" s="11"/>
      <c r="F116" s="116" t="s">
        <v>112</v>
      </c>
    </row>
    <row r="117" spans="1:7" x14ac:dyDescent="0.3">
      <c r="A117" s="43">
        <v>45955</v>
      </c>
      <c r="B117" t="s">
        <v>97</v>
      </c>
      <c r="C117" s="11">
        <v>50000</v>
      </c>
      <c r="D117" s="11"/>
      <c r="E117" t="s">
        <v>281</v>
      </c>
      <c r="F117" s="116" t="s">
        <v>111</v>
      </c>
    </row>
    <row r="118" spans="1:7" x14ac:dyDescent="0.3">
      <c r="A118" s="43">
        <v>45955</v>
      </c>
      <c r="C118" s="11"/>
      <c r="D118" s="11"/>
      <c r="F118" s="116"/>
    </row>
    <row r="119" spans="1:7" x14ac:dyDescent="0.3">
      <c r="A119" s="43">
        <v>45955</v>
      </c>
      <c r="B119" t="s">
        <v>21</v>
      </c>
      <c r="C119" s="11"/>
      <c r="D119" s="11">
        <v>100000</v>
      </c>
      <c r="E119" t="s">
        <v>282</v>
      </c>
      <c r="F119" s="116" t="s">
        <v>111</v>
      </c>
    </row>
    <row r="120" spans="1:7" x14ac:dyDescent="0.3">
      <c r="A120" s="43">
        <v>45955</v>
      </c>
      <c r="B120" t="s">
        <v>116</v>
      </c>
      <c r="C120" s="11">
        <v>20000</v>
      </c>
      <c r="D120" s="11"/>
      <c r="E120" t="s">
        <v>283</v>
      </c>
      <c r="F120" s="116" t="s">
        <v>111</v>
      </c>
    </row>
    <row r="121" spans="1:7" x14ac:dyDescent="0.3">
      <c r="A121" s="43">
        <v>45955</v>
      </c>
      <c r="B121" t="s">
        <v>35</v>
      </c>
      <c r="C121" s="11"/>
      <c r="D121" s="11">
        <v>179000</v>
      </c>
      <c r="F121" s="116" t="s">
        <v>111</v>
      </c>
    </row>
    <row r="122" spans="1:7" x14ac:dyDescent="0.3">
      <c r="A122" s="43">
        <v>45955</v>
      </c>
      <c r="B122" t="s">
        <v>97</v>
      </c>
      <c r="C122" s="11">
        <v>72900</v>
      </c>
      <c r="D122" s="11"/>
      <c r="E122" t="s">
        <v>284</v>
      </c>
      <c r="F122" s="116" t="s">
        <v>111</v>
      </c>
    </row>
    <row r="123" spans="1:7" x14ac:dyDescent="0.3">
      <c r="A123" s="43">
        <v>45955</v>
      </c>
      <c r="B123" t="s">
        <v>222</v>
      </c>
      <c r="C123" s="11">
        <v>15000</v>
      </c>
      <c r="D123" s="11"/>
      <c r="E123" t="s">
        <v>223</v>
      </c>
      <c r="F123" s="116" t="s">
        <v>111</v>
      </c>
    </row>
    <row r="124" spans="1:7" x14ac:dyDescent="0.3">
      <c r="A124" s="43">
        <v>45955</v>
      </c>
      <c r="B124" t="s">
        <v>152</v>
      </c>
      <c r="C124" s="11">
        <v>100000</v>
      </c>
      <c r="D124" s="11"/>
      <c r="E124" t="s">
        <v>285</v>
      </c>
      <c r="F124" s="116" t="s">
        <v>111</v>
      </c>
    </row>
    <row r="125" spans="1:7" x14ac:dyDescent="0.3">
      <c r="A125" s="43">
        <v>45955</v>
      </c>
      <c r="B125" t="s">
        <v>212</v>
      </c>
      <c r="C125" s="11">
        <v>5600</v>
      </c>
      <c r="D125" s="11"/>
      <c r="E125" t="s">
        <v>220</v>
      </c>
      <c r="F125" s="116" t="s">
        <v>112</v>
      </c>
    </row>
    <row r="126" spans="1:7" x14ac:dyDescent="0.3">
      <c r="A126" s="43">
        <v>45955</v>
      </c>
      <c r="B126" t="s">
        <v>50</v>
      </c>
      <c r="C126" s="11">
        <v>420</v>
      </c>
      <c r="D126" s="11"/>
      <c r="E126" t="s">
        <v>286</v>
      </c>
      <c r="F126" s="116" t="s">
        <v>112</v>
      </c>
    </row>
    <row r="127" spans="1:7" x14ac:dyDescent="0.3">
      <c r="A127" s="43">
        <v>45955</v>
      </c>
      <c r="B127" t="s">
        <v>52</v>
      </c>
      <c r="C127" s="11"/>
      <c r="D127" s="11"/>
      <c r="E127" t="s">
        <v>225</v>
      </c>
      <c r="F127" s="116" t="s">
        <v>112</v>
      </c>
    </row>
    <row r="128" spans="1:7" x14ac:dyDescent="0.3">
      <c r="A128" s="125">
        <v>45955</v>
      </c>
      <c r="B128" s="126" t="s">
        <v>180</v>
      </c>
      <c r="C128" s="117"/>
      <c r="D128" s="117">
        <v>400000</v>
      </c>
      <c r="E128" s="126"/>
      <c r="F128" s="127" t="s">
        <v>111</v>
      </c>
      <c r="G128" s="126"/>
    </row>
    <row r="129" spans="1:6" x14ac:dyDescent="0.3">
      <c r="A129" s="43">
        <v>45955</v>
      </c>
      <c r="B129" t="s">
        <v>118</v>
      </c>
      <c r="C129" s="11">
        <v>100000</v>
      </c>
      <c r="D129" s="11"/>
      <c r="F129" s="116" t="s">
        <v>111</v>
      </c>
    </row>
    <row r="130" spans="1:6" x14ac:dyDescent="0.3">
      <c r="A130" s="125">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125">
        <v>45955</v>
      </c>
      <c r="C132" s="11"/>
      <c r="D132" s="11"/>
      <c r="F132" s="116"/>
    </row>
    <row r="133" spans="1:6" x14ac:dyDescent="0.3">
      <c r="A133" s="43">
        <v>45955</v>
      </c>
      <c r="C133" s="11"/>
      <c r="D133" s="11"/>
      <c r="F133" s="116"/>
    </row>
    <row r="134" spans="1:6" x14ac:dyDescent="0.3">
      <c r="A134" s="125">
        <v>45955</v>
      </c>
      <c r="C134" s="11"/>
      <c r="D134" s="11"/>
      <c r="F134" s="116"/>
    </row>
    <row r="135" spans="1:6" x14ac:dyDescent="0.3">
      <c r="A135" s="43">
        <v>45955</v>
      </c>
      <c r="C135" s="11"/>
      <c r="D135" s="11"/>
      <c r="F135" s="116"/>
    </row>
    <row r="136" spans="1:6" x14ac:dyDescent="0.3">
      <c r="A136" s="43"/>
      <c r="C136" s="14">
        <f>SUBTOTAL(109,Table14[Debit])</f>
        <v>6385971</v>
      </c>
      <c r="D136" s="14">
        <f>SUBTOTAL(109,Table14[Credit])</f>
        <v>6536166</v>
      </c>
      <c r="F136" s="59">
        <f>(Table14[[#Totals],[Credit]]-Table14[[#Totals],[Debit]])</f>
        <v>150195</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L10" s="128"/>
      <c r="M10" s="128">
        <v>640125</v>
      </c>
    </row>
    <row r="11" spans="1:14" x14ac:dyDescent="0.3">
      <c r="K11" s="27">
        <v>45948</v>
      </c>
      <c r="L11" s="128"/>
      <c r="M11" s="128">
        <v>-300000</v>
      </c>
    </row>
    <row r="12" spans="1:14" x14ac:dyDescent="0.3">
      <c r="K12" s="27">
        <v>45955</v>
      </c>
      <c r="L12" s="128"/>
      <c r="M12" s="128">
        <v>-100000</v>
      </c>
    </row>
    <row r="13" spans="1:14" x14ac:dyDescent="0.3">
      <c r="A13" t="s">
        <v>57</v>
      </c>
      <c r="B13" t="s">
        <v>159</v>
      </c>
      <c r="C13" t="s">
        <v>160</v>
      </c>
      <c r="D13" t="s">
        <v>4</v>
      </c>
      <c r="E13" t="s">
        <v>161</v>
      </c>
      <c r="K13" s="4" t="s">
        <v>28</v>
      </c>
      <c r="L13" s="128"/>
      <c r="M13" s="128">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s="128">
        <v>128000</v>
      </c>
      <c r="L5" s="128">
        <v>0</v>
      </c>
      <c r="M5" s="128">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s="128">
        <v>0</v>
      </c>
      <c r="L6" s="128">
        <v>0</v>
      </c>
      <c r="M6" s="128">
        <v>353250</v>
      </c>
    </row>
    <row r="7" spans="1:13" x14ac:dyDescent="0.3">
      <c r="A7" s="90">
        <v>45947</v>
      </c>
      <c r="B7" s="90" t="s">
        <v>168</v>
      </c>
      <c r="C7" s="87" t="s">
        <v>184</v>
      </c>
      <c r="F7">
        <v>0</v>
      </c>
      <c r="G7">
        <v>0</v>
      </c>
      <c r="H7" s="86">
        <v>0</v>
      </c>
      <c r="J7" s="4" t="s">
        <v>168</v>
      </c>
      <c r="K7" s="128">
        <v>120000</v>
      </c>
      <c r="L7" s="128">
        <v>0</v>
      </c>
      <c r="M7" s="128">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s="128">
        <v>248000</v>
      </c>
      <c r="L8" s="128">
        <v>0</v>
      </c>
      <c r="M8" s="12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175930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415428.30138990469</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0</v>
      </c>
      <c r="C20" s="101">
        <f>Billing!X23</f>
        <v>19756.766642282371</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2025-10-25T22:02:23Z</dcterms:modified>
  <cp:category/>
  <cp:contentStatus/>
</cp:coreProperties>
</file>