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8" documentId="8_{4BA2F63F-AD4E-4F04-A724-5F712AF3C5FD}" xr6:coauthVersionLast="47" xr6:coauthVersionMax="47" xr10:uidLastSave="{CBBCA1FE-2D98-45ED-9D46-CDBDC2FEDC26}"/>
  <bookViews>
    <workbookView xWindow="-108" yWindow="-108" windowWidth="23256" windowHeight="12456" firstSheet="7" activeTab="1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 r:id="rId19"/>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41" r:id="rId20"/>
    <pivotCache cacheId="145" r:id="rId21"/>
    <pivotCache cacheId="150" r:id="rId22"/>
    <pivotCache cacheId="156" r:id="rId23"/>
    <pivotCache cacheId="163" r:id="rId24"/>
    <pivotCache cacheId="167"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5" i="12" l="1"/>
  <c r="G5" i="6"/>
  <c r="G6" i="6"/>
  <c r="G7" i="6"/>
  <c r="G8" i="6"/>
  <c r="G9" i="6"/>
  <c r="G10" i="6"/>
  <c r="G11" i="6"/>
  <c r="G12" i="6"/>
  <c r="I7" i="6"/>
  <c r="I8" i="6"/>
  <c r="I9" i="6"/>
  <c r="I10" i="6"/>
  <c r="I11" i="6"/>
  <c r="I12" i="6"/>
  <c r="F5" i="15"/>
  <c r="F6" i="15"/>
  <c r="F8" i="15"/>
  <c r="F9" i="15"/>
  <c r="G8" i="15"/>
  <c r="G9" i="15"/>
  <c r="H9" i="15" s="1"/>
  <c r="B18" i="9"/>
  <c r="C18" i="9"/>
  <c r="E18" i="9"/>
  <c r="B15" i="9"/>
  <c r="B16" i="9"/>
  <c r="B17" i="9"/>
  <c r="C15" i="9"/>
  <c r="C16" i="9"/>
  <c r="C17" i="9"/>
  <c r="E15" i="9"/>
  <c r="E16" i="9"/>
  <c r="E17" i="9"/>
  <c r="K34" i="1"/>
  <c r="H8" i="15" l="1"/>
  <c r="B61" i="9" a="1"/>
  <c r="B61" i="9" s="1"/>
  <c r="D2" i="17"/>
  <c r="D3" i="17"/>
  <c r="I27" i="1" l="1"/>
  <c r="J27" i="1" s="1" a="1"/>
  <c r="J27" i="1" s="1"/>
  <c r="I11" i="1"/>
  <c r="I6" i="1"/>
  <c r="I28" i="1"/>
  <c r="J28" i="1" s="1" a="1"/>
  <c r="J28" i="1" s="1"/>
  <c r="I12" i="1"/>
  <c r="I7" i="1"/>
  <c r="I29" i="1"/>
  <c r="J29" i="1" s="1" a="1"/>
  <c r="J29" i="1" s="1"/>
  <c r="I13" i="1"/>
  <c r="I8" i="1"/>
  <c r="I30" i="1"/>
  <c r="J30" i="1" s="1" a="1"/>
  <c r="J30" i="1" s="1"/>
  <c r="I14" i="1"/>
  <c r="J14" i="1" s="1" a="1"/>
  <c r="J14" i="1" s="1"/>
  <c r="I9" i="1"/>
  <c r="I19" i="1"/>
  <c r="J19" i="1" s="1" a="1"/>
  <c r="J19" i="1" s="1"/>
  <c r="I31" i="1"/>
  <c r="J31" i="1" s="1" a="1"/>
  <c r="J31" i="1" s="1"/>
  <c r="I15" i="1"/>
  <c r="J15" i="1" s="1" a="1"/>
  <c r="J15" i="1" s="1"/>
  <c r="I20" i="1"/>
  <c r="J20" i="1" s="1" a="1"/>
  <c r="J20" i="1" s="1"/>
  <c r="I32" i="1"/>
  <c r="J32" i="1" s="1" a="1"/>
  <c r="J32" i="1" s="1"/>
  <c r="I16" i="1"/>
  <c r="J16" i="1" s="1" a="1"/>
  <c r="J16" i="1" s="1"/>
  <c r="I21" i="1"/>
  <c r="J21" i="1" s="1" a="1"/>
  <c r="J21" i="1" s="1"/>
  <c r="I33" i="1"/>
  <c r="J33" i="1" s="1" a="1"/>
  <c r="J33" i="1" s="1"/>
  <c r="I17" i="1"/>
  <c r="J17" i="1" s="1" a="1"/>
  <c r="J17" i="1" s="1"/>
  <c r="I24" i="1"/>
  <c r="J24" i="1" s="1" a="1"/>
  <c r="J24" i="1" s="1"/>
  <c r="I22" i="1"/>
  <c r="J22" i="1" s="1" a="1"/>
  <c r="J22" i="1" s="1"/>
  <c r="I3" i="1"/>
  <c r="I23" i="1"/>
  <c r="J23" i="1" s="1" a="1"/>
  <c r="J23" i="1" s="1"/>
  <c r="I25" i="1"/>
  <c r="J25" i="1" s="1" a="1"/>
  <c r="J25" i="1" s="1"/>
  <c r="I4" i="1"/>
  <c r="I26" i="1"/>
  <c r="J26" i="1" s="1" a="1"/>
  <c r="J26" i="1" s="1"/>
  <c r="I10" i="1"/>
  <c r="I5" i="1"/>
  <c r="I18" i="1" l="1"/>
  <c r="J18" i="1" s="1" a="1"/>
  <c r="J18" i="1" s="1"/>
  <c r="I2" i="1"/>
  <c r="J2" i="1" l="1" a="1"/>
  <c r="J2" i="1" s="1"/>
  <c r="I34" i="1" a="1"/>
  <c r="I34"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J10" i="1" a="1"/>
  <c r="J10" i="1" s="1"/>
  <c r="J4" i="1" a="1"/>
  <c r="J4" i="1" s="1"/>
  <c r="J7" i="1" a="1"/>
  <c r="J7" i="1" s="1"/>
  <c r="J12" i="1" a="1"/>
  <c r="J12" i="1" s="1"/>
  <c r="J5" i="1" a="1"/>
  <c r="J5" i="1" s="1"/>
  <c r="C26" i="12"/>
  <c r="C27" i="12"/>
  <c r="C28" i="12"/>
  <c r="C29" i="12"/>
  <c r="C30" i="12"/>
  <c r="C31" i="12"/>
  <c r="C32" i="12"/>
  <c r="C33" i="12"/>
  <c r="C34" i="12"/>
  <c r="C35" i="12"/>
  <c r="C36" i="12"/>
  <c r="C25" i="12"/>
  <c r="P23" i="9" a="1"/>
  <c r="P23" i="9" s="1"/>
  <c r="Q23" i="9" a="1"/>
  <c r="Q23" i="9" s="1"/>
  <c r="R23" i="9" a="1"/>
  <c r="R23" i="9" s="1"/>
  <c r="S23" i="9" a="1"/>
  <c r="S23" i="9" s="1"/>
  <c r="T23" i="9" a="1"/>
  <c r="T23" i="9" s="1"/>
  <c r="U23" i="9" a="1"/>
  <c r="U23" i="9" s="1"/>
  <c r="W23" i="9"/>
  <c r="B20" i="20" s="1"/>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B26" i="9" a="1"/>
  <c r="G41" i="9" a="1"/>
  <c r="G41" i="9" s="1"/>
  <c r="H41" i="9" a="1"/>
  <c r="H41" i="9" s="1"/>
  <c r="J41" i="9"/>
  <c r="G44" i="9" a="1"/>
  <c r="G44" i="9" s="1"/>
  <c r="H44" i="9" a="1"/>
  <c r="H44" i="9" s="1"/>
  <c r="J44" i="9"/>
  <c r="G45" i="9" a="1"/>
  <c r="G45" i="9" s="1"/>
  <c r="H45" i="9" a="1"/>
  <c r="H45" i="9" s="1"/>
  <c r="J45" i="9"/>
  <c r="G46" i="9" a="1"/>
  <c r="G46" i="9" s="1"/>
  <c r="H46" i="9" a="1"/>
  <c r="H46" i="9" s="1"/>
  <c r="J46" i="9"/>
  <c r="G5" i="15"/>
  <c r="G6" i="15"/>
  <c r="C10" i="12"/>
  <c r="C11" i="12"/>
  <c r="C9" i="12"/>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J9" i="1" a="1"/>
  <c r="J9" i="1" s="1"/>
  <c r="J11" i="1" a="1"/>
  <c r="J11" i="1" s="1"/>
  <c r="J3" i="1" a="1"/>
  <c r="J3" i="1" s="1"/>
  <c r="J8" i="1" a="1"/>
  <c r="J8" i="1" s="1"/>
  <c r="J6" i="1" a="1"/>
  <c r="J6" i="1" s="1"/>
  <c r="C2" i="2"/>
  <c r="C6" i="8" l="1"/>
  <c r="H92" i="2"/>
  <c r="I92" i="2" s="1"/>
  <c r="D92" i="2" s="1"/>
  <c r="G76" i="2"/>
  <c r="G88" i="2"/>
  <c r="G81" i="2"/>
  <c r="G72" i="2"/>
  <c r="G87" i="2"/>
  <c r="H94" i="2"/>
  <c r="I94" i="2" s="1"/>
  <c r="D94" i="2" s="1"/>
  <c r="G91" i="2"/>
  <c r="G90" i="2"/>
  <c r="H89" i="2"/>
  <c r="I89" i="2" s="1"/>
  <c r="D89" i="2" s="1"/>
  <c r="J73" i="9"/>
  <c r="W17" i="9" s="1"/>
  <c r="B14" i="20" s="1"/>
  <c r="E63" i="9"/>
  <c r="E65" i="9"/>
  <c r="E67" i="9"/>
  <c r="E69" i="9"/>
  <c r="E71" i="9"/>
  <c r="E73" i="9"/>
  <c r="E75" i="9"/>
  <c r="D71" i="9"/>
  <c r="J62" i="9"/>
  <c r="W6" i="9" s="1"/>
  <c r="B3" i="20" s="1"/>
  <c r="J74" i="9"/>
  <c r="W18" i="9" s="1"/>
  <c r="B15" i="20" s="1"/>
  <c r="F63" i="9"/>
  <c r="S7" i="9" s="1" a="1"/>
  <c r="S7" i="9" s="1"/>
  <c r="F65" i="9"/>
  <c r="S9" i="9" s="1" a="1"/>
  <c r="S9" i="9" s="1"/>
  <c r="F67" i="9"/>
  <c r="F69" i="9"/>
  <c r="F71" i="9"/>
  <c r="S15" i="9" s="1" a="1"/>
  <c r="S15" i="9" s="1"/>
  <c r="F73" i="9"/>
  <c r="F75" i="9"/>
  <c r="J63" i="9"/>
  <c r="J75" i="9"/>
  <c r="G63" i="9"/>
  <c r="T7" i="9" s="1" a="1"/>
  <c r="T7" i="9" s="1"/>
  <c r="G65" i="9"/>
  <c r="T9" i="9" s="1" a="1"/>
  <c r="T9" i="9" s="1"/>
  <c r="G67" i="9"/>
  <c r="G69" i="9"/>
  <c r="G71" i="9"/>
  <c r="T15" i="9" s="1" a="1"/>
  <c r="T15" i="9" s="1"/>
  <c r="G73" i="9"/>
  <c r="G75" i="9"/>
  <c r="D75" i="9"/>
  <c r="Q19" i="9" s="1" a="1"/>
  <c r="Q19" i="9" s="1"/>
  <c r="J64" i="9"/>
  <c r="J76" i="9"/>
  <c r="H63" i="9"/>
  <c r="H65" i="9"/>
  <c r="H67" i="9"/>
  <c r="U11" i="9" s="1" a="1"/>
  <c r="U11" i="9" s="1"/>
  <c r="H69" i="9"/>
  <c r="U13" i="9" s="1" a="1"/>
  <c r="U13" i="9" s="1"/>
  <c r="H71" i="9"/>
  <c r="U15" i="9" s="1" a="1"/>
  <c r="U15" i="9" s="1"/>
  <c r="H73" i="9"/>
  <c r="U17" i="9" s="1" a="1"/>
  <c r="U17" i="9" s="1"/>
  <c r="H75" i="9"/>
  <c r="U19" i="9" s="1" a="1"/>
  <c r="U19" i="9" s="1"/>
  <c r="D73" i="9"/>
  <c r="J65" i="9"/>
  <c r="C62" i="9"/>
  <c r="P6" i="9" s="1" a="1"/>
  <c r="P6" i="9" s="1"/>
  <c r="C64" i="9"/>
  <c r="C66" i="9"/>
  <c r="C68" i="9"/>
  <c r="C70" i="9"/>
  <c r="C72" i="9"/>
  <c r="P16" i="9" s="1" a="1"/>
  <c r="P16" i="9" s="1"/>
  <c r="C74" i="9"/>
  <c r="P18" i="9" s="1" a="1"/>
  <c r="P18" i="9" s="1"/>
  <c r="C76" i="9"/>
  <c r="P20" i="9" s="1" a="1"/>
  <c r="P20" i="9" s="1"/>
  <c r="J66" i="9"/>
  <c r="W10" i="9" s="1"/>
  <c r="B7" i="20" s="1"/>
  <c r="D62" i="9"/>
  <c r="Q6" i="9" s="1" a="1"/>
  <c r="Q6" i="9" s="1"/>
  <c r="D64" i="9"/>
  <c r="D66" i="9"/>
  <c r="D68" i="9"/>
  <c r="D70" i="9"/>
  <c r="D72" i="9"/>
  <c r="D74" i="9"/>
  <c r="D76" i="9"/>
  <c r="D69" i="9"/>
  <c r="J67" i="9"/>
  <c r="W11" i="9" s="1"/>
  <c r="B8" i="20" s="1"/>
  <c r="E62" i="9"/>
  <c r="R6" i="9" s="1" a="1"/>
  <c r="R6" i="9" s="1"/>
  <c r="E64" i="9"/>
  <c r="R8" i="9" s="1" a="1"/>
  <c r="R8" i="9" s="1"/>
  <c r="E66" i="9"/>
  <c r="R10" i="9" s="1" a="1"/>
  <c r="R10" i="9" s="1"/>
  <c r="E68" i="9"/>
  <c r="E70" i="9"/>
  <c r="E72" i="9"/>
  <c r="E74" i="9"/>
  <c r="E76" i="9"/>
  <c r="D63" i="9"/>
  <c r="J68" i="9"/>
  <c r="F62" i="9"/>
  <c r="S6" i="9" s="1" a="1"/>
  <c r="S6" i="9" s="1"/>
  <c r="F64" i="9"/>
  <c r="S8" i="9" s="1" a="1"/>
  <c r="S8" i="9" s="1"/>
  <c r="F66" i="9"/>
  <c r="S10" i="9" s="1" a="1"/>
  <c r="S10" i="9" s="1"/>
  <c r="F68" i="9"/>
  <c r="S12" i="9" s="1" a="1"/>
  <c r="S12" i="9" s="1"/>
  <c r="F70" i="9"/>
  <c r="F72" i="9"/>
  <c r="F74" i="9"/>
  <c r="F76" i="9"/>
  <c r="S20" i="9" s="1" a="1"/>
  <c r="S20" i="9" s="1"/>
  <c r="D65" i="9"/>
  <c r="J69" i="9"/>
  <c r="G62" i="9"/>
  <c r="G64" i="9"/>
  <c r="G66" i="9"/>
  <c r="T10" i="9" s="1" a="1"/>
  <c r="T10" i="9" s="1"/>
  <c r="G68" i="9"/>
  <c r="G70" i="9"/>
  <c r="G72" i="9"/>
  <c r="G74" i="9"/>
  <c r="T18" i="9" s="1" a="1"/>
  <c r="T18" i="9" s="1"/>
  <c r="G76" i="9"/>
  <c r="D67" i="9"/>
  <c r="J70" i="9"/>
  <c r="H62" i="9"/>
  <c r="H64" i="9"/>
  <c r="H66" i="9"/>
  <c r="H68" i="9"/>
  <c r="H70" i="9"/>
  <c r="U14" i="9" s="1" a="1"/>
  <c r="U14" i="9" s="1"/>
  <c r="H72" i="9"/>
  <c r="U16" i="9" s="1" a="1"/>
  <c r="U16" i="9" s="1"/>
  <c r="H74" i="9"/>
  <c r="U18" i="9" s="1" a="1"/>
  <c r="U18" i="9" s="1"/>
  <c r="H76" i="9"/>
  <c r="U20" i="9" s="1" a="1"/>
  <c r="U20" i="9" s="1"/>
  <c r="J71" i="9"/>
  <c r="W15" i="9" s="1"/>
  <c r="B12" i="20" s="1"/>
  <c r="C63" i="9"/>
  <c r="C65" i="9"/>
  <c r="C67" i="9"/>
  <c r="P11" i="9" s="1" a="1"/>
  <c r="P11" i="9" s="1"/>
  <c r="C69" i="9"/>
  <c r="C71" i="9"/>
  <c r="C73" i="9"/>
  <c r="C75" i="9"/>
  <c r="J72" i="9"/>
  <c r="F10" i="15"/>
  <c r="J13" i="1" a="1"/>
  <c r="J13" i="1" s="1"/>
  <c r="J34" i="1" s="1" a="1"/>
  <c r="J34" i="1" s="1"/>
  <c r="E4" i="7"/>
  <c r="C7" i="8"/>
  <c r="G83" i="2"/>
  <c r="G10" i="2"/>
  <c r="G80" i="2"/>
  <c r="H98" i="2"/>
  <c r="I98" i="2" s="1"/>
  <c r="D98" i="2" s="1"/>
  <c r="H93" i="2"/>
  <c r="I93" i="2" s="1"/>
  <c r="D93" i="2" s="1"/>
  <c r="G85" i="2"/>
  <c r="H88" i="2"/>
  <c r="I88" i="2" s="1"/>
  <c r="D88" i="2" s="1"/>
  <c r="G41" i="2"/>
  <c r="H95" i="2"/>
  <c r="I95" i="2" s="1"/>
  <c r="D95" i="2" s="1"/>
  <c r="G84" i="2"/>
  <c r="H97" i="2"/>
  <c r="I97" i="2" s="1"/>
  <c r="D97" i="2" s="1"/>
  <c r="W19" i="9"/>
  <c r="B16" i="20" s="1"/>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0" i="9"/>
  <c r="B17" i="20" s="1"/>
  <c r="W21" i="9"/>
  <c r="B18" i="20" s="1"/>
  <c r="H42" i="9" a="1"/>
  <c r="H42" i="9" s="1"/>
  <c r="T19" i="9" a="1"/>
  <c r="T19" i="9" s="1"/>
  <c r="S19" i="9" a="1"/>
  <c r="S19" i="9" s="1"/>
  <c r="R19" i="9" a="1"/>
  <c r="R19" i="9" s="1"/>
  <c r="T20" i="9" a="1"/>
  <c r="T20" i="9" s="1"/>
  <c r="P19" i="9" a="1"/>
  <c r="P19" i="9" s="1"/>
  <c r="R20" i="9" a="1"/>
  <c r="R20" i="9" s="1"/>
  <c r="Q20" i="9" a="1"/>
  <c r="Q20" i="9" s="1"/>
  <c r="C4" i="17"/>
  <c r="K4" i="17" s="1"/>
  <c r="H4" i="7"/>
  <c r="G71" i="2"/>
  <c r="G60" i="2"/>
  <c r="G50" i="2"/>
  <c r="G67" i="2"/>
  <c r="V23" i="9"/>
  <c r="X23" i="9" s="1"/>
  <c r="C20" i="20" s="1"/>
  <c r="G8" i="2"/>
  <c r="G42" i="2"/>
  <c r="G36" i="2"/>
  <c r="G55" i="2"/>
  <c r="H72" i="2"/>
  <c r="I72" i="2" s="1"/>
  <c r="D72" i="2" s="1"/>
  <c r="G58" i="2"/>
  <c r="G35" i="2"/>
  <c r="G86" i="2"/>
  <c r="G70" i="2"/>
  <c r="G56" i="2"/>
  <c r="G39" i="2"/>
  <c r="G65" i="2"/>
  <c r="G44" i="2"/>
  <c r="G77" i="2"/>
  <c r="G13" i="6"/>
  <c r="N14" i="6"/>
  <c r="C4" i="8" s="1"/>
  <c r="G75" i="2"/>
  <c r="G45" i="2"/>
  <c r="G64" i="2"/>
  <c r="G74" i="2"/>
  <c r="G68" i="2"/>
  <c r="G82" i="2"/>
  <c r="G78" i="2"/>
  <c r="H85" i="2"/>
  <c r="I85" i="2" s="1"/>
  <c r="D85" i="2" s="1"/>
  <c r="G12" i="2"/>
  <c r="G22" i="2"/>
  <c r="G47" i="2"/>
  <c r="H10" i="1"/>
  <c r="G24" i="2"/>
  <c r="G46" i="2"/>
  <c r="G79" i="2"/>
  <c r="G16" i="2"/>
  <c r="G6" i="2"/>
  <c r="H5" i="1" s="1"/>
  <c r="G49" i="2"/>
  <c r="G26" i="2"/>
  <c r="G7" i="2"/>
  <c r="G30" i="2"/>
  <c r="G52" i="2"/>
  <c r="G11" i="2"/>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42" i="9"/>
  <c r="G42" i="9" a="1"/>
  <c r="G42" i="9" s="1"/>
  <c r="Q8" i="9" a="1"/>
  <c r="Q8" i="9" s="1"/>
  <c r="G27" i="9" a="1"/>
  <c r="G27" i="9" s="1"/>
  <c r="H32" i="9" a="1"/>
  <c r="H32" i="9" s="1"/>
  <c r="B11" i="9"/>
  <c r="E11" i="9" s="1"/>
  <c r="T8" i="9" a="1"/>
  <c r="T8" i="9" s="1"/>
  <c r="J36" i="9"/>
  <c r="G29" i="9" a="1"/>
  <c r="G29" i="9" s="1"/>
  <c r="J29" i="9"/>
  <c r="P17" i="9" a="1"/>
  <c r="P17" i="9" s="1"/>
  <c r="W7" i="9"/>
  <c r="B4" i="20" s="1"/>
  <c r="S16" i="9" a="1"/>
  <c r="S16" i="9" s="1"/>
  <c r="G31" i="9" a="1"/>
  <c r="G31" i="9" s="1"/>
  <c r="G32" i="9" a="1"/>
  <c r="G32" i="9" s="1"/>
  <c r="R12" i="9" a="1"/>
  <c r="R12" i="9" s="1"/>
  <c r="J38" i="9"/>
  <c r="U12" i="9" a="1"/>
  <c r="U12" i="9" s="1"/>
  <c r="H29" i="9" a="1"/>
  <c r="H29" i="9" s="1"/>
  <c r="B4" i="9"/>
  <c r="E4" i="9" s="1"/>
  <c r="Q14" i="9" a="1"/>
  <c r="Q14" i="9" s="1"/>
  <c r="R7" i="9" a="1"/>
  <c r="R7" i="9" s="1"/>
  <c r="B6" i="9"/>
  <c r="C6" i="9" s="1"/>
  <c r="Q11" i="9" a="1"/>
  <c r="Q11" i="9" s="1"/>
  <c r="Q17" i="9" a="1"/>
  <c r="Q17" i="9" s="1"/>
  <c r="Q7" i="9" a="1"/>
  <c r="Q7" i="9" s="1"/>
  <c r="P8" i="9" a="1"/>
  <c r="P8" i="9" s="1"/>
  <c r="J27" i="9"/>
  <c r="G33" i="9" a="1"/>
  <c r="G33" i="9" s="1"/>
  <c r="J30" i="9"/>
  <c r="J32" i="9"/>
  <c r="H28" i="9" a="1"/>
  <c r="H28" i="9" s="1"/>
  <c r="B7" i="9"/>
  <c r="C7" i="9" s="1"/>
  <c r="Q18" i="9" a="1"/>
  <c r="Q18" i="9" s="1"/>
  <c r="Q15" i="9" a="1"/>
  <c r="Q15" i="9" s="1"/>
  <c r="G37" i="9" a="1"/>
  <c r="G37" i="9" s="1"/>
  <c r="U10" i="9" a="1"/>
  <c r="U10" i="9" s="1"/>
  <c r="G34" i="9" a="1"/>
  <c r="G34" i="9" s="1"/>
  <c r="W8" i="9"/>
  <c r="B5" i="20" s="1"/>
  <c r="B5" i="9"/>
  <c r="C5" i="9" s="1"/>
  <c r="W9" i="9"/>
  <c r="B6" i="20" s="1"/>
  <c r="R9" i="9" a="1"/>
  <c r="R9" i="9" s="1"/>
  <c r="W12" i="9"/>
  <c r="B9" i="20" s="1"/>
  <c r="H36" i="9" a="1"/>
  <c r="H36" i="9" s="1"/>
  <c r="P12" i="9" a="1"/>
  <c r="P12" i="9" s="1"/>
  <c r="S13" i="9" a="1"/>
  <c r="S13" i="9" s="1"/>
  <c r="A13" i="21"/>
  <c r="B13" i="21" s="1"/>
  <c r="A6" i="20"/>
  <c r="A9" i="20"/>
  <c r="A11" i="20"/>
  <c r="A3" i="21"/>
  <c r="B3" i="21" s="1"/>
  <c r="A7" i="21"/>
  <c r="B7" i="21" s="1"/>
  <c r="A4" i="21"/>
  <c r="B4" i="21" s="1"/>
  <c r="A7" i="20"/>
  <c r="A15" i="20"/>
  <c r="A6" i="21"/>
  <c r="B6" i="21" s="1"/>
  <c r="A8" i="21"/>
  <c r="B8" i="21" s="1"/>
  <c r="A11" i="21"/>
  <c r="B11" i="21" s="1"/>
  <c r="T17" i="9" a="1"/>
  <c r="T17" i="9" s="1"/>
  <c r="A4" i="20"/>
  <c r="G35" i="9" a="1"/>
  <c r="G35" i="9" s="1"/>
  <c r="H40" i="9" a="1"/>
  <c r="H40" i="9" s="1"/>
  <c r="G39" i="9" a="1"/>
  <c r="G39" i="9" s="1"/>
  <c r="J35" i="9"/>
  <c r="P7" i="9" a="1"/>
  <c r="P7" i="9" s="1"/>
  <c r="A12" i="21"/>
  <c r="A14" i="20"/>
  <c r="A10" i="21"/>
  <c r="B10" i="21" s="1"/>
  <c r="A9" i="21"/>
  <c r="B9" i="21" s="1"/>
  <c r="A5" i="21"/>
  <c r="B5" i="21" s="1"/>
  <c r="A8" i="20"/>
  <c r="A16" i="20"/>
  <c r="A5" i="20"/>
  <c r="A14" i="21"/>
  <c r="A13" i="20"/>
  <c r="W16" i="9"/>
  <c r="B13" i="20" s="1"/>
  <c r="A12" i="20"/>
  <c r="A10" i="20"/>
  <c r="I41" i="9"/>
  <c r="K41" i="9" s="1"/>
  <c r="H39" i="9" a="1"/>
  <c r="H39" i="9" s="1"/>
  <c r="R14" i="9" a="1"/>
  <c r="R14" i="9" s="1"/>
  <c r="J39" i="9"/>
  <c r="B3" i="9"/>
  <c r="Q12" i="9" a="1"/>
  <c r="Q12" i="9" s="1"/>
  <c r="H37" i="9" a="1"/>
  <c r="H37" i="9" s="1"/>
  <c r="S17" i="9" a="1"/>
  <c r="S17" i="9" s="1"/>
  <c r="G38" i="9" a="1"/>
  <c r="G38" i="9" s="1"/>
  <c r="J33" i="9"/>
  <c r="P13" i="9" a="1"/>
  <c r="P13" i="9" s="1"/>
  <c r="S18" i="9" a="1"/>
  <c r="S18" i="9" s="1"/>
  <c r="Q13" i="9" a="1"/>
  <c r="Q13" i="9" s="1"/>
  <c r="U7" i="9" a="1"/>
  <c r="U7" i="9" s="1"/>
  <c r="G30" i="9" a="1"/>
  <c r="G30" i="9" s="1"/>
  <c r="U6" i="9" a="1"/>
  <c r="U6" i="9" s="1"/>
  <c r="P14" i="9" a="1"/>
  <c r="P14" i="9" s="1"/>
  <c r="W14" i="9"/>
  <c r="B11" i="20" s="1"/>
  <c r="B13" i="9"/>
  <c r="C13" i="9" s="1"/>
  <c r="G36" i="9" a="1"/>
  <c r="G36" i="9" s="1"/>
  <c r="U9" i="9" a="1"/>
  <c r="U9" i="9" s="1"/>
  <c r="B9" i="9"/>
  <c r="H31" i="9" a="1"/>
  <c r="H31" i="9" s="1"/>
  <c r="Q9" i="9" a="1"/>
  <c r="Q9" i="9" s="1"/>
  <c r="I46" i="9"/>
  <c r="K46" i="9" s="1"/>
  <c r="I45" i="9"/>
  <c r="K45" i="9" s="1"/>
  <c r="I44" i="9"/>
  <c r="K44" i="9" s="1"/>
  <c r="S11" i="9" a="1"/>
  <c r="S11" i="9" s="1"/>
  <c r="S14" i="9" a="1"/>
  <c r="S14" i="9" s="1"/>
  <c r="P9" i="9" a="1"/>
  <c r="P9" i="9" s="1"/>
  <c r="R17" i="9" a="1"/>
  <c r="R17" i="9" s="1"/>
  <c r="J40" i="9"/>
  <c r="G40" i="9" a="1"/>
  <c r="G40" i="9" s="1"/>
  <c r="B10" i="9"/>
  <c r="H33" i="9" a="1"/>
  <c r="H33" i="9" s="1"/>
  <c r="B26" i="9"/>
  <c r="P15" i="9" a="1"/>
  <c r="P15" i="9" s="1"/>
  <c r="A3" i="20"/>
  <c r="B8" i="9"/>
  <c r="R18" i="9" a="1"/>
  <c r="R18" i="9" s="1"/>
  <c r="Q10" i="9" a="1"/>
  <c r="Q10" i="9" s="1"/>
  <c r="H35" i="9" a="1"/>
  <c r="H35" i="9" s="1"/>
  <c r="R11" i="9" a="1"/>
  <c r="R11" i="9" s="1"/>
  <c r="H34" i="9" a="1"/>
  <c r="H34" i="9" s="1"/>
  <c r="H38" i="9" a="1"/>
  <c r="H38" i="9" s="1"/>
  <c r="R16" i="9" a="1"/>
  <c r="R16" i="9" s="1"/>
  <c r="H27" i="9" a="1"/>
  <c r="H27" i="9" s="1"/>
  <c r="Q16" i="9" a="1"/>
  <c r="Q16" i="9" s="1"/>
  <c r="B14" i="9"/>
  <c r="J37" i="9"/>
  <c r="O5" i="9"/>
  <c r="R15" i="9" a="1"/>
  <c r="R15" i="9" s="1"/>
  <c r="G28" i="9" a="1"/>
  <c r="G28" i="9" s="1"/>
  <c r="J31" i="9"/>
  <c r="P10" i="9" a="1"/>
  <c r="P10" i="9" s="1"/>
  <c r="W13" i="9"/>
  <c r="B10" i="20" s="1"/>
  <c r="J34" i="9"/>
  <c r="H30" i="9" a="1"/>
  <c r="H30" i="9" s="1"/>
  <c r="R13" i="9" a="1"/>
  <c r="R13" i="9" s="1"/>
  <c r="J28" i="9"/>
  <c r="B12" i="9"/>
  <c r="N5" i="17"/>
  <c r="N6" i="17"/>
  <c r="D35" i="18"/>
  <c r="C11" i="8" s="1"/>
  <c r="D4" i="17"/>
  <c r="K5" i="17" s="1"/>
  <c r="K6" i="17" s="1"/>
  <c r="E35" i="18"/>
  <c r="J35" i="14"/>
  <c r="C12" i="8" s="1"/>
  <c r="C37" i="12"/>
  <c r="D35" i="14"/>
  <c r="C10" i="8" s="1"/>
  <c r="I36" i="12"/>
  <c r="C12" i="10"/>
  <c r="I13" i="6"/>
  <c r="L42" i="6" s="1"/>
  <c r="H10" i="15"/>
  <c r="G10" i="15"/>
  <c r="H13" i="6"/>
  <c r="H27" i="1" l="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72" i="9"/>
  <c r="K72" i="9" s="1"/>
  <c r="J26" i="9"/>
  <c r="G61" i="9"/>
  <c r="F61" i="9"/>
  <c r="H61" i="9"/>
  <c r="U5" i="9" s="1" a="1"/>
  <c r="U5" i="9" s="1"/>
  <c r="E61" i="9"/>
  <c r="R5" i="9" s="1" a="1"/>
  <c r="R5" i="9" s="1"/>
  <c r="D12" i="19" s="1" a="1"/>
  <c r="D12" i="19" s="1"/>
  <c r="D61" i="9"/>
  <c r="C61" i="9"/>
  <c r="J61" i="9"/>
  <c r="W5" i="9" s="1"/>
  <c r="B2" i="20" s="1"/>
  <c r="I75" i="9"/>
  <c r="K75" i="9" s="1"/>
  <c r="T16" i="9" a="1"/>
  <c r="T16" i="9" s="1"/>
  <c r="V16" i="9" s="1"/>
  <c r="X16" i="9" s="1"/>
  <c r="C13" i="20" s="1"/>
  <c r="I76" i="9"/>
  <c r="K76" i="9" s="1"/>
  <c r="I73" i="9"/>
  <c r="K73" i="9" s="1"/>
  <c r="I74" i="9"/>
  <c r="K74" i="9" s="1"/>
  <c r="I71" i="9"/>
  <c r="K71" i="9" s="1"/>
  <c r="T11" i="9" a="1"/>
  <c r="T11" i="9" s="1"/>
  <c r="V11" i="9" s="1"/>
  <c r="X11" i="9" s="1"/>
  <c r="C8" i="20" s="1"/>
  <c r="T13" i="9" a="1"/>
  <c r="T13" i="9" s="1"/>
  <c r="V13" i="9" s="1"/>
  <c r="X13" i="9" s="1"/>
  <c r="C10" i="20" s="1"/>
  <c r="B12" i="21"/>
  <c r="T12" i="9" a="1"/>
  <c r="T12" i="9" s="1"/>
  <c r="V12" i="9" s="1"/>
  <c r="X12" i="9" s="1"/>
  <c r="V22" i="9"/>
  <c r="X22" i="9" s="1"/>
  <c r="C19" i="20" s="1"/>
  <c r="I43" i="9"/>
  <c r="K43" i="9" s="1"/>
  <c r="V21" i="9"/>
  <c r="X21" i="9" s="1"/>
  <c r="C18" i="20" s="1"/>
  <c r="V19" i="9"/>
  <c r="X19" i="9" s="1"/>
  <c r="C16" i="20" s="1"/>
  <c r="I42" i="9"/>
  <c r="K42" i="9" s="1"/>
  <c r="V20" i="9"/>
  <c r="X20" i="9" s="1"/>
  <c r="C17" i="20" s="1"/>
  <c r="I69" i="9"/>
  <c r="K69" i="9" s="1"/>
  <c r="I29" i="9"/>
  <c r="K29" i="9" s="1"/>
  <c r="I39" i="9"/>
  <c r="K39" i="9" s="1"/>
  <c r="I36" i="9"/>
  <c r="K36" i="9" s="1"/>
  <c r="I34" i="9"/>
  <c r="K34" i="9" s="1"/>
  <c r="I28" i="9"/>
  <c r="K28" i="9" s="1"/>
  <c r="I32" i="9"/>
  <c r="K32" i="9" s="1"/>
  <c r="I66" i="9"/>
  <c r="K66" i="9" s="1"/>
  <c r="E5" i="9"/>
  <c r="V18" i="9"/>
  <c r="X18" i="9" s="1"/>
  <c r="C15" i="20" s="1"/>
  <c r="I40" i="9"/>
  <c r="K40" i="9" s="1"/>
  <c r="V10" i="9"/>
  <c r="X10" i="9" s="1"/>
  <c r="C7" i="20" s="1"/>
  <c r="I37" i="9"/>
  <c r="K37" i="9" s="1"/>
  <c r="V17" i="9"/>
  <c r="X17" i="9" s="1"/>
  <c r="C14" i="20" s="1"/>
  <c r="E7" i="9" a="1"/>
  <c r="E7" i="9" s="1"/>
  <c r="I35" i="9"/>
  <c r="K35" i="9" s="1"/>
  <c r="I68" i="9"/>
  <c r="K68" i="9" s="1"/>
  <c r="I63" i="9"/>
  <c r="K63" i="9" s="1"/>
  <c r="C4" i="9"/>
  <c r="I33" i="9"/>
  <c r="K33" i="9" s="1"/>
  <c r="I27" i="9"/>
  <c r="K27" i="9" s="1"/>
  <c r="C11" i="9"/>
  <c r="V9" i="9"/>
  <c r="X9" i="9" s="1"/>
  <c r="C6" i="20" s="1"/>
  <c r="E6" i="9"/>
  <c r="I31" i="9"/>
  <c r="K31" i="9" s="1"/>
  <c r="V7" i="9"/>
  <c r="X7" i="9" s="1"/>
  <c r="C4" i="20" s="1"/>
  <c r="E13" i="9"/>
  <c r="I38" i="9"/>
  <c r="K38" i="9" s="1"/>
  <c r="C3" i="9"/>
  <c r="E3" i="9"/>
  <c r="I30" i="9"/>
  <c r="K30" i="9" s="1"/>
  <c r="C9" i="9"/>
  <c r="E9" i="9"/>
  <c r="I62" i="9"/>
  <c r="K62" i="9" s="1"/>
  <c r="A2" i="20"/>
  <c r="A2" i="21"/>
  <c r="B2" i="21" s="1"/>
  <c r="E12" i="9"/>
  <c r="C12" i="9"/>
  <c r="E8" i="9"/>
  <c r="C8" i="9"/>
  <c r="E14" i="9"/>
  <c r="C14" i="9"/>
  <c r="C10" i="9"/>
  <c r="E10"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P5" i="9" a="1"/>
  <c r="P5" i="9" s="1"/>
  <c r="D8" i="19" s="1" a="1"/>
  <c r="D8" i="19" s="1"/>
  <c r="T5" i="9" a="1"/>
  <c r="T5" i="9" s="1"/>
  <c r="C14" i="19" a="1"/>
  <c r="C14" i="19" s="1"/>
  <c r="E26" i="9" a="1"/>
  <c r="E26" i="9" s="1"/>
  <c r="D26" i="9" a="1"/>
  <c r="D26" i="9" s="1"/>
  <c r="B2" i="9"/>
  <c r="S5" i="9" a="1"/>
  <c r="S5" i="9" s="1"/>
  <c r="D14" i="19" s="1" a="1"/>
  <c r="D14" i="19" s="1"/>
  <c r="C12" i="19" a="1"/>
  <c r="C12" i="19" s="1"/>
  <c r="G26" i="9" a="1"/>
  <c r="G26" i="9" s="1"/>
  <c r="H26" i="9" a="1"/>
  <c r="H26" i="9" s="1"/>
  <c r="Q5" i="9" a="1"/>
  <c r="Q5" i="9" s="1"/>
  <c r="D10" i="19" s="1" a="1"/>
  <c r="D10" i="19" s="1"/>
  <c r="I65" i="9"/>
  <c r="K65" i="9" s="1"/>
  <c r="I70" i="9"/>
  <c r="K70" i="9" s="1"/>
  <c r="T14" i="9" a="1"/>
  <c r="T14" i="9" s="1"/>
  <c r="V14" i="9" s="1"/>
  <c r="X14" i="9" s="1"/>
  <c r="C11" i="20" s="1"/>
  <c r="N7" i="17"/>
  <c r="P7" i="17" s="1"/>
  <c r="F35" i="18"/>
  <c r="C9" i="8"/>
  <c r="F4" i="17"/>
  <c r="E20" i="19" l="1" a="1"/>
  <c r="E20" i="19" s="1"/>
  <c r="E12" i="19"/>
  <c r="C9" i="20"/>
  <c r="E14" i="19"/>
  <c r="C2" i="9"/>
  <c r="E2" i="9"/>
  <c r="I26" i="9"/>
  <c r="C21" i="9"/>
  <c r="I61" i="9"/>
  <c r="K61" i="9" s="1"/>
  <c r="V5" i="9"/>
  <c r="X5" i="9" s="1"/>
  <c r="C2" i="20" s="1"/>
  <c r="C19" i="10"/>
  <c r="E16" i="19" l="1"/>
  <c r="C23" i="9"/>
  <c r="C3" i="10" s="1"/>
  <c r="K26" i="9"/>
  <c r="C11" i="10" l="1"/>
  <c r="C13" i="10" s="1"/>
  <c r="E37" i="7"/>
  <c r="C5" i="8" s="1"/>
  <c r="C14" i="8" s="1"/>
  <c r="C4" i="10" s="1"/>
  <c r="C15" i="10" s="1"/>
  <c r="C17" i="10" s="1"/>
  <c r="C5" i="10" l="1"/>
  <c r="F21" i="10" s="1"/>
  <c r="C21" i="10"/>
  <c r="B2"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<sst xmlns="http://schemas.openxmlformats.org/spreadsheetml/2006/main" count="535" uniqueCount="211">
  <si>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</si>
  <si>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</si>
  <si>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</si>
  <si>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</si>
  <si>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</si>
  <si>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</si>
  <si>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</si>
  <si>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</si>
  <si>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</si>
  <si>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</si>
  <si>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</si>
  <si>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</si>
  <si>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</si>
  <si>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</si>
  <si>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</si>
  <si>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</si>
  <si>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</si>
  <si>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</si>
  <si>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</si>
  <si>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</si>
  <si>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</si>
  <si>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</si>
  <si>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</si>
  <si>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</si>
  <si>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</si>
  <si>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</si>
  <si>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</si>
  <si>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</si>
  <si>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</si>
  <si>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</si>
  <si>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</si>
  <si>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</si>
  <si>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</si>
  <si>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</si>
  <si>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</si>
  <si>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</si>
  <si>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</si>
  <si>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</si>
  <si>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</si>
  <si>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</si>
  <si>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</si>
  <si>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</si>
  <si>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</si>
  <si>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</si>
  <si>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</si>
  <si>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</si>
  <si>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</si>
  <si>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</si>
  <si>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</si>
  <si>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</si>
  <si>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</si>
  <si>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</si>
  <si>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</si>
  <si>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</si>
  <si>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</si>
  <si>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</si>
  <si>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</si>
  <si>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</si>
  <si>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</si>
  <si>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</si>
  <si>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</si>
  <si>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</si>
  <si>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</si>
  <si>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</si>
  <si>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</si>
  <si>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</si>
  <si>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</si>
  <si>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</si>
  <si>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</si>
  <si>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</si>
  <si>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</si>
  <si>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</si>
  <si>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</si>
  <si>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</si>
  <si>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</si>
  <si>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</si>
  <si>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</si>
  <si>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</si>
  <si>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</si>
  <si>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</si>
  <si>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</si>
  <si>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</si>
  <si>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</si>
  <si>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</si>
  <si>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</si>
  <si>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</si>
  <si>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</si>
  <si>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</si>
  <si>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</si>
  <si>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</si>
  <si>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</si>
  <si>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</si>
  <si>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</si>
  <si>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</si>
  <si>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</si>
  <si>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</si>
  <si>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</si>
  <si>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</si>
  <si>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</si>
  <si>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</si>
  <si>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</si>
  <si>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</si>
  <si>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</si>
  <si>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</si>
  <si>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</si>
  <si>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</si>
  <si>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</si>
  <si>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</si>
  <si>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</si>
  <si>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</si>
  <si>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</si>
  <si>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</si>
  <si>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</si>
  <si>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</si>
  <si>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</si>
  <si>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</si>
  <si>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</si>
  <si>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</si>
  <si>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</si>
  <si>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</si>
  <si>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</si>
  <si>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</si>
  <si>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</si>
  <si>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</si>
  <si>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</si>
  <si>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</si>
  <si>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</si>
  <si>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</si>
  <si>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</si>
  <si>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</si>
  <si>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</si>
  <si>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</si>
  <si>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</si>
  <si>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</si>
  <si>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</si>
  <si>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</si>
  <si>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</si>
  <si>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</si>
  <si>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</si>
  <si>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</si>
  <si>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</si>
  <si>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</si>
  <si>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</si>
  <si>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</si>
  <si>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</si>
  <si>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</si>
  <si>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</si>
  <si>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</si>
  <si>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</si>
  <si>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</si>
  <si>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</si>
  <si>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</si>
  <si>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</si>
  <si>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</si>
  <si>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</si>
  <si>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</si>
  <si>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</si>
  <si>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</si>
  <si>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</si>
  <si>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</si>
  <si>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</si>
  <si>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</si>
  <si>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</si>
  <si>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</si>
  <si>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</si>
  <si>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</si>
  <si>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</si>
  <si>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Afzaal Hussein</t>
  </si>
  <si>
    <t>Naeem Electric</t>
  </si>
  <si>
    <t>BP26</t>
  </si>
  <si>
    <t>Master Arshad</t>
  </si>
  <si>
    <t>Master Tanveer</t>
  </si>
  <si>
    <t>AS Traders</t>
  </si>
  <si>
    <t>PVA</t>
  </si>
  <si>
    <t>Gazanfar</t>
  </si>
  <si>
    <t>Qadeer Driver</t>
  </si>
  <si>
    <t>Kamran</t>
  </si>
  <si>
    <t>Azam Operator</t>
  </si>
  <si>
    <t>Badshah Fabrics</t>
  </si>
  <si>
    <t>general</t>
  </si>
  <si>
    <t>Khalid Sahab</t>
  </si>
  <si>
    <t>Party Names</t>
  </si>
  <si>
    <t>Reject</t>
  </si>
  <si>
    <t>Kaleem ullah</t>
  </si>
  <si>
    <t>Atiq</t>
  </si>
  <si>
    <t>Qadeer Driver:</t>
  </si>
  <si>
    <t>21500 old advance</t>
  </si>
  <si>
    <t>20000 paid (Salary0</t>
  </si>
  <si>
    <t>21500-17000</t>
  </si>
  <si>
    <t>4500 advance left</t>
  </si>
  <si>
    <t>ali Ahmad</t>
  </si>
  <si>
    <t>Amjad 7up</t>
  </si>
  <si>
    <t>Hazrat Khan</t>
  </si>
  <si>
    <t>Ishaq</t>
  </si>
  <si>
    <t>Habib</t>
  </si>
  <si>
    <t>Anayat</t>
  </si>
  <si>
    <t>Qaisar</t>
  </si>
  <si>
    <t>Usman</t>
  </si>
  <si>
    <t>boiler depart</t>
  </si>
  <si>
    <t>Haseeb Shamsi</t>
  </si>
  <si>
    <t>Ashraf Guard</t>
  </si>
  <si>
    <t>Nazim</t>
  </si>
  <si>
    <t>Al madina</t>
  </si>
  <si>
    <t>300 mann stock of Aug added + (317*775 + 100*650)</t>
  </si>
  <si>
    <t>Last month stock added------this months subtracted</t>
  </si>
  <si>
    <t>33 bori starch. 100kg PVA----16 small+45 bori starch. 2 bp26</t>
  </si>
  <si>
    <t>September Closing CF</t>
  </si>
  <si>
    <t>(Last month)</t>
  </si>
  <si>
    <t>oct-Nov</t>
  </si>
  <si>
    <t>Closing September CF</t>
  </si>
  <si>
    <t>September closing 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</si>
</sst>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5" fontId="0" fillId="9" borderId="0" xfId="0" applyNumberFormat="1" applyFill="1"/>
    <xf numFmtId="0" fontId="0" fillId="0" borderId="0" xfId="0" applyNumberFormat="1"/>
    <xf numFmtId="0" fontId="1" fillId="0" borderId="0" xfId="0" applyFont="1" applyAlignment="1">
      <alignment horizontal="center" vertical="center"/>
    </xf>
    <xf numFmtId="14" fontId="1" fillId="0" borderId="0" xfId="0" applyNumberFormat="1" applyFont="1"/>
  </cellXfs>
  <cellStyles count="2">
    <cellStyle name="Comma" xfId="1" builtinId="3"/>
    <cellStyle name="Normal" xfId="0" builtinId="0"/>
  </cellStyles>
  <dxfs count="127">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9" formatCode="dd/mm/yyyy"/>
    </dxf>
    <dxf>
      <numFmt numFmtId="0" formatCode="General"/>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1.xml"/><Relationship Id="rId39" Type="http://schemas.openxmlformats.org/officeDocument/2006/relationships/powerPivotData" Target="model/item.data"/><Relationship Id="rId21" Type="http://schemas.openxmlformats.org/officeDocument/2006/relationships/pivotCacheDefinition" Target="pivotCache/pivotCacheDefinition2.xml"/><Relationship Id="rId34" Type="http://schemas.openxmlformats.org/officeDocument/2006/relationships/theme" Target="theme/theme1.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microsoft.com/office/2007/relationships/slicerCache" Target="slicerCaches/slicerCache4.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microsoft.com/office/2007/relationships/slicerCache" Target="slicerCaches/slicerCache7.xml"/><Relationship Id="rId37" Type="http://schemas.openxmlformats.org/officeDocument/2006/relationships/sharedStrings" Target="sharedString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microsoft.com/office/2007/relationships/slicerCache" Target="slicerCaches/slicerCache3.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microsoft.com/office/2007/relationships/slicerCache" Target="slicerCaches/slicerCache8.xml"/><Relationship Id="rId38"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11</xdr:col>
      <xdr:colOff>677132</xdr:colOff>
      <xdr:row>110</xdr:row>
      <xdr:rowOff>2672</xdr:rowOff>
    </xdr:from>
    <xdr:to>
      <xdr:col>15</xdr:col>
      <xdr:colOff>869488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349771</xdr:colOff>
      <xdr:row>24</xdr:row>
      <xdr:rowOff>74951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W5">
            <v>7158783</v>
          </cell>
        </row>
        <row r="6">
          <cell r="O6" t="str">
            <v>Ejaz Sahab</v>
          </cell>
          <cell r="W6">
            <v>612354</v>
          </cell>
        </row>
        <row r="7">
          <cell r="O7" t="str">
            <v>Arshad</v>
          </cell>
          <cell r="W7">
            <v>754210</v>
          </cell>
        </row>
        <row r="8">
          <cell r="O8" t="str">
            <v>Shehzad Kamoki</v>
          </cell>
          <cell r="W8">
            <v>1125940</v>
          </cell>
        </row>
        <row r="9">
          <cell r="O9" t="str">
            <v>Sufi Nawaz Sahab</v>
          </cell>
          <cell r="W9">
            <v>4079100</v>
          </cell>
        </row>
        <row r="10">
          <cell r="O10" t="str">
            <v>Sajad Khan</v>
          </cell>
          <cell r="W10">
            <v>2300000</v>
          </cell>
        </row>
        <row r="11">
          <cell r="O11" t="str">
            <v>Raaz Fabrics</v>
          </cell>
          <cell r="W11">
            <v>200000</v>
          </cell>
        </row>
        <row r="12">
          <cell r="O12" t="str">
            <v>Hafiz Qureshi</v>
          </cell>
          <cell r="W12">
            <v>100000</v>
          </cell>
        </row>
        <row r="13">
          <cell r="O13" t="str">
            <v>Ubaidullah</v>
          </cell>
          <cell r="W13">
            <v>296150</v>
          </cell>
        </row>
        <row r="14">
          <cell r="O14" t="str">
            <v>Ashraf Zia</v>
          </cell>
          <cell r="W14">
            <v>0</v>
          </cell>
        </row>
        <row r="15">
          <cell r="O15" t="str">
            <v>Azam</v>
          </cell>
          <cell r="W15">
            <v>200000</v>
          </cell>
        </row>
        <row r="16">
          <cell r="O16">
            <v>0</v>
          </cell>
          <cell r="W16">
            <v>0</v>
          </cell>
        </row>
        <row r="17">
          <cell r="W17">
            <v>0</v>
          </cell>
        </row>
        <row r="18">
          <cell r="W18">
            <v>0</v>
          </cell>
        </row>
        <row r="19">
          <cell r="W19">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refreshError="1"/>
      <sheetData sheetId="2" refreshError="1"/>
      <sheetData sheetId="3" refreshError="1"/>
      <sheetData sheetId="4" refreshError="1"/>
      <sheetData sheetId="5"/>
      <sheetData sheetId="6" refreshError="1"/>
      <sheetData sheetId="7">
        <row r="5">
          <cell r="N5">
            <v>21812</v>
          </cell>
        </row>
        <row r="6">
          <cell r="N6">
            <v>770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240739" createdVersion="8" refreshedVersion="8" minRefreshableVersion="3" recordCount="2" xr:uid="{B5BDFB73-D93A-4A7A-8149-666BC190B09B}">
  <cacheSource type="worksheet">
    <worksheetSource name="Table14"/>
  </cacheSource>
  <cacheFields count="7">
    <cacheField name="Date" numFmtId="14">
      <sharedItems containsSemiMixedTypes="0" containsNonDate="0" containsDate="1" containsString="0" minDate="2025-10-17T00:00:00" maxDate="2025-10-18T00:00:00"/>
    </cacheField>
    <cacheField name="Party" numFmtId="0">
      <sharedItems containsBlank="1" count="47">
        <s v="Closing September CF"/>
        <s v="Closing August CF" u="1"/>
        <s v="Ejaz Sahab" u="1"/>
        <s v="Malik Zaheer" u="1"/>
        <s v="Hafiz Qureshi" u="1"/>
        <s v="Arshad" u="1"/>
        <s v="Misc" u="1"/>
        <s v="Omer" u="1"/>
        <s v="Advance Salary" u="1"/>
        <s v="BSC" u="1"/>
        <s v="Transport" u="1"/>
        <s v="Dasti" u="1"/>
        <s v="Parts" u="1"/>
        <s v="Salary" u="1"/>
        <s v="Dyes" u="1"/>
        <s v="Rafaqat" u="1"/>
        <s v="Azam" u="1"/>
        <s v="Sufi Nawaz Sahab" u="1"/>
        <s v="Rashan" u="1"/>
        <s v="Finish" u="1"/>
        <s v="Temp" u="1"/>
        <s v="Sajad Khan" u="1"/>
        <s v="Chain Acc" u="1"/>
        <s v="Badshah Fabrics" u="1"/>
        <s v="Ubaidullah" u="1"/>
        <s v="Shehzad Kamoki" u="1"/>
        <s v="Unicolour" u="1"/>
        <s v="Cash" u="1"/>
        <s v="Raaz Fabrics" u="1"/>
        <s v="Kaleem ullah" u="1"/>
        <s v="Ishaq" u="1"/>
        <s v="Shamil" u="1"/>
        <s v="ARB dasti" u="1"/>
        <s v="AS traders" u="1"/>
        <m u="1"/>
        <s v="Closing July CF" u="1"/>
        <s v="Chemicals" u="1"/>
        <s v="Raaz" u="1"/>
        <s v="Faysal Akraam" u="1"/>
        <s v="Diesel" u="1"/>
        <s v="Old Bill" u="1"/>
        <s v="temp (Ashfaq Sahab)" u="1"/>
        <s v="Salary " u="1"/>
        <s v="Aqib" u="1"/>
        <s v="Toll" u="1"/>
        <s v="Self" u="1"/>
        <s v="Aqib Freight" u="1"/>
      </sharedItems>
    </cacheField>
    <cacheField name="Debit" numFmtId="164">
      <sharedItems containsNonDate="0" containsString="0" containsBlank="1"/>
    </cacheField>
    <cacheField name="Credit" numFmtId="164">
      <sharedItems containsSemiMixedTypes="0" containsString="0" containsNumber="1" containsInteger="1" minValue="770" maxValue="21812"/>
    </cacheField>
    <cacheField name="Description" numFmtId="0">
      <sharedItems containsNonDate="0" containsString="0"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35648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7">
        <s v="BSC"/>
        <s v="Ejaz Sahab"/>
        <s v="Arshad"/>
        <s v="Shehzad Kamoki"/>
        <s v="Sufi Nawaz Sahab"/>
        <s v="Sajad Khan"/>
        <s v="Raaz Fabrics"/>
        <s v="Azam"/>
        <s v="Ubaidullah"/>
        <s v="Ashraf Zia"/>
        <s v="Hafiz Qureshi"/>
        <s v="Badshah Fabrics"/>
        <s v="Reject"/>
        <s v="Amjad 7up"/>
        <s v="Hazrat Khan"/>
        <s v="Haseeb Shams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703701" createdVersion="8" refreshedVersion="8" minRefreshableVersion="3" recordCount="2" xr:uid="{AC867DCC-CE64-4D1A-827D-F1F3EE10EE4E}">
  <cacheSource type="worksheet">
    <worksheetSource name="Table8"/>
  </cacheSource>
  <cacheFields count="9">
    <cacheField name="Date" numFmtId="14">
      <sharedItems containsSemiMixedTypes="0" containsNonDate="0" containsDate="1" containsString="0" minDate="2025-05-16T00:00:00" maxDate="2025-10-18T00:00:00" count="27">
        <d v="2025-10-17T00:00:00"/>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4">
        <s v="Unicolour"/>
        <s v="Al madina"/>
        <m u="1"/>
        <s v="-" u="1"/>
      </sharedItems>
    </cacheField>
    <cacheField name="Paid" numFmtId="0">
      <sharedItems containsNonDate="0" containsString="0" containsBlank="1"/>
    </cacheField>
    <cacheField name="Balance" numFmtId="0">
      <sharedItems containsSemiMixedTypes="0" containsString="0" containsNumber="1" containsInteger="1" minValue="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819447" createdVersion="8" refreshedVersion="8" minRefreshableVersion="3" recordCount="11" xr:uid="{3E5C2981-ACF5-44A9-8567-B1D65DB3A8D2}">
  <cacheSource type="worksheet">
    <worksheetSource name="Table3"/>
  </cacheSource>
  <cacheFields count="9">
    <cacheField name="Date" numFmtId="14">
      <sharedItems containsNonDate="0" containsDate="1" containsString="0" containsBlank="1" minDate="2025-05-02T00:00:00" maxDate="2025-10-18T00:00:00" count="82">
        <d v="2025-10-17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55">
        <s v="Closing Balance CF"/>
        <m/>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NonDate="0" containsString="0" containsBlank="1"/>
    </cacheField>
    <cacheField name="Rate" numFmtId="164">
      <sharedItems containsNonDate="0" containsString="0" containsBlank="1"/>
    </cacheField>
    <cacheField name="Rent" numFmtId="164">
      <sharedItems containsNonDate="0" containsString="0" containsBlank="1"/>
    </cacheField>
    <cacheField name="Total" numFmtId="164">
      <sharedItems containsSemiMixedTypes="0" containsString="0" containsNumber="1" containsInteger="1" minValue="0" maxValue="0"/>
    </cacheField>
    <cacheField name="Paid" numFmtId="164">
      <sharedItems containsString="0" containsBlank="1" containsNumber="1" containsInteger="1" minValue="0" maxValue="0"/>
    </cacheField>
    <cacheField name="balance" numFmtId="164">
      <sharedItems containsSemiMixedTypes="0" containsString="0" containsNumber="1" containsInteger="1" minValue="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9050924" createdVersion="8" refreshedVersion="8" minRefreshableVersion="3" recordCount="32"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10-17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67">
        <s v="September Closing CF"/>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90">
        <m/>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818"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9398148"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d v="2025-10-17T00:00:00"/>
    <x v="0"/>
    <m/>
    <n v="21812"/>
    <m/>
    <s v="Bank"/>
    <m/>
  </r>
  <r>
    <d v="2025-10-17T00:00:00"/>
    <x v="0"/>
    <m/>
    <n v="770"/>
    <m/>
    <s v="Cash"/>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s v="Dyes"/>
    <m/>
    <m/>
    <m/>
    <x v="0"/>
    <m/>
    <n v="640125"/>
    <s v="September closing CF"/>
  </r>
  <r>
    <x v="0"/>
    <s v="Dyes"/>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m/>
    <m/>
    <m/>
    <n v="0"/>
    <m/>
    <n v="1972281"/>
  </r>
  <r>
    <x v="0"/>
    <x v="1"/>
    <x v="0"/>
    <m/>
    <m/>
    <m/>
    <n v="0"/>
    <n v="0"/>
    <n v="0"/>
  </r>
  <r>
    <x v="0"/>
    <x v="2"/>
    <x v="0"/>
    <m/>
    <m/>
    <m/>
    <n v="0"/>
    <n v="0"/>
    <n v="87620"/>
  </r>
  <r>
    <x v="0"/>
    <x v="3"/>
    <x v="0"/>
    <m/>
    <m/>
    <m/>
    <n v="0"/>
    <m/>
    <n v="456400"/>
  </r>
  <r>
    <x v="0"/>
    <x v="4"/>
    <x v="0"/>
    <m/>
    <m/>
    <m/>
    <n v="0"/>
    <m/>
    <n v="0"/>
  </r>
  <r>
    <x v="1"/>
    <x v="5"/>
    <x v="1"/>
    <m/>
    <m/>
    <m/>
    <n v="0"/>
    <m/>
    <n v="0"/>
  </r>
  <r>
    <x v="1"/>
    <x v="5"/>
    <x v="1"/>
    <m/>
    <m/>
    <m/>
    <n v="0"/>
    <m/>
    <n v="0"/>
  </r>
  <r>
    <x v="1"/>
    <x v="5"/>
    <x v="1"/>
    <m/>
    <m/>
    <m/>
    <n v="0"/>
    <m/>
    <n v="0"/>
  </r>
  <r>
    <x v="1"/>
    <x v="5"/>
    <x v="1"/>
    <m/>
    <m/>
    <m/>
    <n v="0"/>
    <m/>
    <n v="0"/>
  </r>
  <r>
    <x v="1"/>
    <x v="5"/>
    <x v="1"/>
    <m/>
    <m/>
    <m/>
    <n v="0"/>
    <m/>
    <n v="0"/>
  </r>
  <r>
    <x v="1"/>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8">
        <item x="0"/>
        <item x="1"/>
        <item x="2"/>
        <item x="3"/>
        <item x="4"/>
        <item x="5"/>
        <item x="6"/>
        <item x="7"/>
        <item x="8"/>
        <item x="9"/>
        <item x="10"/>
        <item x="11"/>
        <item x="12"/>
        <item x="13"/>
        <item x="14"/>
        <item x="15"/>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1:K6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m="1" x="1"/>
        <item m="1" x="2"/>
        <item m="1" x="3"/>
        <item m="1" x="4"/>
        <item m="1" x="5"/>
        <item m="1" x="6"/>
        <item m="1" x="7"/>
        <item m="1" x="8"/>
        <item m="1" x="9"/>
        <item m="1" x="10"/>
        <item m="1" x="11"/>
        <item m="1" x="12"/>
        <item m="1" x="13"/>
        <item m="1" x="14"/>
        <item m="1" x="24"/>
        <item m="1" x="15"/>
        <item m="1" x="16"/>
        <item m="1" x="25"/>
        <item m="1" x="17"/>
        <item m="1" x="18"/>
        <item m="1" x="19"/>
        <item m="1" x="26"/>
        <item m="1" x="27"/>
        <item m="1" x="20"/>
        <item m="1" x="21"/>
        <item m="1" x="22"/>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1:G63"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m="1" x="1"/>
        <item m="1" x="2"/>
        <item m="1" x="3"/>
        <item m="1" x="4"/>
        <item m="1" x="5"/>
        <item m="1" x="6"/>
        <item m="1" x="7"/>
        <item m="1" x="8"/>
        <item m="1" x="9"/>
        <item m="1" x="10"/>
        <item m="1" x="11"/>
        <item m="1" x="12"/>
        <item m="1" x="13"/>
        <item m="1" x="14"/>
        <item m="1" x="24"/>
        <item m="1" x="15"/>
        <item m="1" x="16"/>
        <item m="1" x="25"/>
        <item m="1" x="17"/>
        <item m="1" x="18"/>
        <item m="1" x="19"/>
        <item m="1" x="26"/>
        <item m="1" x="27"/>
        <item m="1" x="20"/>
        <item m="1" x="21"/>
        <item m="1" x="22"/>
        <item x="0"/>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6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257"/>
        <item m="1" x="258"/>
        <item m="1" x="259"/>
        <item m="1" x="260"/>
        <item m="1" x="261"/>
        <item m="1" x="262"/>
        <item m="1" x="263"/>
        <item m="1" x="264"/>
        <item m="1" x="265"/>
        <item m="1" x="266"/>
        <item m="1" x="267"/>
        <item m="1" x="268"/>
        <item m="1" x="269"/>
        <item m="1" x="270"/>
        <item m="1" x="271"/>
        <item m="1" x="272"/>
        <item m="1" x="273"/>
        <item m="1" x="274"/>
        <item m="1" x="303"/>
        <item m="1" x="275"/>
        <item m="1" x="276"/>
        <item m="1" x="277"/>
        <item m="1" x="278"/>
        <item m="1" x="279"/>
        <item m="1" x="280"/>
        <item m="1" x="292"/>
        <item m="1" x="281"/>
        <item m="1" x="282"/>
        <item m="1" x="283"/>
        <item m="1" x="284"/>
        <item m="1" x="285"/>
        <item m="1" x="286"/>
        <item m="1" x="287"/>
        <item m="1" x="288"/>
        <item m="1" x="289"/>
        <item m="1" x="290"/>
        <item m="1" x="291"/>
        <item m="1" x="293"/>
        <item m="1" x="294"/>
        <item m="1" x="295"/>
        <item m="1" x="296"/>
        <item m="1" x="297"/>
        <item m="1" x="298"/>
        <item m="1" x="299"/>
        <item m="1" x="300"/>
        <item m="1" x="301"/>
        <item m="1" x="302"/>
        <item m="1" x="304"/>
        <item m="1" x="305"/>
        <item m="1" x="306"/>
        <item m="1" x="307"/>
        <item m="1" x="308"/>
        <item m="1" x="309"/>
        <item m="1" x="310"/>
        <item m="1" x="311"/>
        <item m="1" x="312"/>
        <item m="1" x="313"/>
        <item m="1" x="314"/>
        <item m="1" x="315"/>
        <item m="1" x="316"/>
        <item m="1" x="317"/>
        <item m="1" x="318"/>
        <item m="1" x="149"/>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50"/>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7"/>
        <item m="1" x="248"/>
        <item m="1" x="249"/>
        <item m="1" x="246"/>
        <item m="1" x="250"/>
        <item m="1" x="251"/>
        <item m="1" x="252"/>
        <item m="1" x="253"/>
        <item m="1" x="254"/>
        <item m="1" x="255"/>
        <item m="1" x="25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x="0"/>
        <item t="default"/>
      </items>
    </pivotField>
    <pivotField showAll="0"/>
    <pivotField axis="axisPage" multipleItemSelectionAllowed="1" showAll="0">
      <items count="191">
        <item m="1" x="144"/>
        <item m="1" x="173"/>
        <item m="1" x="174"/>
        <item m="1" x="182"/>
        <item m="1" x="172"/>
        <item m="1" x="171"/>
        <item m="1" x="175"/>
        <item m="1" x="186"/>
        <item m="1" x="178"/>
        <item m="1" x="179"/>
        <item m="1" x="176"/>
        <item m="1" x="177"/>
        <item m="1" x="187"/>
        <item m="1" x="180"/>
        <item m="1" x="181"/>
        <item m="1" x="184"/>
        <item m="1" x="185"/>
        <item m="1" x="183"/>
        <item m="1" x="139"/>
        <item m="1" x="189"/>
        <item m="1" x="138"/>
        <item m="1" x="188"/>
        <item m="1" x="141"/>
        <item m="1" x="140"/>
        <item m="1" x="142"/>
        <item m="1" x="148"/>
        <item m="1" x="143"/>
        <item m="1" x="145"/>
        <item m="1" x="149"/>
        <item m="1" x="150"/>
        <item m="1" x="169"/>
        <item m="1" x="146"/>
        <item m="1" x="147"/>
        <item m="1" x="109"/>
        <item m="1" x="131"/>
        <item m="1" x="170"/>
        <item m="1" x="151"/>
        <item m="1" x="152"/>
        <item m="1" x="153"/>
        <item m="1" x="154"/>
        <item m="1" x="155"/>
        <item m="1" x="85"/>
        <item m="1" x="156"/>
        <item m="1" x="157"/>
        <item m="1" x="158"/>
        <item m="1" x="159"/>
        <item m="1" x="160"/>
        <item m="1" x="161"/>
        <item m="1" x="162"/>
        <item m="1" x="163"/>
        <item m="1" x="164"/>
        <item m="1" x="165"/>
        <item m="1" x="166"/>
        <item m="1" x="167"/>
        <item m="1" x="168"/>
        <item x="0"/>
        <item m="1" x="84"/>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2"/>
        <item m="1" x="133"/>
        <item m="1" x="134"/>
        <item m="1" x="135"/>
        <item m="1" x="136"/>
        <item m="1" x="137"/>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83"/>
        <item m="1" x="63"/>
        <item m="1" x="64"/>
        <item m="1" x="65"/>
        <item m="1" x="66"/>
        <item m="1" x="67"/>
        <item m="1" x="68"/>
        <item m="1" x="69"/>
        <item m="1" x="70"/>
        <item m="1" x="71"/>
        <item m="1" x="72"/>
        <item m="1" x="73"/>
        <item m="1" x="74"/>
        <item m="1" x="75"/>
        <item m="1" x="76"/>
        <item m="1" x="77"/>
        <item m="1" x="78"/>
        <item m="1" x="79"/>
        <item m="1" x="80"/>
        <item m="1" x="81"/>
        <item m="1" x="8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36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6:I21" firstHeaderRow="0" firstDataRow="1" firstDataCol="1" rowPageCount="1" colPageCount="1"/>
  <pivotFields count="9">
    <pivotField axis="axisRow" numFmtId="14" showAll="0">
      <items count="83">
        <item m="1" x="66"/>
        <item m="1" x="67"/>
        <item m="1" x="68"/>
        <item m="1" x="69"/>
        <item m="1" x="70"/>
        <item m="1" x="71"/>
        <item m="1" x="72"/>
        <item m="1" x="81"/>
        <item m="1" x="62"/>
        <item m="1" x="73"/>
        <item m="1" x="74"/>
        <item m="1" x="75"/>
        <item m="1" x="76"/>
        <item m="1" x="77"/>
        <item m="1" x="78"/>
        <item m="1" x="79"/>
        <item m="1" x="33"/>
        <item m="1" x="34"/>
        <item m="1" x="80"/>
        <item m="1" x="35"/>
        <item m="1" x="32"/>
        <item m="1" x="36"/>
        <item m="1" x="38"/>
        <item m="1" x="39"/>
        <item m="1" x="40"/>
        <item m="1" x="42"/>
        <item m="1" x="43"/>
        <item m="1" x="44"/>
        <item m="1" x="37"/>
        <item m="1" x="41"/>
        <item m="1" x="45"/>
        <item m="1" x="46"/>
        <item m="1" x="47"/>
        <item m="1" x="48"/>
        <item m="1" x="31"/>
        <item m="1" x="49"/>
        <item m="1" x="63"/>
        <item m="1" x="64"/>
        <item m="1" x="65"/>
        <item m="1" x="50"/>
        <item m="1" x="51"/>
        <item m="1" x="52"/>
        <item m="1" x="53"/>
        <item m="1" x="54"/>
        <item m="1" x="55"/>
        <item m="1" x="56"/>
        <item m="1" x="57"/>
        <item m="1" x="58"/>
        <item m="1" x="59"/>
        <item m="1" x="60"/>
        <item m="1" x="61"/>
        <item m="1" x="2"/>
        <item m="1" x="3"/>
        <item m="1" x="4"/>
        <item m="1" x="5"/>
        <item m="1" x="6"/>
        <item m="1" x="7"/>
        <item m="1" x="8"/>
        <item m="1" x="9"/>
        <item m="1" x="11"/>
        <item m="1" x="12"/>
        <item m="1" x="13"/>
        <item m="1" x="10"/>
        <item m="1" x="14"/>
        <item m="1" x="15"/>
        <item m="1" x="16"/>
        <item m="1" x="17"/>
        <item m="1" x="18"/>
        <item m="1" x="19"/>
        <item m="1" x="20"/>
        <item m="1" x="21"/>
        <item m="1" x="22"/>
        <item m="1" x="23"/>
        <item m="1" x="24"/>
        <item m="1" x="25"/>
        <item m="1" x="26"/>
        <item m="1" x="27"/>
        <item m="1" x="28"/>
        <item m="1" x="29"/>
        <item m="1" x="30"/>
        <item x="0"/>
        <item x="1"/>
        <item t="default"/>
      </items>
    </pivotField>
    <pivotField axis="axisPage" showAll="0">
      <items count="9">
        <item x="1"/>
        <item x="0"/>
        <item x="5"/>
        <item m="1" x="7"/>
        <item x="2"/>
        <item x="3"/>
        <item x="4"/>
        <item m="1" x="6"/>
        <item t="default"/>
      </items>
    </pivotField>
    <pivotField axis="axisRow" showAll="0">
      <items count="56">
        <item m="1" x="45"/>
        <item m="1" x="29"/>
        <item m="1" x="41"/>
        <item m="1" x="11"/>
        <item m="1" x="46"/>
        <item m="1" x="47"/>
        <item m="1" x="42"/>
        <item m="1" x="43"/>
        <item m="1" x="44"/>
        <item x="1"/>
        <item m="1" x="22"/>
        <item m="1" x="48"/>
        <item m="1" x="49"/>
        <item m="1" x="50"/>
        <item m="1" x="51"/>
        <item m="1" x="52"/>
        <item m="1" x="53"/>
        <item m="1" x="18"/>
        <item m="1" x="19"/>
        <item m="1" x="54"/>
        <item m="1" x="20"/>
        <item x="0"/>
        <item m="1" x="21"/>
        <item m="1" x="23"/>
        <item m="1" x="24"/>
        <item m="1" x="25"/>
        <item m="1" x="26"/>
        <item m="1" x="27"/>
        <item m="1" x="28"/>
        <item m="1" x="30"/>
        <item m="1" x="31"/>
        <item m="1" x="13"/>
        <item m="1" x="32"/>
        <item m="1" x="33"/>
        <item m="1" x="34"/>
        <item m="1" x="17"/>
        <item m="1" x="35"/>
        <item m="1" x="36"/>
        <item m="1" x="15"/>
        <item m="1" x="37"/>
        <item m="1" x="38"/>
        <item m="1" x="39"/>
        <item m="1" x="40"/>
        <item m="1" x="3"/>
        <item m="1" x="4"/>
        <item m="1" x="5"/>
        <item m="1" x="6"/>
        <item m="1" x="7"/>
        <item m="1" x="8"/>
        <item m="1" x="9"/>
        <item m="1" x="10"/>
        <item m="1" x="12"/>
        <item m="1" x="14"/>
        <item m="1" x="16"/>
        <item m="1"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5">
    <i>
      <x v="80"/>
    </i>
    <i r="1">
      <x v="21"/>
    </i>
    <i>
      <x v="8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0">
      <pivotArea dataOnly="0" labelOnly="1" outline="0" fieldPosition="0">
        <references count="1">
          <reference field="1" count="1">
            <x v="1"/>
          </reference>
        </references>
      </pivotArea>
    </format>
    <format dxfId="9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65" firstHeaderRow="0" firstDataRow="1" firstDataCol="1"/>
  <pivotFields count="7">
    <pivotField numFmtId="14" showAll="0"/>
    <pivotField axis="axisRow" showAll="0">
      <items count="48">
        <item m="1" x="8"/>
        <item m="1" x="5"/>
        <item m="1" x="9"/>
        <item m="1" x="27"/>
        <item m="1" x="36"/>
        <item m="1" x="19"/>
        <item m="1" x="3"/>
        <item m="1" x="6"/>
        <item m="1" x="12"/>
        <item m="1" x="18"/>
        <item m="1" x="13"/>
        <item m="1" x="45"/>
        <item m="1" x="25"/>
        <item m="1" x="10"/>
        <item m="1" x="38"/>
        <item m="1" x="43"/>
        <item m="1" x="11"/>
        <item m="1" x="20"/>
        <item m="1" x="7"/>
        <item m="1" x="2"/>
        <item m="1" x="34"/>
        <item m="1" x="21"/>
        <item m="1" x="46"/>
        <item m="1" x="17"/>
        <item m="1" x="4"/>
        <item m="1" x="44"/>
        <item m="1" x="35"/>
        <item m="1" x="26"/>
        <item m="1" x="37"/>
        <item m="1" x="39"/>
        <item m="1" x="40"/>
        <item m="1" x="41"/>
        <item m="1" x="24"/>
        <item m="1" x="42"/>
        <item m="1" x="28"/>
        <item m="1" x="15"/>
        <item m="1" x="14"/>
        <item m="1" x="16"/>
        <item m="1" x="1"/>
        <item m="1" x="22"/>
        <item m="1" x="23"/>
        <item m="1" x="29"/>
        <item m="1" x="30"/>
        <item m="1" x="31"/>
        <item m="1" x="32"/>
        <item m="1" x="33"/>
        <item x="0"/>
        <item t="default"/>
      </items>
    </pivotField>
    <pivotField dataField="1" showAll="0"/>
    <pivotField dataField="1" showAll="0"/>
    <pivotField showAll="0"/>
    <pivotField showAll="0"/>
    <pivotField showAll="0"/>
  </pivotFields>
  <rowFields count="1">
    <field x="1"/>
  </rowFields>
  <rowItems count="2">
    <i>
      <x v="46"/>
    </i>
    <i t="grand">
      <x/>
    </i>
  </rowItems>
  <colFields count="1">
    <field x="-2"/>
  </colFields>
  <colItems count="2">
    <i>
      <x/>
    </i>
    <i i="1">
      <x v="1"/>
    </i>
  </colItems>
  <dataFields count="2">
    <dataField name="Sum of Credit" fld="3" baseField="0" baseItem="0"/>
    <dataField name="Sum of Debit" fld="2" baseField="0" baseItem="0"/>
  </dataFields>
  <formats count="1">
    <format dxfId="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m="1" x="1"/>
        <item m="1" x="2"/>
        <item m="1" x="3"/>
        <item m="1" x="4"/>
        <item m="1" x="5"/>
        <item m="1" x="6"/>
        <item m="1" x="7"/>
        <item x="0"/>
        <item t="default"/>
      </items>
    </pivotField>
    <pivotField showAll="0"/>
    <pivotField showAll="0"/>
    <pivotField showAll="0"/>
    <pivotField dataField="1" showAll="0"/>
    <pivotField axis="axisPage" showAll="0">
      <items count="5">
        <item x="0"/>
        <item m="1" x="2"/>
        <item m="1" x="3"/>
        <item x="1"/>
        <item t="default"/>
      </items>
    </pivotField>
    <pivotField showAll="0"/>
    <pivotField dataField="1" showAll="0"/>
    <pivotField showAll="0"/>
  </pivotFields>
  <rowFields count="1">
    <field x="0"/>
  </rowFields>
  <rowItems count="2">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191">
        <item m="1" x="173"/>
        <item m="1" x="174"/>
        <item m="1" x="172"/>
        <item m="1" x="171"/>
        <item m="1" x="175"/>
        <item m="1" x="177"/>
        <item m="1" x="176"/>
        <item m="1" x="178"/>
        <item m="1" x="179"/>
        <item m="1" x="180"/>
        <item m="1" x="181"/>
        <item m="1" x="182"/>
        <item m="1" x="183"/>
        <item m="1" x="184"/>
        <item m="1" x="109"/>
        <item m="1" x="131"/>
        <item m="1" x="185"/>
        <item m="1" x="186"/>
        <item m="1" x="187"/>
        <item m="1" x="139"/>
        <item m="1" x="138"/>
        <item m="1" x="188"/>
        <item m="1" x="189"/>
        <item m="1" x="148"/>
        <item m="1" x="140"/>
        <item m="1" x="141"/>
        <item m="1" x="142"/>
        <item m="1" x="143"/>
        <item m="1" x="144"/>
        <item m="1" x="145"/>
        <item m="1" x="146"/>
        <item m="1" x="147"/>
        <item m="1" x="149"/>
        <item m="1" x="169"/>
        <item m="1" x="150"/>
        <item m="1" x="170"/>
        <item m="1" x="151"/>
        <item m="1" x="152"/>
        <item m="1" x="153"/>
        <item m="1" x="154"/>
        <item m="1" x="155"/>
        <item m="1" x="85"/>
        <item m="1" x="156"/>
        <item m="1" x="157"/>
        <item m="1" x="158"/>
        <item m="1" x="159"/>
        <item m="1" x="160"/>
        <item m="1" x="161"/>
        <item m="1" x="162"/>
        <item m="1" x="163"/>
        <item m="1" x="164"/>
        <item m="1" x="165"/>
        <item m="1" x="166"/>
        <item m="1" x="167"/>
        <item m="1" x="168"/>
        <item x="0"/>
        <item m="1" x="84"/>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2"/>
        <item m="1" x="133"/>
        <item m="1" x="134"/>
        <item m="1" x="135"/>
        <item m="1" x="136"/>
        <item m="1" x="137"/>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83"/>
        <item m="1" x="63"/>
        <item m="1" x="64"/>
        <item m="1" x="65"/>
        <item m="1" x="66"/>
        <item m="1" x="67"/>
        <item m="1" x="68"/>
        <item m="1" x="69"/>
        <item m="1" x="70"/>
        <item m="1" x="71"/>
        <item m="1" x="72"/>
        <item m="1" x="73"/>
        <item m="1" x="74"/>
        <item m="1" x="75"/>
        <item m="1" x="76"/>
        <item m="1" x="77"/>
        <item m="1" x="78"/>
        <item m="1" x="79"/>
        <item m="1" x="80"/>
        <item m="1" x="81"/>
        <item m="1" x="8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0">
      <pivotArea type="all" dataOnly="0" outline="0" fieldPosition="0"/>
    </format>
    <format dxfId="49">
      <pivotArea outline="0" collapsedLevelsAreSubtotals="1" fieldPosition="0"/>
    </format>
    <format dxfId="48">
      <pivotArea field="4" type="button" dataOnly="0" labelOnly="1" outline="0" axis="axisRow" fieldPosition="0"/>
    </format>
    <format dxfId="47">
      <pivotArea dataOnly="0" labelOnly="1" fieldPosition="0">
        <references count="1">
          <reference field="4" count="0"/>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 dxfId="44">
      <pivotArea grandRow="1" outline="0" collapsedLevelsAreSubtotals="1" fieldPosition="0"/>
    </format>
    <format dxfId="43">
      <pivotArea field="4" type="button" dataOnly="0" labelOnly="1" outline="0" axis="axisRow" fieldPosition="0"/>
    </format>
    <format dxfId="4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0">
        <i x="144" s="1" nd="1"/>
        <i x="173" s="1" nd="1"/>
        <i x="174" s="1" nd="1"/>
        <i x="182" s="1" nd="1"/>
        <i x="172" s="1" nd="1"/>
        <i x="171" s="1" nd="1"/>
        <i x="175" s="1" nd="1"/>
        <i x="186" s="1" nd="1"/>
        <i x="178" s="1" nd="1"/>
        <i x="179" s="1" nd="1"/>
        <i x="176" s="1" nd="1"/>
        <i x="177" s="1" nd="1"/>
        <i x="187" s="1" nd="1"/>
        <i x="180" s="1" nd="1"/>
        <i x="181" s="1" nd="1"/>
        <i x="184" s="1" nd="1"/>
        <i x="185" s="1" nd="1"/>
        <i x="183" s="1" nd="1"/>
        <i x="139" s="1" nd="1"/>
        <i x="189" s="1" nd="1"/>
        <i x="138" s="1" nd="1"/>
        <i x="188" s="1" nd="1"/>
        <i x="141" s="1" nd="1"/>
        <i x="102" s="1" nd="1"/>
        <i x="140" s="1" nd="1"/>
        <i x="142" s="1" nd="1"/>
        <i x="148" s="1" nd="1"/>
        <i x="143" s="1" nd="1"/>
        <i x="145" s="1" nd="1"/>
        <i x="161" s="1" nd="1"/>
        <i x="84" s="1" nd="1"/>
        <i x="149" s="1" nd="1"/>
        <i x="89" s="1" nd="1"/>
        <i x="155" s="1" nd="1"/>
        <i x="150" s="1" nd="1"/>
        <i x="153" s="1" nd="1"/>
        <i x="158" s="1" nd="1"/>
        <i x="169" s="1" nd="1"/>
        <i x="151" s="1" nd="1"/>
        <i x="163" s="1" nd="1"/>
        <i x="166" s="1" nd="1"/>
        <i x="157" s="1" nd="1"/>
        <i x="146" s="1" nd="1"/>
        <i x="154" s="1" nd="1"/>
        <i x="147" s="1" nd="1"/>
        <i x="152" s="1" nd="1"/>
        <i x="85" s="1" nd="1"/>
        <i x="156" s="1" nd="1"/>
        <i x="162" s="1" nd="1"/>
        <i x="99" s="1" nd="1"/>
        <i x="159" s="1" nd="1"/>
        <i x="164" s="1" nd="1"/>
        <i x="160" s="1" nd="1"/>
        <i x="126" s="1" nd="1"/>
        <i x="165" s="1" nd="1"/>
        <i x="167" s="1" nd="1"/>
        <i x="87" s="1" nd="1"/>
        <i x="94" s="1" nd="1"/>
        <i x="168" s="1" nd="1"/>
        <i x="91" s="1" nd="1"/>
        <i x="92" s="1" nd="1"/>
        <i x="86" s="1" nd="1"/>
        <i x="90" s="1" nd="1"/>
        <i x="88" s="1" nd="1"/>
        <i x="97" s="1" nd="1"/>
        <i x="93" s="1" nd="1"/>
        <i x="95" s="1" nd="1"/>
        <i x="98" s="1" nd="1"/>
        <i x="106" s="1" nd="1"/>
        <i x="96" s="1" nd="1"/>
        <i x="105" s="1" nd="1"/>
        <i x="110" s="1" nd="1"/>
        <i x="104" s="1" nd="1"/>
        <i x="107" s="1" nd="1"/>
        <i x="117" s="1" nd="1"/>
        <i x="103" s="1" nd="1"/>
        <i x="100" s="1" nd="1"/>
        <i x="101" s="1" nd="1"/>
        <i x="116" s="1" nd="1"/>
        <i x="109" s="1" nd="1"/>
        <i x="120" s="1" nd="1"/>
        <i x="115" s="1" nd="1"/>
        <i x="108" s="1" nd="1"/>
        <i x="132" s="1" nd="1"/>
        <i x="113" s="1" nd="1"/>
        <i x="123" s="1" nd="1"/>
        <i x="121" s="1" nd="1"/>
        <i x="111" s="1" nd="1"/>
        <i x="119" s="1" nd="1"/>
        <i x="118" s="1" nd="1"/>
        <i x="114" s="1" nd="1"/>
        <i x="124" s="1" nd="1"/>
        <i x="122" s="1" nd="1"/>
        <i x="125" s="1" nd="1"/>
        <i x="112" s="1" nd="1"/>
        <i x="52" s="1" nd="1"/>
        <i x="127" s="1" nd="1"/>
        <i x="128" s="1" nd="1"/>
        <i x="10" s="1" nd="1"/>
        <i x="12" s="1" nd="1"/>
        <i x="135" s="1" nd="1"/>
        <i x="6" s="1" nd="1"/>
        <i x="53" s="1" nd="1"/>
        <i x="129" s="1" nd="1"/>
        <i x="130" s="1" nd="1"/>
        <i x="9" s="1" nd="1"/>
        <i x="137" s="1" nd="1"/>
        <i x="8" s="1" nd="1"/>
        <i x="23" s="1" nd="1"/>
        <i x="136" s="1" nd="1"/>
        <i x="131" s="1" nd="1"/>
        <i x="27" s="1" nd="1"/>
        <i x="134" s="1" nd="1"/>
        <i x="133" s="1" nd="1"/>
        <i x="48" s="1" nd="1"/>
        <i x="1" s="1" nd="1"/>
        <i x="13" s="1" nd="1"/>
        <i x="49" s="1" nd="1"/>
        <i x="47" s="1" nd="1"/>
        <i x="5" s="1" nd="1"/>
        <i x="7" s="1" nd="1"/>
        <i x="11" s="1" nd="1"/>
        <i x="2" s="1" nd="1"/>
        <i x="37" s="1" nd="1"/>
        <i x="42" s="1" nd="1"/>
        <i x="3" s="1" nd="1"/>
        <i x="4" s="1" nd="1"/>
        <i x="14" s="1" nd="1"/>
        <i x="17" s="1" nd="1"/>
        <i x="24" s="1" nd="1"/>
        <i x="16" s="1" nd="1"/>
        <i x="19" s="1" nd="1"/>
        <i x="18" s="1" nd="1"/>
        <i x="61" s="1" nd="1"/>
        <i x="15" s="1" nd="1"/>
        <i x="40" s="1" nd="1"/>
        <i x="56" s="1" nd="1"/>
        <i x="20" s="1" nd="1"/>
        <i x="45" s="1" nd="1"/>
        <i x="58" s="1" nd="1"/>
        <i x="29" s="1" nd="1"/>
        <i x="70" s="1" nd="1"/>
        <i x="28" s="1" nd="1"/>
        <i x="25" s="1" nd="1"/>
        <i x="21" s="1" nd="1"/>
        <i x="22" s="1" nd="1"/>
        <i x="41" s="1" nd="1"/>
        <i x="30" s="1" nd="1"/>
        <i x="31" s="1" nd="1"/>
        <i x="26" s="1" nd="1"/>
        <i x="33" s="1" nd="1"/>
        <i x="34" s="1" nd="1"/>
        <i x="63" s="1" nd="1"/>
        <i x="32" s="1" nd="1"/>
        <i x="50" s="1" nd="1"/>
        <i x="38" s="1" nd="1"/>
        <i x="35" s="1" nd="1"/>
        <i x="39" s="1" nd="1"/>
        <i x="36" s="1" nd="1"/>
        <i x="43" s="1" nd="1"/>
        <i x="62" s="1" nd="1"/>
        <i x="57" s="1" nd="1"/>
        <i x="76" s="1" nd="1"/>
        <i x="44" s="1" nd="1"/>
        <i x="55" s="1" nd="1"/>
        <i x="46" s="1" nd="1"/>
        <i x="71" s="1" nd="1"/>
        <i x="54" s="1" nd="1"/>
        <i x="69" s="1" nd="1"/>
        <i x="60" s="1" nd="1"/>
        <i x="59" s="1" nd="1"/>
        <i x="75" s="1" nd="1"/>
        <i x="72" s="1" nd="1"/>
        <i x="80" s="1" nd="1"/>
        <i x="64" s="1" nd="1"/>
        <i x="73" s="1" nd="1"/>
        <i x="78" s="1" nd="1"/>
        <i x="83" s="1" nd="1"/>
        <i x="79" s="1" nd="1"/>
        <i x="74" s="1" nd="1"/>
        <i x="65" s="1" nd="1"/>
        <i x="68" s="1" nd="1"/>
        <i x="77" s="1" nd="1"/>
        <i x="66" s="1" nd="1"/>
        <i x="67" s="1" nd="1"/>
        <i x="81" s="1" nd="1"/>
        <i x="82" s="1" nd="1"/>
        <i x="51" s="1" nd="1"/>
        <i x="17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B2, ledger!E:E, "&lt;&gt;*RD*") / 1.0936</calculatedColumnFormula>
    </tableColumn>
    <tableColumn id="3" xr3:uid="{CC1535DD-3FE7-4F55-8040-E7643388A78E}" name="Rate"/>
    <tableColumn id="4" xr3:uid="{059CB70B-ADAD-4985-84AA-0D530BAC5567}" name="Total" dataDxfId="120">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3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34" totalsRowCount="1" headerRowDxfId="102" dataDxfId="101" headerRowCellStyle="Comma" dataCellStyle="Comma">
  <autoFilter ref="A1:K33" xr:uid="{11DACEC6-751B-4B1D-817F-5C5BCD38EF6D}"/>
  <tableColumns count="11">
    <tableColumn id="1" xr3:uid="{2FCE3FA8-A48C-4685-8919-AE44C6C71FD9}" name="Date" dataDxfId="33" dataCellStyle="Comma"/>
    <tableColumn id="2" xr3:uid="{5780FD5F-0890-44E6-B59C-8E37A559FE36}" name="Party Name" dataDxfId="32" dataCellStyle="Comma">
      <calculatedColumnFormula array="1">_xlfn.UNIQUE([2]!Table1[Party Name])</calculatedColumnFormula>
    </tableColumn>
    <tableColumn id="3" xr3:uid="{5B3ECD85-9174-40AC-BFBD-49CAC97A83D3}" name="Bill Number" dataDxfId="31" dataCellStyle="Comma"/>
    <tableColumn id="4" xr3:uid="{11B50761-04B6-4262-AD4D-7182450037D1}" name="Quality" dataDxfId="30" dataCellStyle="Comma"/>
    <tableColumn id="5" xr3:uid="{2C556969-B713-4967-BD24-466AACCBE5F5}" name="Shipment Number" dataDxfId="29" totalsRowDxfId="22" dataCellStyle="Comma"/>
    <tableColumn id="6" xr3:uid="{F4E1FD2B-9017-4DEB-B772-BF447ECE56F7}" name="Kora/metre" dataDxfId="28" totalsRowDxfId="21" dataCellStyle="Comma"/>
    <tableColumn id="7" xr3:uid="{52ACC1DA-7A76-4A90-B809-3A1AE728E7EA}" name="Tiyaar/gaz" dataDxfId="27" totalsRowDxfId="20" dataCellStyle="Comma"/>
    <tableColumn id="8" xr3:uid="{31A0FF5E-56F0-44D1-9865-73256B964660}" name="shortage %" dataDxfId="26" totalsRowDxfId="19" dataCellStyle="Comma">
      <calculatedColumnFormula>_xlfn.XLOOKUP(Table1[[#This Row],[Shipment Number]], 'pivot '!A:A,'pivot '!G:G, "NF")</calculatedColumnFormula>
    </tableColumn>
    <tableColumn id="9" xr3:uid="{F99075E0-AC8E-094D-BB85-272AD2C6C568}" name="tiyar/meters" totalsRowFunction="custom" dataDxfId="25" totalsRowDxfId="18"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24" totalsRowDxfId="17"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23" totalsRowDxfId="16"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3" totalsRowCount="1" headerRowDxfId="98" headerRowBorderDxfId="97" tableBorderDxfId="96">
  <autoFilter ref="A1:I12" xr:uid="{F8E8C957-ABE7-4E4F-8D4E-7D44E26B334F}"/>
  <tableColumns count="9">
    <tableColumn id="1" xr3:uid="{C2E817D6-AB98-4DDD-8890-736B27F261CD}" name="Date" dataDxfId="95" totalsRowDxfId="9"/>
    <tableColumn id="2" xr3:uid="{CFB51890-CCDC-463C-81C9-3F8BD7469CB9}" name="Party Name"/>
    <tableColumn id="3" xr3:uid="{A113D971-1C9D-4733-99C4-BD0CC4333209}" name="Vehicle Number"/>
    <tableColumn id="4" xr3:uid="{49780304-3DD1-4AE9-98EE-2BC7EB8F3B57}" name="Weight" dataDxfId="94" totalsRowDxfId="8" dataCellStyle="Comma"/>
    <tableColumn id="5" xr3:uid="{FCAF1BC6-1D8C-42AD-8BBC-F924BF2DC7FE}" name="Rate" dataDxfId="93" totalsRowDxfId="7" dataCellStyle="Comma"/>
    <tableColumn id="6" xr3:uid="{8C70A624-4134-410C-9C45-9FDEB51D51BF}" name="Rent" dataDxfId="92" totalsRowDxfId="6" dataCellStyle="Comma"/>
    <tableColumn id="7" xr3:uid="{EBCE10AE-9634-4982-9C95-37ABC8A7078C}" name="Total" totalsRowFunction="sum" dataDxfId="91" totalsRowDxfId="5" dataCellStyle="Comma">
      <calculatedColumnFormula>D2*E2</calculatedColumnFormula>
    </tableColumn>
    <tableColumn id="9" xr3:uid="{D4788559-C94A-44D9-B9AE-E72B214355AC}" name="Paid" totalsRowFunction="sum" dataDxfId="90" totalsRowDxfId="4" dataCellStyle="Comma"/>
    <tableColumn id="8" xr3:uid="{E26F5BF0-1875-4FC6-994D-49F202ED562B}" name="balance" totalsRowFunction="sum" dataDxfId="89" totalsRowDxfId="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 totalsRowCount="1">
  <autoFilter ref="A1:G3" xr:uid="{CB032221-B416-47A8-9A76-693DE76CFD04}"/>
  <tableColumns count="7">
    <tableColumn id="1" xr3:uid="{554B1EED-65B6-4E9A-B646-82727FAC40DE}" name="Date" dataDxfId="87" totalsRowDxfId="13"/>
    <tableColumn id="2" xr3:uid="{32259059-42CF-4947-83DE-115AA430BE2B}" name="Party"/>
    <tableColumn id="3" xr3:uid="{A1320223-D55D-483C-91C3-AB19B95CC9D8}" name="Debit" totalsRowFunction="sum" dataDxfId="86" totalsRowDxfId="12" dataCellStyle="Comma"/>
    <tableColumn id="4" xr3:uid="{E9745767-9FF0-4B1C-9052-FF335D1D7588}" name="Credit" totalsRowFunction="sum" dataDxfId="85" totalsRowDxfId="11" dataCellStyle="Comma"/>
    <tableColumn id="5" xr3:uid="{5C88A48E-2467-4E6D-B626-2442B7FD0BE4}" name="Description"/>
    <tableColumn id="6" xr3:uid="{63CA4666-144E-4BE6-8B7C-7CB992BD3041}" name="Mode" totalsRowFunction="custom" dataDxfId="84" totalsRowDxfId="1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3" tableBorderDxfId="82" totalsRowBorderDxfId="81">
  <autoFilter ref="J3:K6" xr:uid="{DCE01694-23ED-48BF-8B92-4186B9ED10A8}"/>
  <tableColumns count="2">
    <tableColumn id="1" xr3:uid="{C8484DAF-2989-4C2F-9AEC-A6917E1C57F6}" name="Type" dataDxfId="80"/>
    <tableColumn id="2" xr3:uid="{B07B7A2A-4D4E-4654-BED6-FE2F0A7BEC34}" name="Amount" dataDxfId="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8" headerRowBorderDxfId="77" tableBorderDxfId="76" totalsRowBorderDxfId="75">
  <autoFilter ref="M3:O6" xr:uid="{D166BDD1-ACD7-45D7-8AE9-7350373F8CEB}"/>
  <tableColumns count="3">
    <tableColumn id="1" xr3:uid="{64F0205E-DEA7-4571-BA86-E4374A5FEE28}" name="Type" totalsRowLabel="Total" dataDxfId="74" totalsRowDxfId="73"/>
    <tableColumn id="2" xr3:uid="{15FA05F9-789C-4459-9BE0-5C1EC84D3365}" name="amount" totalsRowFunction="custom" dataDxfId="72" totalsRowDxfId="71">
      <totalsRowFormula>SUM(N5:N6)</totalsRowFormula>
    </tableColumn>
    <tableColumn id="3" xr3:uid="{3681D409-90C6-44D0-BDE2-4B5943A516F0}" name="Actual" totalsRowFunction="custom" totalsRowDxfId="7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9" totalsRowDxfId="68"/>
    <tableColumn id="2" xr3:uid="{5B9D0FEE-4304-4C5C-A05C-5B27CF7841D3}" name="Type"/>
    <tableColumn id="3" xr3:uid="{6A91CA0D-C802-4C6F-9F39-CA53687E8EDE}" name="Description"/>
    <tableColumn id="4" xr3:uid="{A251D40C-AB87-4BB4-85F8-444B20E32FDF}" name="Total" totalsRowFunction="custom" dataDxfId="67" totalsRowDxfId="6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4" totalsRowCount="1" headerRowDxfId="65" headerRowBorderDxfId="64">
  <autoFilter ref="A1:I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61" headerRowBorderDxfId="60">
  <autoFilter ref="A4:H9" xr:uid="{A4C80688-A8BA-4BA7-90B4-791CD99446B4}"/>
  <sortState xmlns:xlrd2="http://schemas.microsoft.com/office/spreadsheetml/2017/richdata2" ref="A5:H6">
    <sortCondition ref="A4:A6"/>
  </sortState>
  <tableColumns count="8">
    <tableColumn id="1" xr3:uid="{4A818912-918E-4111-ACFC-BC93FEF7C1AD}" name="Date" dataDxfId="59" totalsRowDxfId="14"/>
    <tableColumn id="8" xr3:uid="{477ACFD5-62AF-4F69-974B-E9B974C11D7D}" name="Party Name" dataDxfId="5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15">
      <calculatedColumnFormula>Table2[[#This Row],[Quantity]]*200*Table2[[#This Row],[Boxes]]</calculatedColumnFormula>
    </tableColumn>
    <tableColumn id="6" xr3:uid="{30432929-CBD4-4BA8-B63F-CD0F6CF6405F}" name="Paid" totalsRowFunction="sum" dataDxfId="57">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6">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5" totalsRowDxfId="54"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3" totalsRowDxfId="2"/>
    <tableColumn id="2" xr3:uid="{053BFC14-4828-417C-9F9F-95B6E232A945}" name="Amount" totalsRowFunction="custom" dataDxfId="52" totalsRowDxfId="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51" totalsRowDxfId="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1" totalsRowDxfId="4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9" totalsRowDxfId="3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37">
      <calculatedColumnFormula>Billing!O5</calculatedColumnFormula>
    </tableColumn>
    <tableColumn id="2" xr3:uid="{7093A59E-B58F-487D-888A-9AA8156B5F9A}" name="Amount Paid" dataDxfId="36">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35"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N1" zoomScale="110" workbookViewId="0">
      <selection activeCell="T9" sqref="T9"/>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B26</f>
        <v>BSC</v>
      </c>
      <c r="C2" s="18">
        <f>SUMIFS(ledger!G:G, ledger!B:B, B2, ledger!E:E, "&lt;&gt;*RD*") / 1.0936</f>
        <v>0</v>
      </c>
      <c r="D2">
        <v>10</v>
      </c>
      <c r="E2" s="14">
        <f>(SUMIFS(ledger!G:G, ledger!B:B, B2, ledger!E:E, "&lt;&gt;*RD*",ledger!D:D, "Silky") / 1.0936)*12 + (SUMIFS(ledger!G:G, ledger!B:B, B2, ledger!E:E, "&lt;&gt;*RD*",ledger!D:D, "Chamki") / 1.0936)*10</f>
        <v>0</v>
      </c>
      <c r="O2" t="s">
        <v>1</v>
      </c>
    </row>
    <row r="3" spans="2:26" x14ac:dyDescent="0.3">
      <c r="B3" t="str">
        <f>B27</f>
        <v>Ejaz Sahab</v>
      </c>
      <c r="C3" s="18">
        <f>SUMIFS(ledger!G:G, ledger!B:B, B3, ledger!E:E, "&lt;&gt;*RD*") / 1.0936</f>
        <v>0</v>
      </c>
      <c r="D3">
        <v>10</v>
      </c>
      <c r="E3" s="14">
        <f>(SUMIFS(ledger!G:G, ledger!B:B, B3, ledger!E:E, "&lt;&gt;*RD*",ledger!D:D, "Silky") / 1.0936)*12 + (SUMIFS(ledger!G:G, ledger!B:B, B3, ledger!E:E, "&lt;&gt;*RD*",ledger!D:D, "Chamki") / 1.0936)*10</f>
        <v>0</v>
      </c>
      <c r="I3" s="3" t="s">
        <v>6</v>
      </c>
      <c r="J3" t="s">
        <v>7</v>
      </c>
      <c r="K3" t="s">
        <v>8</v>
      </c>
    </row>
    <row r="4" spans="2:26" x14ac:dyDescent="0.3">
      <c r="B4" t="str">
        <f>B28</f>
        <v>Arshad</v>
      </c>
      <c r="C4" s="18">
        <f>SUMIFS(ledger!G:G, ledger!B:B, B4, ledger!E:E, "&lt;&gt;*RD*") / 1.0936</f>
        <v>0</v>
      </c>
      <c r="D4">
        <v>10</v>
      </c>
      <c r="E4" s="14">
        <f>(SUMIFS(ledger!G:G, ledger!B:B, B4, ledger!E:E, "&lt;&gt;*RD*",ledger!D:D, "Silky") / 1.0936)*12 + (SUMIFS(ledger!G:G, ledger!B:B, B4, ledger!E:E, "&lt;&gt;*RD*",ledger!D:D, "Chamki") / 1.0936)*10</f>
        <v>0</v>
      </c>
      <c r="I4" s="4" t="s">
        <v>21</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B29</f>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0</v>
      </c>
      <c r="K5" s="18">
        <v>0</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6"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5">
        <f>V5-W5</f>
        <v>2439163.7520117071</v>
      </c>
      <c r="Y5" s="22">
        <v>10</v>
      </c>
      <c r="Z5" s="22">
        <v>12</v>
      </c>
    </row>
    <row r="6" spans="2:26" x14ac:dyDescent="0.3">
      <c r="B6" t="str">
        <f>B30</f>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6"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0">T6+U6</f>
        <v>1484367.2275054865</v>
      </c>
      <c r="W6" s="23">
        <f>(SUMIF(Table14[Party],O6,Table14[Credit]))+_xlfn.IFNA(J62,0)</f>
        <v>859904</v>
      </c>
      <c r="X6" s="95">
        <f>V6-W6</f>
        <v>624463.22750548646</v>
      </c>
      <c r="Y6" s="22">
        <v>10</v>
      </c>
      <c r="Z6" s="22">
        <v>12</v>
      </c>
    </row>
    <row r="7" spans="2:26" x14ac:dyDescent="0.3">
      <c r="B7" t="str">
        <f>B31</f>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6"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0"/>
        <v>2404753.1089978055</v>
      </c>
      <c r="W7" s="23">
        <f>(SUMIF(Table14[Party],O7,Table14[Credit]))+_xlfn.IFNA(J63,0)</f>
        <v>2306701</v>
      </c>
      <c r="X7" s="95">
        <f>V7-W7</f>
        <v>98052.10899780551</v>
      </c>
      <c r="Y7" s="22">
        <v>10</v>
      </c>
      <c r="Z7" s="22">
        <v>12</v>
      </c>
    </row>
    <row r="8" spans="2:26" x14ac:dyDescent="0.3">
      <c r="B8" t="str">
        <f>B32</f>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6"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0"/>
        <v>1269270.3440380397</v>
      </c>
      <c r="W8" s="23">
        <f>(SUMIF(Table14[Party],O8,Table14[Credit]))+_xlfn.IFNA(J64,0)</f>
        <v>1268740</v>
      </c>
      <c r="X8" s="95">
        <f>V8-W8</f>
        <v>530.34403803967871</v>
      </c>
      <c r="Y8" s="22">
        <v>10.5</v>
      </c>
      <c r="Z8" s="22">
        <v>13</v>
      </c>
    </row>
    <row r="9" spans="2:26" x14ac:dyDescent="0.3">
      <c r="B9" t="str">
        <f>B33</f>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6"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5408917.8595464528</v>
      </c>
      <c r="U9" s="23" cm="1">
        <f t="array" ref="U9">(_xlfn.BYROW(B30,_xlfn.LAMBDA(_xlpm.party,SUMIFS(ledger!G:G,ledger!B:B,_xlpm.party,ledger!E:E,"&lt;&gt;*RD*",ledger!D:D, "Silky")/1.0936))* 12)+_xlfn.IFNA(H65,0)</f>
        <v>5829886.6130212145</v>
      </c>
      <c r="V9" s="44">
        <f t="shared" si="0"/>
        <v>11238804.472567666</v>
      </c>
      <c r="W9" s="23">
        <f>(SUMIF(Table14[Party],O9,Table14[Credit]))+_xlfn.IFNA(J65,0)</f>
        <v>8629100</v>
      </c>
      <c r="X9" s="95">
        <f t="shared" ref="X9:X17" si="1">V9-W9</f>
        <v>2609704.4725676663</v>
      </c>
      <c r="Y9" s="22">
        <v>10</v>
      </c>
      <c r="Z9" s="22">
        <v>12</v>
      </c>
    </row>
    <row r="10" spans="2:26" x14ac:dyDescent="0.3">
      <c r="B10" t="str">
        <f>B34</f>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6"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0"/>
        <v>4404352.5969275786</v>
      </c>
      <c r="W10" s="23">
        <f>(SUMIF(Table14[Party],O10,Table14[Credit]))+_xlfn.IFNA(J66,0)</f>
        <v>3751266</v>
      </c>
      <c r="X10" s="95">
        <f t="shared" si="1"/>
        <v>653086.59692757856</v>
      </c>
      <c r="Y10" s="22">
        <v>10</v>
      </c>
      <c r="Z10" s="22">
        <v>12</v>
      </c>
    </row>
    <row r="11" spans="2:26" x14ac:dyDescent="0.3">
      <c r="B11" t="str">
        <f>B35</f>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6"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0"/>
        <v>690919.89758595475</v>
      </c>
      <c r="W11" s="23">
        <f>(SUMIF(Table14[Party],O11,Table14[Credit]))+_xlfn.IFNA(J67,0)</f>
        <v>600000</v>
      </c>
      <c r="X11" s="95">
        <f t="shared" si="1"/>
        <v>90919.89758595475</v>
      </c>
      <c r="Y11" s="22">
        <v>10</v>
      </c>
      <c r="Z11" s="22">
        <v>12</v>
      </c>
    </row>
    <row r="12" spans="2:26" x14ac:dyDescent="0.3">
      <c r="B12" t="str">
        <f>B36</f>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6"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0"/>
        <v>1618087.0519385519</v>
      </c>
      <c r="W12" s="23">
        <f>(SUMIF(Table14[Party],O12,Table14[Credit]))+_xlfn.IFNA(J68,0)</f>
        <v>1617620</v>
      </c>
      <c r="X12" s="95">
        <f t="shared" si="1"/>
        <v>467.05193855194375</v>
      </c>
      <c r="Y12" s="22">
        <v>10</v>
      </c>
      <c r="Z12" s="22">
        <v>12</v>
      </c>
    </row>
    <row r="13" spans="2:26" x14ac:dyDescent="0.3">
      <c r="B13" t="str">
        <f>B37</f>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6"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2">T13+U13</f>
        <v>631234.45501097303</v>
      </c>
      <c r="W13" s="23">
        <f>(SUMIF(Table14[Party],O13,Table14[Credit]))+_xlfn.IFNA(J69,0)</f>
        <v>451150</v>
      </c>
      <c r="X13" s="95">
        <f t="shared" si="1"/>
        <v>180084.45501097303</v>
      </c>
      <c r="Y13" s="22">
        <v>10</v>
      </c>
      <c r="Z13" s="22">
        <v>12</v>
      </c>
    </row>
    <row r="14" spans="2:26" x14ac:dyDescent="0.3">
      <c r="B14" t="str">
        <f>B38</f>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6"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2"/>
        <v>255724.21360643749</v>
      </c>
      <c r="W14" s="23">
        <f>(SUMIF(Table14[Party],O14,Table14[Credit]))+_xlfn.IFNA(J70,0)</f>
        <v>0</v>
      </c>
      <c r="X14" s="42">
        <f t="shared" si="1"/>
        <v>255724.21360643749</v>
      </c>
      <c r="Y14" s="22">
        <v>12</v>
      </c>
      <c r="Z14" s="22">
        <v>12</v>
      </c>
    </row>
    <row r="15" spans="2:26" x14ac:dyDescent="0.3">
      <c r="B15" s="107" t="str">
        <f>B39</f>
        <v>Amjad 7up</v>
      </c>
      <c r="C15" s="18">
        <f>SUMIFS(ledger!G:G, ledger!B:B, B15, ledger!E:E, "&lt;&gt;*RD*") / 1.0936</f>
        <v>0</v>
      </c>
      <c r="E15" s="14">
        <f>(SUMIFS(ledger!G:G, ledger!B:B, B15, ledger!E:E, "&lt;&gt;*RD*",ledger!D:D, "Silky") / 1.0936)*12 + (SUMIFS(ledger!G:G, ledger!B:B, B15, ledger!E:E, "&lt;&gt;*RD*",ledger!D:D, "Chamki") / 1.0936)*10</f>
        <v>0</v>
      </c>
      <c r="I15" s="4" t="s">
        <v>178</v>
      </c>
      <c r="J15" s="5">
        <v>0</v>
      </c>
      <c r="K15" s="18">
        <v>0</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6"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2"/>
        <v>446881.85808339436</v>
      </c>
      <c r="W15" s="23">
        <f>(SUMIF(Table14[Party],O15,Table14[Credit]))+_xlfn.IFNA(J71,0)</f>
        <v>400000</v>
      </c>
      <c r="X15" s="42">
        <f t="shared" si="1"/>
        <v>46881.858083394356</v>
      </c>
      <c r="Y15" s="22">
        <v>10</v>
      </c>
      <c r="Z15" s="22">
        <v>12</v>
      </c>
    </row>
    <row r="16" spans="2:26" x14ac:dyDescent="0.3">
      <c r="B16" s="107" t="str">
        <f>B40</f>
        <v>Hazrat Khan</v>
      </c>
      <c r="C16" s="18">
        <f>SUMIFS(ledger!G:G, ledger!B:B, B16, ledger!E:E, "&lt;&gt;*RD*") / 1.0936</f>
        <v>0</v>
      </c>
      <c r="E16" s="14">
        <f>(SUMIFS(ledger!G:G, ledger!B:B, B16, ledger!E:E, "&lt;&gt;*RD*",ledger!D:D, "Silky") / 1.0936)*12 + (SUMIFS(ledger!G:G, ledger!B:B, B16, ledger!E:E, "&lt;&gt;*RD*",ledger!D:D, "Chamki") / 1.0936)*10</f>
        <v>0</v>
      </c>
      <c r="I16" s="4" t="s">
        <v>182</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6"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2"/>
        <v>2655543.1602048283</v>
      </c>
      <c r="W16" s="23">
        <f>(SUMIF(Table14[Party],O16,Table14[Credit]))+_xlfn.IFNA(J72,0)</f>
        <v>1370000</v>
      </c>
      <c r="X16" s="42">
        <f t="shared" si="1"/>
        <v>1285543.1602048283</v>
      </c>
      <c r="Y16" s="22">
        <v>10</v>
      </c>
      <c r="Z16" s="22">
        <v>12</v>
      </c>
    </row>
    <row r="17" spans="1:26" x14ac:dyDescent="0.3">
      <c r="B17" s="107" t="str">
        <f>B41</f>
        <v>Haseeb Shamsi</v>
      </c>
      <c r="C17" s="18">
        <f>SUMIFS(ledger!G:G, ledger!B:B, B17, ledger!E:E, "&lt;&gt;*RD*") / 1.0936</f>
        <v>0</v>
      </c>
      <c r="E17" s="14">
        <f>(SUMIFS(ledger!G:G, ledger!B:B, B17, ledger!E:E, "&lt;&gt;*RD*",ledger!D:D, "Silky") / 1.0936)*12 + (SUMIFS(ledger!G:G, ledger!B:B, B17, ledger!E:E, "&lt;&gt;*RD*",ledger!D:D, "Chamki") / 1.0936)*10</f>
        <v>0</v>
      </c>
      <c r="I17" s="4" t="s">
        <v>191</v>
      </c>
      <c r="J17" s="5">
        <v>0</v>
      </c>
      <c r="K17" s="18">
        <v>0</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6"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2"/>
        <v>0</v>
      </c>
      <c r="W17" s="23">
        <f>(SUMIF(Table14[Party],O17,Table14[Credit]))+_xlfn.IFNA(J73,0)</f>
        <v>0</v>
      </c>
      <c r="X17" s="42">
        <f t="shared" si="1"/>
        <v>0</v>
      </c>
      <c r="Y17" s="22">
        <v>10</v>
      </c>
      <c r="Z17" s="22">
        <v>12</v>
      </c>
    </row>
    <row r="18" spans="1:26" x14ac:dyDescent="0.3">
      <c r="B18" s="107">
        <f>B42</f>
        <v>0</v>
      </c>
      <c r="C18" s="18">
        <f>SUMIFS(ledger!G:G, ledger!B:B, B18, ledger!E:E, "&lt;&gt;*RD*") / 1.0936</f>
        <v>0</v>
      </c>
      <c r="E18" s="14">
        <f>(SUMIFS(ledger!G:G, ledger!B:B, B18, ledger!E:E, "&lt;&gt;*RD*",ledger!D:D, "Silky") / 1.0936)*12 + (SUMIFS(ledger!G:G, ledger!B:B, B18, ledger!E:E, "&lt;&gt;*RD*",ledger!D:D, "Chamki") / 1.0936)*10</f>
        <v>0</v>
      </c>
      <c r="I18" s="4" t="s">
        <v>192</v>
      </c>
      <c r="J18" s="5">
        <v>0</v>
      </c>
      <c r="K18" s="18">
        <v>0</v>
      </c>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6"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3">T18+U18</f>
        <v>483851.49963423557</v>
      </c>
      <c r="W18" s="23">
        <f>(SUMIF(Table14[Party],O18,Table14[Credit]))+_xlfn.IFNA(J74,0)</f>
        <v>0</v>
      </c>
      <c r="X18" s="42">
        <f t="shared" ref="X18:X23" si="4">V18-W18</f>
        <v>483851.49963423557</v>
      </c>
      <c r="Y18" s="22">
        <v>10</v>
      </c>
      <c r="Z18" s="22">
        <v>12</v>
      </c>
    </row>
    <row r="19" spans="1:26" x14ac:dyDescent="0.3">
      <c r="I19" s="4" t="s">
        <v>199</v>
      </c>
      <c r="J19" s="5">
        <v>0</v>
      </c>
      <c r="K19" s="18">
        <v>0</v>
      </c>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6"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5">T19+U19</f>
        <v>89155.084125822978</v>
      </c>
      <c r="W19" s="23">
        <f>(SUMIF(Table14[Party],O19,Table14[Credit]))+_xlfn.IFNA(J75,0)</f>
        <v>0</v>
      </c>
      <c r="X19" s="42">
        <f t="shared" si="4"/>
        <v>89155.084125822978</v>
      </c>
      <c r="Y19" s="22">
        <v>10</v>
      </c>
      <c r="Z19" s="22">
        <v>12</v>
      </c>
    </row>
    <row r="20" spans="1:26" x14ac:dyDescent="0.3">
      <c r="I20" s="4">
        <v>0</v>
      </c>
      <c r="J20" s="5">
        <v>0</v>
      </c>
      <c r="K20" s="18">
        <v>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6"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5"/>
        <v>256272.86027798103</v>
      </c>
      <c r="W20" s="23">
        <f>(SUMIF(Table14[Party],O20,Table14[Credit]))+_xlfn.IFNA(J76,0)</f>
        <v>0</v>
      </c>
      <c r="X20" s="42">
        <f t="shared" si="4"/>
        <v>256272.86027798103</v>
      </c>
      <c r="Y20" s="22">
        <v>10</v>
      </c>
      <c r="Z20" s="22">
        <v>12</v>
      </c>
    </row>
    <row r="21" spans="1:26" x14ac:dyDescent="0.3">
      <c r="B21" s="45" t="s">
        <v>29</v>
      </c>
      <c r="C21" s="46">
        <f>SUM(G26:G46)+SUM(H26:H46)</f>
        <v>0</v>
      </c>
      <c r="D21" t="s">
        <v>30</v>
      </c>
      <c r="I21" s="4" t="s">
        <v>28</v>
      </c>
      <c r="J21" s="14">
        <v>0</v>
      </c>
      <c r="K21" s="14">
        <v>0</v>
      </c>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6"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5"/>
        <v>0</v>
      </c>
      <c r="W21" s="23">
        <f>(SUMIF(Table14[Party],O21,Table14[Credit]))+_xlfn.IFNA(J77,0)</f>
        <v>0</v>
      </c>
      <c r="X21" s="42">
        <f t="shared" si="4"/>
        <v>0</v>
      </c>
      <c r="Y21" s="22">
        <v>10</v>
      </c>
      <c r="Z21" s="22">
        <v>12</v>
      </c>
    </row>
    <row r="22" spans="1:26" x14ac:dyDescent="0.3">
      <c r="C22" s="18"/>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6"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5"/>
        <v>0</v>
      </c>
      <c r="W22" s="23">
        <f>(SUMIF(Table14[Party],O22,Table14[Credit]))+_xlfn.IFNA(J78,0)</f>
        <v>0</v>
      </c>
      <c r="X22" s="42">
        <f t="shared" si="4"/>
        <v>0</v>
      </c>
      <c r="Y22" s="22">
        <v>10</v>
      </c>
      <c r="Z22" s="22">
        <v>12</v>
      </c>
    </row>
    <row r="23" spans="1:26" x14ac:dyDescent="0.3">
      <c r="B23" s="25" t="s">
        <v>31</v>
      </c>
      <c r="C23" s="42">
        <f ca="1">SUM(OFFSET(I26,0,0,COUNTA(I:I)-ROW(I26)+1))</f>
        <v>0</v>
      </c>
      <c r="D23" t="s">
        <v>32</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6"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5"/>
        <v>0</v>
      </c>
      <c r="W23" s="23">
        <f>(SUMIF(Table14[Party],O23,Table14[Credit]))+_xlfn.IFNA(J79,0)</f>
        <v>0</v>
      </c>
      <c r="X23" s="42">
        <f t="shared" si="4"/>
        <v>0</v>
      </c>
      <c r="Y23" s="22">
        <v>10</v>
      </c>
      <c r="Z23" s="22">
        <v>12</v>
      </c>
    </row>
    <row r="24" spans="1:26" x14ac:dyDescent="0.3">
      <c r="B24" t="s">
        <v>158</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0</v>
      </c>
      <c r="D26" s="23" cm="1">
        <f t="array" ref="D26:D41">_xlfn.BYROW(_xlfn.ANCHORARRAY(B26), _xlfn.LAMBDA(_xlpm.party, SUMIFS(ledger!G:G, ledger!B:B, _xlpm.party, ledger!E:E, "&lt;&gt;*RD*") / 1.0936 ))</f>
        <v>0</v>
      </c>
      <c r="E26" s="69" cm="1">
        <f t="array" ref="E26:E41">(_xlfn.BYROW(_xlfn.ANCHORARRAY(B26),_xlfn.LAMBDA(_xlpm.party,SUMIFS(ledger!G:G,ledger!B:B,_xlpm.party,ledger!E:E,"&lt;&gt;*RD*",ledger!D:D,"Chamki")+SUMIFS(ledger!G:G, ledger!B:B, _xlpm.party, ledger!E:E, "&lt;&gt;*RD*", ledger!D:D, "Crinkle")))/1.0936)</f>
        <v>0</v>
      </c>
      <c r="F26" s="76" cm="1">
        <f t="array" ref="F26:F41">(_xlfn.BYROW(_xlfn.ANCHORARRAY(B26),_xlfn.LAMBDA(_xlpm.party,SUMIFS(ledger!G:G,ledger!B:B,_xlpm.party,ledger!E:E,"&lt;&gt;*RD*",ledger!D:D,"Silky")))/1.0936)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6">G26+H26</f>
        <v>0</v>
      </c>
      <c r="J26" s="23">
        <f>(SUMIF(Table14[Party],B26,Table14[Credit]))</f>
        <v>0</v>
      </c>
      <c r="K26" s="42">
        <f>I26-J26</f>
        <v>0</v>
      </c>
      <c r="L26" s="22">
        <v>10</v>
      </c>
      <c r="M26" s="22">
        <v>12</v>
      </c>
    </row>
    <row r="27" spans="1:26" x14ac:dyDescent="0.3">
      <c r="B27" s="25" t="str">
        <v>Ejaz Sahab</v>
      </c>
      <c r="C27" s="23">
        <v>0</v>
      </c>
      <c r="D27" s="23">
        <v>0</v>
      </c>
      <c r="E27" s="69">
        <v>0</v>
      </c>
      <c r="F27" s="76">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6"/>
        <v>0</v>
      </c>
      <c r="J27" s="23">
        <f>(SUMIF(Table14[Party],B27,Table14[Credit]))</f>
        <v>0</v>
      </c>
      <c r="K27" s="42">
        <f>I27-J27</f>
        <v>0</v>
      </c>
      <c r="L27" s="22">
        <v>10</v>
      </c>
      <c r="M27" s="22">
        <v>12</v>
      </c>
    </row>
    <row r="28" spans="1:26" x14ac:dyDescent="0.3">
      <c r="B28" s="25" t="str">
        <v>Arshad</v>
      </c>
      <c r="C28" s="23">
        <v>0</v>
      </c>
      <c r="D28" s="23">
        <v>0</v>
      </c>
      <c r="E28" s="69">
        <v>0</v>
      </c>
      <c r="F28" s="76">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6"/>
        <v>0</v>
      </c>
      <c r="J28" s="23">
        <f>(SUMIF(Table14[Party],B28,Table14[Credit]))</f>
        <v>0</v>
      </c>
      <c r="K28" s="42">
        <f>I28-J28</f>
        <v>0</v>
      </c>
      <c r="L28" s="22">
        <v>10</v>
      </c>
      <c r="M28" s="22">
        <v>12</v>
      </c>
    </row>
    <row r="29" spans="1:26" x14ac:dyDescent="0.3">
      <c r="B29" s="25" t="str">
        <v>Shehzad Kamoki</v>
      </c>
      <c r="C29" s="23">
        <v>0</v>
      </c>
      <c r="D29" s="23">
        <v>0</v>
      </c>
      <c r="E29" s="69">
        <v>0</v>
      </c>
      <c r="F29" s="76">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6"/>
        <v>0</v>
      </c>
      <c r="J29" s="23">
        <f>(SUMIF(Table14[Party],B29,Table14[Credit]))</f>
        <v>0</v>
      </c>
      <c r="K29" s="42">
        <f t="shared" ref="K29:K32" si="7">I29-J29</f>
        <v>0</v>
      </c>
      <c r="L29" s="22">
        <v>10.5</v>
      </c>
      <c r="M29" s="22">
        <v>13</v>
      </c>
    </row>
    <row r="30" spans="1:26" x14ac:dyDescent="0.3">
      <c r="B30" s="25" t="str">
        <v>Sufi Nawaz Sahab</v>
      </c>
      <c r="C30" s="23">
        <v>0</v>
      </c>
      <c r="D30" s="23">
        <v>0</v>
      </c>
      <c r="E30" s="69">
        <v>0</v>
      </c>
      <c r="F30" s="76">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6"/>
        <v>0</v>
      </c>
      <c r="J30" s="23">
        <f>(SUMIF(Table14[Party],B30,Table14[Credit]))</f>
        <v>0</v>
      </c>
      <c r="K30" s="42">
        <f t="shared" si="7"/>
        <v>0</v>
      </c>
      <c r="L30" s="22">
        <v>10</v>
      </c>
      <c r="M30" s="22">
        <v>12</v>
      </c>
    </row>
    <row r="31" spans="1:26" x14ac:dyDescent="0.3">
      <c r="B31" s="25" t="str">
        <v>Sajad Khan</v>
      </c>
      <c r="C31" s="23">
        <v>0</v>
      </c>
      <c r="D31" s="23">
        <v>0</v>
      </c>
      <c r="E31" s="69">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6"/>
        <v>0</v>
      </c>
      <c r="J31" s="23">
        <f>(SUMIF(Table14[Party],B31,Table14[Credit]))</f>
        <v>0</v>
      </c>
      <c r="K31" s="42">
        <f t="shared" si="7"/>
        <v>0</v>
      </c>
      <c r="L31" s="22">
        <v>10</v>
      </c>
      <c r="M31" s="22">
        <v>12</v>
      </c>
    </row>
    <row r="32" spans="1:26" x14ac:dyDescent="0.3">
      <c r="B32" s="25" t="str">
        <v>Raaz Fabrics</v>
      </c>
      <c r="C32" s="23">
        <v>0</v>
      </c>
      <c r="D32" s="23">
        <v>0</v>
      </c>
      <c r="E32" s="69">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6"/>
        <v>0</v>
      </c>
      <c r="J32" s="23">
        <f>(SUMIF(Table14[Party],B32,Table14[Credit]))</f>
        <v>0</v>
      </c>
      <c r="K32" s="42">
        <f t="shared" si="7"/>
        <v>0</v>
      </c>
      <c r="L32" s="22">
        <v>10</v>
      </c>
      <c r="M32" s="22">
        <v>12</v>
      </c>
    </row>
    <row r="33" spans="2:13" x14ac:dyDescent="0.3">
      <c r="B33" s="25" t="str">
        <v>Azam</v>
      </c>
      <c r="C33" s="23">
        <v>0</v>
      </c>
      <c r="D33" s="23">
        <v>0</v>
      </c>
      <c r="E33" s="69">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6"/>
        <v>0</v>
      </c>
      <c r="J33" s="23">
        <f>(SUMIF(Table14[Party],B33,Table14[Credit]))</f>
        <v>0</v>
      </c>
      <c r="K33" s="42">
        <f t="shared" ref="K33:K46" si="8">I33-J33</f>
        <v>0</v>
      </c>
      <c r="L33" s="22">
        <v>10</v>
      </c>
      <c r="M33" s="22">
        <v>12</v>
      </c>
    </row>
    <row r="34" spans="2:13" x14ac:dyDescent="0.3">
      <c r="B34" s="25" t="str">
        <v>Ubaidullah</v>
      </c>
      <c r="C34" s="23">
        <v>0</v>
      </c>
      <c r="D34" s="23">
        <v>0</v>
      </c>
      <c r="E34" s="69">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6"/>
        <v>0</v>
      </c>
      <c r="J34" s="23">
        <f>SUMIF(Table14[Party], B34, Table14[Credit])</f>
        <v>0</v>
      </c>
      <c r="K34" s="42">
        <f t="shared" si="8"/>
        <v>0</v>
      </c>
      <c r="L34" s="22">
        <v>10</v>
      </c>
      <c r="M34" s="22">
        <v>12</v>
      </c>
    </row>
    <row r="35" spans="2:13" x14ac:dyDescent="0.3">
      <c r="B35" s="25" t="str">
        <v>Ashraf Zia</v>
      </c>
      <c r="C35" s="23">
        <v>0</v>
      </c>
      <c r="D35" s="23">
        <v>0</v>
      </c>
      <c r="E35" s="69">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9">G35+H35</f>
        <v>0</v>
      </c>
      <c r="J35" s="23">
        <f>SUMIF(Table14[Party], B35, Table14[Credit])</f>
        <v>0</v>
      </c>
      <c r="K35" s="42">
        <f t="shared" si="8"/>
        <v>0</v>
      </c>
      <c r="L35" s="22">
        <v>12</v>
      </c>
      <c r="M35" s="22">
        <v>12</v>
      </c>
    </row>
    <row r="36" spans="2:13" x14ac:dyDescent="0.3">
      <c r="B36" s="25" t="str">
        <v>Hafiz Qureshi</v>
      </c>
      <c r="C36" s="23">
        <v>0</v>
      </c>
      <c r="D36" s="23">
        <v>0</v>
      </c>
      <c r="E36" s="69">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9"/>
        <v>0</v>
      </c>
      <c r="J36" s="23">
        <f>SUMIF(Table14[Party], B36, Table14[Credit])</f>
        <v>0</v>
      </c>
      <c r="K36" s="42">
        <f t="shared" si="8"/>
        <v>0</v>
      </c>
      <c r="L36" s="22">
        <v>10</v>
      </c>
      <c r="M36" s="22">
        <v>12</v>
      </c>
    </row>
    <row r="37" spans="2:13" x14ac:dyDescent="0.3">
      <c r="B37" s="25" t="str">
        <v>Badshah Fabrics</v>
      </c>
      <c r="C37" s="23">
        <v>0</v>
      </c>
      <c r="D37" s="23">
        <v>0</v>
      </c>
      <c r="E37" s="69">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9"/>
        <v>0</v>
      </c>
      <c r="J37" s="23">
        <f>SUMIF(Table14[Party], B37, Table14[Credit])</f>
        <v>0</v>
      </c>
      <c r="K37" s="42">
        <f t="shared" si="8"/>
        <v>0</v>
      </c>
      <c r="L37" s="22">
        <v>10</v>
      </c>
      <c r="M37" s="22">
        <v>12</v>
      </c>
    </row>
    <row r="38" spans="2:13" x14ac:dyDescent="0.3">
      <c r="B38" s="25" t="str">
        <v>Reject</v>
      </c>
      <c r="C38" s="23">
        <v>0</v>
      </c>
      <c r="D38" s="23">
        <v>0</v>
      </c>
      <c r="E38" s="69">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0">G38+H38</f>
        <v>0</v>
      </c>
      <c r="J38" s="23">
        <f>SUMIF(Table14[Party], B38, Table14[Credit])</f>
        <v>0</v>
      </c>
      <c r="K38" s="42">
        <f t="shared" si="8"/>
        <v>0</v>
      </c>
      <c r="L38" s="22">
        <v>10</v>
      </c>
      <c r="M38" s="22">
        <v>12</v>
      </c>
    </row>
    <row r="39" spans="2:13" x14ac:dyDescent="0.3">
      <c r="B39" t="str">
        <v>Amjad 7up</v>
      </c>
      <c r="C39" s="23">
        <v>0</v>
      </c>
      <c r="D39" s="23">
        <v>0</v>
      </c>
      <c r="E39" s="69">
        <v>0</v>
      </c>
      <c r="F39" s="22">
        <v>0</v>
      </c>
      <c r="G39" s="23" cm="1">
        <f t="array" ref="G39">(_xlfn.BYROW(B39,_xlfn.LAMBDA(_xlpm.party,(SUMIFS(ledger!G:G,ledger!B:B,_xlpm.party,ledger!E:E,"&lt;&gt;*RD*",ledger!D:D, "Chamki")+SUMIFS(ledger!G:G, ledger!B:B, _xlpm.party, ledger!E:E, "&lt;&gt;*RD*", ledger!D:D, "Crinkle"))/1.0936))*L39)</f>
        <v>0</v>
      </c>
      <c r="H39" s="23" cm="1">
        <f t="array" ref="H39">(_xlfn.BYROW(B39,_xlfn.LAMBDA(_xlpm.party,SUMIFS(ledger!G:G,ledger!B:B,_xlpm.party,ledger!E:E,"&lt;&gt;*RD*",ledger!D:D, "Silky")/1.0936))* M39)</f>
        <v>0</v>
      </c>
      <c r="I39" s="44">
        <f t="shared" si="10"/>
        <v>0</v>
      </c>
      <c r="J39" s="23">
        <f>SUMIF(Table14[Party], B39, Table14[Credit])</f>
        <v>0</v>
      </c>
      <c r="K39" s="42">
        <f t="shared" si="8"/>
        <v>0</v>
      </c>
      <c r="L39" s="22">
        <v>10</v>
      </c>
      <c r="M39" s="22">
        <v>12</v>
      </c>
    </row>
    <row r="40" spans="2:13" x14ac:dyDescent="0.3">
      <c r="B40" t="str">
        <v>Hazrat Khan</v>
      </c>
      <c r="C40" s="23">
        <v>0</v>
      </c>
      <c r="D40" s="23">
        <v>0</v>
      </c>
      <c r="E40" s="69">
        <v>0</v>
      </c>
      <c r="F40" s="22">
        <v>0</v>
      </c>
      <c r="G40" s="23" cm="1">
        <f t="array" ref="G40">(_xlfn.BYROW(B40,_xlfn.LAMBDA(_xlpm.party,(SUMIFS(ledger!G:G,ledger!B:B,_xlpm.party,ledger!E:E,"&lt;&gt;*RD*",ledger!D:D, "Chamki")+SUMIFS(ledger!G:G, ledger!B:B, _xlpm.party, ledger!E:E, "&lt;&gt;*RD*", ledger!D:D, "Crinkle"))/1.0936))*L40)</f>
        <v>0</v>
      </c>
      <c r="H40" s="23" cm="1">
        <f t="array" ref="H40">(_xlfn.BYROW(B40,_xlfn.LAMBDA(_xlpm.party,SUMIFS(ledger!G:G,ledger!B:B,_xlpm.party,ledger!E:E,"&lt;&gt;*RD*",ledger!D:D, "Silky")/1.0936))* M40)</f>
        <v>0</v>
      </c>
      <c r="I40" s="44">
        <f t="shared" si="10"/>
        <v>0</v>
      </c>
      <c r="J40" s="23">
        <f>SUMIF(Table14[Party], B40, Table14[Credit])</f>
        <v>0</v>
      </c>
      <c r="K40" s="42">
        <f t="shared" si="8"/>
        <v>0</v>
      </c>
      <c r="L40" s="22">
        <v>10</v>
      </c>
      <c r="M40" s="22">
        <v>12</v>
      </c>
    </row>
    <row r="41" spans="2:13" x14ac:dyDescent="0.3">
      <c r="B41" t="str">
        <v>Haseeb Shamsi</v>
      </c>
      <c r="C41" s="23">
        <v>0</v>
      </c>
      <c r="D41" s="23">
        <v>0</v>
      </c>
      <c r="E41" s="69">
        <v>0</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0"/>
        <v>0</v>
      </c>
      <c r="J41" s="23">
        <f>SUMIF(Table14[Party], B58, Table14[Credit])</f>
        <v>0</v>
      </c>
      <c r="K41" s="42">
        <f t="shared" si="8"/>
        <v>0</v>
      </c>
      <c r="L41" s="22">
        <v>10</v>
      </c>
      <c r="M41" s="22">
        <v>12</v>
      </c>
    </row>
    <row r="42" spans="2:13" x14ac:dyDescent="0.3">
      <c r="C42" s="23"/>
      <c r="D42" s="23"/>
      <c r="E42" s="69"/>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0"/>
        <v>0</v>
      </c>
      <c r="J42" s="23">
        <f>SUMIF(Table14[Party], B42, Table14[Credit])</f>
        <v>0</v>
      </c>
      <c r="K42" s="42">
        <f t="shared" si="8"/>
        <v>0</v>
      </c>
      <c r="L42" s="22">
        <v>10</v>
      </c>
      <c r="M42" s="22">
        <v>12</v>
      </c>
    </row>
    <row r="43" spans="2:13" x14ac:dyDescent="0.3">
      <c r="C43" s="23"/>
      <c r="D43" s="23"/>
      <c r="E43" s="69"/>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0"/>
        <v>0</v>
      </c>
      <c r="J43" s="23">
        <f>SUMIF(Table14[Party], B43, Table14[Credit])</f>
        <v>0</v>
      </c>
      <c r="K43" s="42">
        <f t="shared" si="8"/>
        <v>0</v>
      </c>
      <c r="L43" s="22">
        <v>10</v>
      </c>
      <c r="M43" s="22">
        <v>12</v>
      </c>
    </row>
    <row r="44" spans="2:13" x14ac:dyDescent="0.3">
      <c r="C44" s="23"/>
      <c r="D44" s="23"/>
      <c r="E44" s="69"/>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0"/>
        <v>0</v>
      </c>
      <c r="J44" s="23">
        <f>SUMIF(Table14[Party], B44, Table14[Credit])</f>
        <v>0</v>
      </c>
      <c r="K44" s="42">
        <f t="shared" si="8"/>
        <v>0</v>
      </c>
      <c r="L44" s="22">
        <v>10</v>
      </c>
      <c r="M44" s="22">
        <v>12</v>
      </c>
    </row>
    <row r="45" spans="2:13" x14ac:dyDescent="0.3">
      <c r="C45" s="23"/>
      <c r="D45" s="23"/>
      <c r="E45" s="69"/>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0"/>
        <v>0</v>
      </c>
      <c r="J45" s="23">
        <f>SUMIF(Table14[Party], B45, Table14[Credit])</f>
        <v>0</v>
      </c>
      <c r="K45" s="42">
        <f t="shared" si="8"/>
        <v>0</v>
      </c>
      <c r="L45" s="22">
        <v>10</v>
      </c>
      <c r="M45" s="22">
        <v>12</v>
      </c>
    </row>
    <row r="46" spans="2:13" x14ac:dyDescent="0.3">
      <c r="C46" s="23"/>
      <c r="D46" s="23"/>
      <c r="E46" s="69"/>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0"/>
        <v>0</v>
      </c>
      <c r="J46" s="23">
        <f>SUMIF(Table14[Party], B46, Table14[Credit])</f>
        <v>0</v>
      </c>
      <c r="K46" s="42">
        <f t="shared" si="8"/>
        <v>0</v>
      </c>
      <c r="L46" s="22">
        <v>10</v>
      </c>
      <c r="M46" s="22">
        <v>12</v>
      </c>
    </row>
    <row r="58" spans="2:13" x14ac:dyDescent="0.3">
      <c r="B58" t="s">
        <v>157</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_xlfn.XLOOKUP($B26,[2]Billing!$O$5:$O$29,[2]Billing!$P$5:$P$29)</f>
        <v>1665929</v>
      </c>
      <c r="D61" s="23">
        <f>_xlfn.XLOOKUP($B26,[2]Billing!$O$5:$O$29,[2]Billing!$Q$5:$Q$29)</f>
        <v>1523344.0014630579</v>
      </c>
      <c r="E61" s="23">
        <f>_xlfn.XLOOKUP($B26,[2]Billing!$O$5:$O$29,[2]Billing!$R$5:$R$29)</f>
        <v>1493155.6327724946</v>
      </c>
      <c r="F61" s="23">
        <f>_xlfn.XLOOKUP($B26,[2]Billing!$O$5:$O$29,[2]Billing!$S$5:$S$29)</f>
        <v>30188.368690563279</v>
      </c>
      <c r="G61" s="23">
        <f>_xlfn.XLOOKUP($B26,[2]Billing!$O$5:$O$29,[2]Billing!$T$5:$T$29)</f>
        <v>14931556.327724949</v>
      </c>
      <c r="H61" s="23">
        <f>_xlfn.XLOOKUP($B26,[2]Billing!$O$5:$O$29,[2]Billing!$U$5:$U$29)</f>
        <v>362260.42428675934</v>
      </c>
      <c r="I61" s="44">
        <f t="shared" ref="I61:I76" si="11">G61+H61</f>
        <v>15293816.752011707</v>
      </c>
      <c r="J61" s="23">
        <f>_xlfn.XLOOKUP($B26,[2]Billing!$O$5:$O$29,[2]Billing!$W$5:$W$29)</f>
        <v>12854653</v>
      </c>
      <c r="K61" s="42">
        <f>I61-J61</f>
        <v>2439163.7520117071</v>
      </c>
      <c r="L61" s="22">
        <v>10</v>
      </c>
      <c r="M61" s="22">
        <v>12</v>
      </c>
    </row>
    <row r="62" spans="2:13" x14ac:dyDescent="0.3">
      <c r="B62" s="25" t="str">
        <v>Ejaz Sahab</v>
      </c>
      <c r="C62" s="23">
        <f>_xlfn.XLOOKUP($B27,[2]Billing!$O$5:$O$29,[2]Billing!$P$5:$P$29)</f>
        <v>159072</v>
      </c>
      <c r="D62" s="23">
        <f>_xlfn.XLOOKUP($B27,[2]Billing!$O$5:$O$29,[2]Billing!$Q$5:$Q$29)</f>
        <v>145457.20555961962</v>
      </c>
      <c r="E62" s="23">
        <f>_xlfn.XLOOKUP($B27,[2]Billing!$O$5:$O$29,[2]Billing!$R$5:$R$29)</f>
        <v>130559.6196049744</v>
      </c>
      <c r="F62" s="23">
        <f>_xlfn.XLOOKUP($B27,[2]Billing!$O$5:$O$29,[2]Billing!$S$5:$S$29)</f>
        <v>14897.58595464521</v>
      </c>
      <c r="G62" s="23">
        <f>_xlfn.XLOOKUP($B27,[2]Billing!$O$5:$O$29,[2]Billing!$T$5:$T$29)</f>
        <v>1305596.196049744</v>
      </c>
      <c r="H62" s="23">
        <f>_xlfn.XLOOKUP($B27,[2]Billing!$O$5:$O$29,[2]Billing!$U$5:$U$29)</f>
        <v>178771.03145574252</v>
      </c>
      <c r="I62" s="44">
        <f t="shared" si="11"/>
        <v>1484367.2275054865</v>
      </c>
      <c r="J62" s="23">
        <f>_xlfn.XLOOKUP($B27,[2]Billing!$O$5:$O$29,[2]Billing!$W$5:$W$29)</f>
        <v>859904</v>
      </c>
      <c r="K62" s="42">
        <f>I62-J62</f>
        <v>624463.22750548646</v>
      </c>
      <c r="L62" s="22">
        <v>10</v>
      </c>
      <c r="M62" s="22">
        <v>12</v>
      </c>
    </row>
    <row r="63" spans="2:13" x14ac:dyDescent="0.3">
      <c r="B63" s="25" t="str">
        <v>Arshad</v>
      </c>
      <c r="C63" s="23">
        <f>_xlfn.XLOOKUP($B28,[2]Billing!$O$5:$O$29,[2]Billing!$P$5:$P$29)</f>
        <v>259748</v>
      </c>
      <c r="D63" s="23">
        <f>_xlfn.XLOOKUP($B28,[2]Billing!$O$5:$O$29,[2]Billing!$Q$5:$Q$29)</f>
        <v>237516.45940014633</v>
      </c>
      <c r="E63" s="23">
        <f>_xlfn.XLOOKUP($B28,[2]Billing!$O$5:$O$29,[2]Billing!$R$5:$R$29)</f>
        <v>222722.20190197515</v>
      </c>
      <c r="F63" s="23">
        <f>_xlfn.XLOOKUP($B28,[2]Billing!$O$5:$O$29,[2]Billing!$S$5:$S$29)</f>
        <v>14794.257498171179</v>
      </c>
      <c r="G63" s="23">
        <f>_xlfn.XLOOKUP($B28,[2]Billing!$O$5:$O$29,[2]Billing!$T$5:$T$29)</f>
        <v>2227222.0190197513</v>
      </c>
      <c r="H63" s="23">
        <f>_xlfn.XLOOKUP($B28,[2]Billing!$O$5:$O$29,[2]Billing!$U$5:$U$29)</f>
        <v>177531.08997805414</v>
      </c>
      <c r="I63" s="44">
        <f t="shared" si="11"/>
        <v>2404753.1089978055</v>
      </c>
      <c r="J63" s="23">
        <f>_xlfn.XLOOKUP($B28,[2]Billing!$O$5:$O$29,[2]Billing!$W$5:$W$29)</f>
        <v>2306701</v>
      </c>
      <c r="K63" s="42">
        <f>I63-J63</f>
        <v>98052.10899780551</v>
      </c>
      <c r="L63" s="22">
        <v>10</v>
      </c>
      <c r="M63" s="22">
        <v>12</v>
      </c>
    </row>
    <row r="64" spans="2:13" x14ac:dyDescent="0.3">
      <c r="B64" s="25" t="str">
        <v>Shehzad Kamoki</v>
      </c>
      <c r="C64" s="23">
        <f>_xlfn.XLOOKUP($B29,[2]Billing!$O$5:$O$29,[2]Billing!$P$5:$P$29)</f>
        <v>134607</v>
      </c>
      <c r="D64" s="23">
        <f>_xlfn.XLOOKUP($B29,[2]Billing!$O$5:$O$29,[2]Billing!$Q$5:$Q$29)</f>
        <v>123086.13752743235</v>
      </c>
      <c r="E64" s="23">
        <f>_xlfn.XLOOKUP($B29,[2]Billing!$O$5:$O$29,[2]Billing!$R$5:$R$29)</f>
        <v>123086.13752743235</v>
      </c>
      <c r="F64" s="23">
        <f>_xlfn.XLOOKUP($B29,[2]Billing!$O$5:$O$29,[2]Billing!$S$5:$S$29)</f>
        <v>0</v>
      </c>
      <c r="G64" s="23">
        <f>_xlfn.XLOOKUP($B29,[2]Billing!$O$5:$O$29,[2]Billing!$T$5:$T$29)</f>
        <v>1269270.3440380397</v>
      </c>
      <c r="H64" s="23">
        <f>_xlfn.XLOOKUP($B29,[2]Billing!$O$5:$O$29,[2]Billing!$U$5:$U$29)</f>
        <v>0</v>
      </c>
      <c r="I64" s="44">
        <f t="shared" si="11"/>
        <v>1269270.3440380397</v>
      </c>
      <c r="J64" s="23">
        <f>_xlfn.XLOOKUP($B29,[2]Billing!$O$5:$O$29,[2]Billing!$W$5:$W$29)</f>
        <v>1268740</v>
      </c>
      <c r="K64" s="42">
        <f t="shared" ref="K64:K76" si="12">I64-J64</f>
        <v>530.34403803967871</v>
      </c>
      <c r="L64" s="22">
        <v>10.5</v>
      </c>
      <c r="M64" s="22">
        <v>13</v>
      </c>
    </row>
    <row r="65" spans="2:13" x14ac:dyDescent="0.3">
      <c r="B65" s="25" t="str">
        <v>Sufi Nawaz Sahab</v>
      </c>
      <c r="C65" s="23">
        <f>_xlfn.XLOOKUP($B30,[2]Billing!$O$5:$O$29,[2]Billing!$P$5:$P$29)</f>
        <v>1186725</v>
      </c>
      <c r="D65" s="23">
        <f>_xlfn.XLOOKUP($B30,[2]Billing!$O$5:$O$29,[2]Billing!$Q$5:$Q$29)</f>
        <v>1085154.5354791514</v>
      </c>
      <c r="E65" s="23">
        <f>_xlfn.XLOOKUP($B30,[2]Billing!$O$5:$O$29,[2]Billing!$R$5:$R$29)</f>
        <v>599330.65106071695</v>
      </c>
      <c r="F65" s="23">
        <f>_xlfn.XLOOKUP($B30,[2]Billing!$O$5:$O$29,[2]Billing!$S$5:$S$29)</f>
        <v>485823.88441843458</v>
      </c>
      <c r="G65" s="23">
        <f>_xlfn.XLOOKUP($B30,[2]Billing!$O$5:$O$29,[2]Billing!$T$5:$T$29)</f>
        <v>5408917.8595464528</v>
      </c>
      <c r="H65" s="23">
        <f>_xlfn.XLOOKUP($B30,[2]Billing!$O$5:$O$29,[2]Billing!$U$5:$U$29)</f>
        <v>5829886.6130212145</v>
      </c>
      <c r="I65" s="44">
        <f t="shared" si="11"/>
        <v>11238804.472567666</v>
      </c>
      <c r="J65" s="23">
        <f>_xlfn.XLOOKUP($B30,[2]Billing!$O$5:$O$29,[2]Billing!$W$5:$W$29)</f>
        <v>8629100</v>
      </c>
      <c r="K65" s="42">
        <f t="shared" si="12"/>
        <v>2609704.4725676663</v>
      </c>
      <c r="L65" s="22">
        <v>10</v>
      </c>
      <c r="M65" s="22">
        <v>12</v>
      </c>
    </row>
    <row r="66" spans="2:13" x14ac:dyDescent="0.3">
      <c r="B66" s="25" t="str">
        <v>Sajad Khan</v>
      </c>
      <c r="C66" s="23">
        <f>_xlfn.XLOOKUP($B31,[2]Billing!$O$5:$O$29,[2]Billing!$P$5:$P$29)</f>
        <v>481660</v>
      </c>
      <c r="D66" s="23">
        <f>_xlfn.XLOOKUP($B31,[2]Billing!$O$5:$O$29,[2]Billing!$Q$5:$Q$29)</f>
        <v>440435.25969275786</v>
      </c>
      <c r="E66" s="23">
        <f>_xlfn.XLOOKUP($B31,[2]Billing!$O$5:$O$29,[2]Billing!$R$5:$R$29)</f>
        <v>440435.25969275786</v>
      </c>
      <c r="F66" s="23">
        <f>_xlfn.XLOOKUP($B31,[2]Billing!$O$5:$O$29,[2]Billing!$S$5:$S$29)</f>
        <v>0</v>
      </c>
      <c r="G66" s="23">
        <f>_xlfn.XLOOKUP($B31,[2]Billing!$O$5:$O$29,[2]Billing!$T$5:$T$29)</f>
        <v>4404352.5969275786</v>
      </c>
      <c r="H66" s="23">
        <f>_xlfn.XLOOKUP($B31,[2]Billing!$O$5:$O$29,[2]Billing!$U$5:$U$29)</f>
        <v>0</v>
      </c>
      <c r="I66" s="44">
        <f t="shared" si="11"/>
        <v>4404352.5969275786</v>
      </c>
      <c r="J66" s="23">
        <f>_xlfn.XLOOKUP($B31,[2]Billing!$O$5:$O$29,[2]Billing!$W$5:$W$29)</f>
        <v>3751266</v>
      </c>
      <c r="K66" s="42">
        <f t="shared" si="12"/>
        <v>653086.59692757856</v>
      </c>
      <c r="L66" s="22">
        <v>10</v>
      </c>
      <c r="M66" s="22">
        <v>12</v>
      </c>
    </row>
    <row r="67" spans="2:13" x14ac:dyDescent="0.3">
      <c r="B67" s="25" t="str">
        <v>Raaz Fabrics</v>
      </c>
      <c r="C67" s="23">
        <f>_xlfn.XLOOKUP($B32,[2]Billing!$O$5:$O$29,[2]Billing!$P$5:$P$29)</f>
        <v>75559</v>
      </c>
      <c r="D67" s="23">
        <f>_xlfn.XLOOKUP($B32,[2]Billing!$O$5:$O$29,[2]Billing!$Q$5:$Q$29)</f>
        <v>69091.989758595475</v>
      </c>
      <c r="E67" s="23">
        <f>_xlfn.XLOOKUP($B32,[2]Billing!$O$5:$O$29,[2]Billing!$R$5:$R$29)</f>
        <v>69091.989758595475</v>
      </c>
      <c r="F67" s="23">
        <f>_xlfn.XLOOKUP($B32,[2]Billing!$O$5:$O$29,[2]Billing!$S$5:$S$29)</f>
        <v>0</v>
      </c>
      <c r="G67" s="23">
        <f>_xlfn.XLOOKUP($B32,[2]Billing!$O$5:$O$29,[2]Billing!$T$5:$T$29)</f>
        <v>690919.89758595475</v>
      </c>
      <c r="H67" s="23">
        <f>_xlfn.XLOOKUP($B32,[2]Billing!$O$5:$O$29,[2]Billing!$U$5:$U$29)</f>
        <v>0</v>
      </c>
      <c r="I67" s="44">
        <f t="shared" si="11"/>
        <v>690919.89758595475</v>
      </c>
      <c r="J67" s="23">
        <f>_xlfn.XLOOKUP($B32,[2]Billing!$O$5:$O$29,[2]Billing!$W$5:$W$29)</f>
        <v>600000</v>
      </c>
      <c r="K67" s="42">
        <f t="shared" si="12"/>
        <v>90919.89758595475</v>
      </c>
      <c r="L67" s="22">
        <v>10</v>
      </c>
      <c r="M67" s="22">
        <v>12</v>
      </c>
    </row>
    <row r="68" spans="2:13" x14ac:dyDescent="0.3">
      <c r="B68" s="25" t="str">
        <v>Azam</v>
      </c>
      <c r="C68" s="23">
        <f>_xlfn.XLOOKUP($B33,[2]Billing!$O$5:$O$29,[2]Billing!$P$5:$P$29)</f>
        <v>176954</v>
      </c>
      <c r="D68" s="23">
        <f>_xlfn.XLOOKUP($B33,[2]Billing!$O$5:$O$29,[2]Billing!$Q$5:$Q$29)</f>
        <v>161808.70519385519</v>
      </c>
      <c r="E68" s="23">
        <f>_xlfn.XLOOKUP($B33,[2]Billing!$O$5:$O$29,[2]Billing!$R$5:$R$29)</f>
        <v>161808.70519385519</v>
      </c>
      <c r="F68" s="23">
        <f>_xlfn.XLOOKUP($B33,[2]Billing!$O$5:$O$29,[2]Billing!$S$5:$S$29)</f>
        <v>0</v>
      </c>
      <c r="G68" s="23">
        <f>_xlfn.XLOOKUP($B33,[2]Billing!$O$5:$O$29,[2]Billing!$T$5:$T$29)</f>
        <v>1618087.0519385519</v>
      </c>
      <c r="H68" s="23">
        <f>_xlfn.XLOOKUP($B33,[2]Billing!$O$5:$O$29,[2]Billing!$U$5:$U$29)</f>
        <v>0</v>
      </c>
      <c r="I68" s="44">
        <f t="shared" si="11"/>
        <v>1618087.0519385519</v>
      </c>
      <c r="J68" s="23">
        <f>_xlfn.XLOOKUP($B33,[2]Billing!$O$5:$O$29,[2]Billing!$W$5:$W$29)</f>
        <v>1617620</v>
      </c>
      <c r="K68" s="42">
        <f t="shared" si="12"/>
        <v>467.05193855194375</v>
      </c>
      <c r="L68" s="22">
        <v>10</v>
      </c>
      <c r="M68" s="22">
        <v>12</v>
      </c>
    </row>
    <row r="69" spans="2:13" x14ac:dyDescent="0.3">
      <c r="B69" s="22" t="str">
        <v>Ubaidullah</v>
      </c>
      <c r="C69" s="23">
        <f>_xlfn.XLOOKUP($B34,[2]Billing!$O$5:$O$29,[2]Billing!$P$5:$P$29)</f>
        <v>65752</v>
      </c>
      <c r="D69" s="23">
        <f>_xlfn.XLOOKUP($B34,[2]Billing!$O$5:$O$29,[2]Billing!$Q$5:$Q$29)</f>
        <v>60124.35991221654</v>
      </c>
      <c r="E69" s="23">
        <f>_xlfn.XLOOKUP($B34,[2]Billing!$O$5:$O$29,[2]Billing!$R$5:$R$29)</f>
        <v>45128.931967812736</v>
      </c>
      <c r="F69" s="23">
        <f>_xlfn.XLOOKUP($B34,[2]Billing!$O$5:$O$29,[2]Billing!$S$5:$S$29)</f>
        <v>14995.427944403806</v>
      </c>
      <c r="G69" s="23">
        <f>_xlfn.XLOOKUP($B34,[2]Billing!$O$5:$O$29,[2]Billing!$T$5:$T$29)</f>
        <v>451289.31967812736</v>
      </c>
      <c r="H69" s="23">
        <f>_xlfn.XLOOKUP($B34,[2]Billing!$O$5:$O$29,[2]Billing!$U$5:$U$29)</f>
        <v>179945.13533284568</v>
      </c>
      <c r="I69" s="44">
        <f t="shared" si="11"/>
        <v>631234.45501097303</v>
      </c>
      <c r="J69" s="23">
        <f>_xlfn.XLOOKUP($B34,[2]Billing!$O$5:$O$29,[2]Billing!$W$5:$W$29)</f>
        <v>451150</v>
      </c>
      <c r="K69" s="42">
        <f t="shared" si="12"/>
        <v>180084.45501097303</v>
      </c>
      <c r="L69" s="22">
        <v>10</v>
      </c>
      <c r="M69" s="22">
        <v>12</v>
      </c>
    </row>
    <row r="70" spans="2:13" x14ac:dyDescent="0.3">
      <c r="B70" s="22" t="str">
        <v>Ashraf Zia</v>
      </c>
      <c r="C70" s="23">
        <f>_xlfn.XLOOKUP($B35,[2]Billing!$O$5:$O$29,[2]Billing!$P$5:$P$29)</f>
        <v>23305</v>
      </c>
      <c r="D70" s="23">
        <f>_xlfn.XLOOKUP($B35,[2]Billing!$O$5:$O$29,[2]Billing!$Q$5:$Q$29)</f>
        <v>21310.35113386979</v>
      </c>
      <c r="E70" s="23">
        <f>_xlfn.XLOOKUP($B35,[2]Billing!$O$5:$O$29,[2]Billing!$R$5:$R$29)</f>
        <v>21310.35113386979</v>
      </c>
      <c r="F70" s="23">
        <f>_xlfn.XLOOKUP($B35,[2]Billing!$O$5:$O$29,[2]Billing!$S$5:$S$29)</f>
        <v>0</v>
      </c>
      <c r="G70" s="23">
        <f>_xlfn.XLOOKUP($B35,[2]Billing!$O$5:$O$29,[2]Billing!$T$5:$T$29)</f>
        <v>255724.21360643749</v>
      </c>
      <c r="H70" s="23">
        <f>_xlfn.XLOOKUP($B35,[2]Billing!$O$5:$O$29,[2]Billing!$U$5:$U$29)</f>
        <v>0</v>
      </c>
      <c r="I70" s="44">
        <f t="shared" si="11"/>
        <v>255724.21360643749</v>
      </c>
      <c r="J70" s="23">
        <f>_xlfn.XLOOKUP($B35,[2]Billing!$O$5:$O$29,[2]Billing!$W$5:$W$29)</f>
        <v>0</v>
      </c>
      <c r="K70" s="42">
        <f t="shared" si="12"/>
        <v>255724.21360643749</v>
      </c>
      <c r="L70" s="22">
        <v>12</v>
      </c>
      <c r="M70" s="22">
        <v>12</v>
      </c>
    </row>
    <row r="71" spans="2:13" x14ac:dyDescent="0.3">
      <c r="B71" s="22" t="str">
        <v>Hafiz Qureshi</v>
      </c>
      <c r="C71" s="23">
        <f>_xlfn.XLOOKUP($B36,[2]Billing!$O$5:$O$29,[2]Billing!$P$5:$P$29)</f>
        <v>48871</v>
      </c>
      <c r="D71" s="23">
        <f>_xlfn.XLOOKUP($B36,[2]Billing!$O$5:$O$29,[2]Billing!$Q$5:$Q$29)</f>
        <v>44688.185808339433</v>
      </c>
      <c r="E71" s="23">
        <f>_xlfn.XLOOKUP($B36,[2]Billing!$O$5:$O$29,[2]Billing!$R$5:$R$29)</f>
        <v>44688.185808339433</v>
      </c>
      <c r="F71" s="23">
        <f>_xlfn.XLOOKUP($B36,[2]Billing!$O$5:$O$29,[2]Billing!$S$5:$S$29)</f>
        <v>0</v>
      </c>
      <c r="G71" s="23">
        <f>_xlfn.XLOOKUP($B36,[2]Billing!$O$5:$O$29,[2]Billing!$T$5:$T$29)</f>
        <v>446881.85808339436</v>
      </c>
      <c r="H71" s="23">
        <f>_xlfn.XLOOKUP($B36,[2]Billing!$O$5:$O$29,[2]Billing!$U$5:$U$29)</f>
        <v>0</v>
      </c>
      <c r="I71" s="44">
        <f t="shared" si="11"/>
        <v>446881.85808339436</v>
      </c>
      <c r="J71" s="23">
        <f>_xlfn.XLOOKUP($B36,[2]Billing!$O$5:$O$29,[2]Billing!$W$5:$W$29)</f>
        <v>400000</v>
      </c>
      <c r="K71" s="42">
        <f t="shared" si="12"/>
        <v>46881.858083394356</v>
      </c>
      <c r="L71" s="22">
        <v>10</v>
      </c>
      <c r="M71" s="22">
        <v>12</v>
      </c>
    </row>
    <row r="72" spans="2:13" x14ac:dyDescent="0.3">
      <c r="B72" s="22" t="str">
        <v>Badshah Fabrics</v>
      </c>
      <c r="C72" s="23">
        <f>_xlfn.XLOOKUP($B37,[2]Billing!$O$5:$O$29,[2]Billing!$P$5:$P$29)</f>
        <v>276597</v>
      </c>
      <c r="D72" s="23">
        <f>_xlfn.XLOOKUP($B37,[2]Billing!$O$5:$O$29,[2]Billing!$Q$5:$Q$29)</f>
        <v>252923.37234820778</v>
      </c>
      <c r="E72" s="23">
        <f>_xlfn.XLOOKUP($B37,[2]Billing!$O$5:$O$29,[2]Billing!$R$5:$R$29)</f>
        <v>189768.65398683251</v>
      </c>
      <c r="F72" s="23">
        <f>_xlfn.XLOOKUP($B37,[2]Billing!$O$5:$O$29,[2]Billing!$S$5:$S$29)</f>
        <v>63154.718361375279</v>
      </c>
      <c r="G72" s="23">
        <f>_xlfn.XLOOKUP($B37,[2]Billing!$O$5:$O$29,[2]Billing!$T$5:$T$29)</f>
        <v>1897686.539868325</v>
      </c>
      <c r="H72" s="23">
        <f>_xlfn.XLOOKUP($B37,[2]Billing!$O$5:$O$29,[2]Billing!$U$5:$U$29)</f>
        <v>757856.62033650337</v>
      </c>
      <c r="I72" s="44">
        <f t="shared" si="11"/>
        <v>2655543.1602048283</v>
      </c>
      <c r="J72" s="23">
        <f>_xlfn.XLOOKUP($B37,[2]Billing!$O$5:$O$29,[2]Billing!$W$5:$W$29)</f>
        <v>1370000</v>
      </c>
      <c r="K72" s="42">
        <f t="shared" si="12"/>
        <v>1285543.1602048283</v>
      </c>
      <c r="L72" s="22">
        <v>10</v>
      </c>
      <c r="M72" s="22">
        <v>12</v>
      </c>
    </row>
    <row r="73" spans="2:13" x14ac:dyDescent="0.3">
      <c r="B73" s="22" t="str">
        <v>Reject</v>
      </c>
      <c r="C73" s="23">
        <f>_xlfn.XLOOKUP($B38,[2]Billing!$O$5:$O$29,[2]Billing!$P$5:$P$29)</f>
        <v>0</v>
      </c>
      <c r="D73" s="23">
        <f>_xlfn.XLOOKUP($B38,[2]Billing!$O$5:$O$29,[2]Billing!$Q$5:$Q$29)</f>
        <v>0</v>
      </c>
      <c r="E73" s="23">
        <f>_xlfn.XLOOKUP($B38,[2]Billing!$O$5:$O$29,[2]Billing!$R$5:$R$29)</f>
        <v>0</v>
      </c>
      <c r="F73" s="23">
        <f>_xlfn.XLOOKUP($B38,[2]Billing!$O$5:$O$29,[2]Billing!$S$5:$S$29)</f>
        <v>0</v>
      </c>
      <c r="G73" s="23">
        <f>_xlfn.XLOOKUP($B38,[2]Billing!$O$5:$O$29,[2]Billing!$T$5:$T$29)</f>
        <v>0</v>
      </c>
      <c r="H73" s="23">
        <f>_xlfn.XLOOKUP($B38,[2]Billing!$O$5:$O$29,[2]Billing!$U$5:$U$29)</f>
        <v>0</v>
      </c>
      <c r="I73" s="44">
        <f t="shared" si="11"/>
        <v>0</v>
      </c>
      <c r="J73" s="23">
        <f>_xlfn.XLOOKUP($B38,[2]Billing!$O$5:$O$29,[2]Billing!$W$5:$W$29)</f>
        <v>0</v>
      </c>
      <c r="K73" s="42">
        <f t="shared" si="12"/>
        <v>0</v>
      </c>
      <c r="L73" s="22">
        <v>10</v>
      </c>
      <c r="M73" s="22">
        <v>12</v>
      </c>
    </row>
    <row r="74" spans="2:13" x14ac:dyDescent="0.3">
      <c r="B74" s="22" t="str">
        <v>Amjad 7up</v>
      </c>
      <c r="C74" s="23">
        <f>_xlfn.XLOOKUP($B39,[2]Billing!$O$5:$O$29,[2]Billing!$P$5:$P$29)</f>
        <v>52914</v>
      </c>
      <c r="D74" s="23">
        <f>_xlfn.XLOOKUP($B39,[2]Billing!$O$5:$O$29,[2]Billing!$Q$5:$Q$29)</f>
        <v>48385.149963423559</v>
      </c>
      <c r="E74" s="23">
        <f>_xlfn.XLOOKUP($B39,[2]Billing!$O$5:$O$29,[2]Billing!$R$5:$R$29)</f>
        <v>48385.149963423559</v>
      </c>
      <c r="F74" s="23">
        <f>_xlfn.XLOOKUP($B39,[2]Billing!$O$5:$O$29,[2]Billing!$S$5:$S$29)</f>
        <v>0</v>
      </c>
      <c r="G74" s="23">
        <f>_xlfn.XLOOKUP($B39,[2]Billing!$O$5:$O$29,[2]Billing!$T$5:$T$29)</f>
        <v>483851.49963423557</v>
      </c>
      <c r="H74" s="23">
        <f>_xlfn.XLOOKUP($B39,[2]Billing!$O$5:$O$29,[2]Billing!$U$5:$U$29)</f>
        <v>0</v>
      </c>
      <c r="I74" s="44">
        <f t="shared" si="11"/>
        <v>483851.49963423557</v>
      </c>
      <c r="J74" s="23">
        <f>_xlfn.XLOOKUP($B39,[2]Billing!$O$5:$O$29,[2]Billing!$W$5:$W$29)</f>
        <v>0</v>
      </c>
      <c r="K74" s="42">
        <f t="shared" si="12"/>
        <v>483851.49963423557</v>
      </c>
      <c r="L74" s="22">
        <v>10</v>
      </c>
      <c r="M74" s="22">
        <v>12</v>
      </c>
    </row>
    <row r="75" spans="2:13" x14ac:dyDescent="0.3">
      <c r="B75" s="22" t="str">
        <v>Hazrat Khan</v>
      </c>
      <c r="C75" s="23">
        <f>_xlfn.XLOOKUP($B40,[2]Billing!$O$5:$O$29,[2]Billing!$P$5:$P$29)</f>
        <v>9750</v>
      </c>
      <c r="D75" s="23">
        <f>_xlfn.XLOOKUP($B40,[2]Billing!$O$5:$O$29,[2]Billing!$Q$5:$Q$29)</f>
        <v>8915.5084125822978</v>
      </c>
      <c r="E75" s="23">
        <f>_xlfn.XLOOKUP($B40,[2]Billing!$O$5:$O$29,[2]Billing!$R$5:$R$29)</f>
        <v>8915.5084125822978</v>
      </c>
      <c r="F75" s="23">
        <f>_xlfn.XLOOKUP($B40,[2]Billing!$O$5:$O$29,[2]Billing!$S$5:$S$29)</f>
        <v>0</v>
      </c>
      <c r="G75" s="23">
        <f>_xlfn.XLOOKUP($B40,[2]Billing!$O$5:$O$29,[2]Billing!$T$5:$T$29)</f>
        <v>89155.084125822978</v>
      </c>
      <c r="H75" s="23">
        <f>_xlfn.XLOOKUP($B40,[2]Billing!$O$5:$O$29,[2]Billing!$U$5:$U$29)</f>
        <v>0</v>
      </c>
      <c r="I75" s="44">
        <f t="shared" si="11"/>
        <v>89155.084125822978</v>
      </c>
      <c r="J75" s="23">
        <f>_xlfn.XLOOKUP($B40,[2]Billing!$O$5:$O$29,[2]Billing!$W$5:$W$29)</f>
        <v>0</v>
      </c>
      <c r="K75" s="42">
        <f t="shared" si="12"/>
        <v>89155.084125822978</v>
      </c>
      <c r="L75" s="22">
        <v>10</v>
      </c>
      <c r="M75" s="22">
        <v>12</v>
      </c>
    </row>
    <row r="76" spans="2:13" x14ac:dyDescent="0.3">
      <c r="B76" s="22" t="str">
        <v>Haseeb Shamsi</v>
      </c>
      <c r="C76" s="23">
        <f>_xlfn.XLOOKUP($B41,[2]Billing!$O$5:$O$29,[2]Billing!$P$5:$P$29)</f>
        <v>28026</v>
      </c>
      <c r="D76" s="23">
        <f>_xlfn.XLOOKUP($B41,[2]Billing!$O$5:$O$29,[2]Billing!$Q$5:$Q$29)</f>
        <v>25627.286027798102</v>
      </c>
      <c r="E76" s="23">
        <f>_xlfn.XLOOKUP($B41,[2]Billing!$O$5:$O$29,[2]Billing!$R$5:$R$29)</f>
        <v>25627.286027798102</v>
      </c>
      <c r="F76" s="23">
        <f>_xlfn.XLOOKUP($B41,[2]Billing!$O$5:$O$29,[2]Billing!$S$5:$S$29)</f>
        <v>0</v>
      </c>
      <c r="G76" s="23">
        <f>_xlfn.XLOOKUP($B41,[2]Billing!$O$5:$O$29,[2]Billing!$T$5:$T$29)</f>
        <v>256272.86027798103</v>
      </c>
      <c r="H76" s="23">
        <f>_xlfn.XLOOKUP($B41,[2]Billing!$O$5:$O$29,[2]Billing!$U$5:$U$29)</f>
        <v>0</v>
      </c>
      <c r="I76" s="44">
        <f t="shared" si="11"/>
        <v>256272.86027798103</v>
      </c>
      <c r="J76" s="23">
        <f>_xlfn.XLOOKUP($B41,[2]Billing!$O$5:$O$29,[2]Billing!$W$5:$W$29)</f>
        <v>0</v>
      </c>
      <c r="K76" s="42">
        <f t="shared" si="12"/>
        <v>256272.86027798103</v>
      </c>
      <c r="L76" s="22">
        <v>10</v>
      </c>
      <c r="M76"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8"/>
      <c r="D4" s="68"/>
      <c r="I4" t="s">
        <v>34</v>
      </c>
      <c r="J4" t="str" cm="1">
        <f t="array" ref="J4:J19">_xlfn.UNIQUE(Table1[Party Name])</f>
        <v>BSC</v>
      </c>
    </row>
    <row r="5" spans="2:10" x14ac:dyDescent="0.3">
      <c r="J5" t="str">
        <v>Ejaz Sahab</v>
      </c>
    </row>
    <row r="6" spans="2:10" ht="21" x14ac:dyDescent="0.4">
      <c r="B6" s="70" t="s">
        <v>25</v>
      </c>
      <c r="J6" t="str">
        <v>Arshad</v>
      </c>
    </row>
    <row r="7" spans="2:10" ht="15.6" x14ac:dyDescent="0.3">
      <c r="B7" s="68" t="s">
        <v>36</v>
      </c>
      <c r="C7" s="68" t="s">
        <v>4</v>
      </c>
      <c r="D7" s="68" t="s">
        <v>153</v>
      </c>
      <c r="E7" s="68" t="s">
        <v>154</v>
      </c>
      <c r="J7" t="str">
        <v>Shehzad Kamoki</v>
      </c>
    </row>
    <row r="8" spans="2:10" ht="18" x14ac:dyDescent="0.35">
      <c r="B8" s="61" t="s">
        <v>37</v>
      </c>
      <c r="C8" s="72"/>
      <c r="D8" s="74" cm="1">
        <f t="array" ref="D8">_xlfn.XLOOKUP($B$6,_xlfn.ANCHORARRAY( Billing!O5), INDEX(Billing!P5:P25, _xlfn.SEQUENCE(ROWS(_xlfn.ANCHORARRAY(Billing!$O$5)))), "Not Found")</f>
        <v>481660</v>
      </c>
      <c r="E8" s="72"/>
      <c r="J8" t="str">
        <v>Sufi Nawaz Sahab</v>
      </c>
    </row>
    <row r="9" spans="2:10" ht="18" x14ac:dyDescent="0.35">
      <c r="B9" s="61"/>
      <c r="C9" s="72"/>
      <c r="D9" s="72"/>
      <c r="E9" s="72"/>
      <c r="J9" t="str">
        <v>Sajad Khan</v>
      </c>
    </row>
    <row r="10" spans="2:10" ht="18" x14ac:dyDescent="0.35">
      <c r="B10" s="61" t="s">
        <v>38</v>
      </c>
      <c r="C10" s="72"/>
      <c r="D10" s="74" cm="1">
        <f t="array" ref="D10">_xlfn.XLOOKUP($B$6,_xlfn.ANCHORARRAY( Billing!$O$5), INDEX(Billing!Q5:Q21, _xlfn.SEQUENCE(ROWS(_xlfn.ANCHORARRAY(Billing!$O$5)))), "Not Found")</f>
        <v>440435.25969275786</v>
      </c>
      <c r="E10" s="72"/>
      <c r="J10" t="str">
        <v>Raaz Fabrics</v>
      </c>
    </row>
    <row r="11" spans="2:10" ht="18.600000000000001" thickBot="1" x14ac:dyDescent="0.4">
      <c r="B11" s="61"/>
      <c r="C11" s="72"/>
      <c r="D11" s="72"/>
      <c r="E11" s="72"/>
      <c r="J11" t="str">
        <v>Azam</v>
      </c>
    </row>
    <row r="12" spans="2:10" ht="18.600000000000001" thickBot="1" x14ac:dyDescent="0.4">
      <c r="B12" s="61" t="s">
        <v>39</v>
      </c>
      <c r="C12" s="72" cm="1">
        <f t="array" aca="1" ref="C12" ca="1">_xlfn.XLOOKUP($B$6,_xlfn.ANCHORARRAY( Billing!$B$26), OFFSET(Billing!L26, 0, 0, ROWS(_xlfn.ANCHORARRAY(Billing!$B$26))), "Not Found")</f>
        <v>10</v>
      </c>
      <c r="D12" s="72" cm="1">
        <f t="array" ref="D12">_xlfn.XLOOKUP($B$6,_xlfn.ANCHORARRAY( Billing!$O$5), INDEX(Billing!R5:R25, _xlfn.SEQUENCE(ROWS(_xlfn.ANCHORARRAY(Billing!$O$5)))), "Not Found")</f>
        <v>440435.25969275786</v>
      </c>
      <c r="E12" s="99">
        <f ca="1">Table21[[#This Row],[gazana]]*Table21[[#This Row],[Rate]]</f>
        <v>4404352.5969275786</v>
      </c>
      <c r="J12" t="str">
        <v>Ubaidullah</v>
      </c>
    </row>
    <row r="13" spans="2:10" ht="18" x14ac:dyDescent="0.35">
      <c r="B13" s="71"/>
      <c r="C13" s="73"/>
      <c r="D13" s="73"/>
      <c r="E13" s="72"/>
      <c r="J13" t="str">
        <v>Ashraf Zia</v>
      </c>
    </row>
    <row r="14" spans="2:10" ht="18" x14ac:dyDescent="0.35">
      <c r="B14" s="61" t="s">
        <v>40</v>
      </c>
      <c r="C14" s="72" cm="1">
        <f t="array" aca="1" ref="C14" ca="1">_xlfn.XLOOKUP($B$6,_xlfn.ANCHORARRAY( Billing!$B$26), OFFSET(Billing!M26, 0, 0, ROWS(_xlfn.ANCHORARRAY(Billing!$B$26))), "Not Found")</f>
        <v>12</v>
      </c>
      <c r="D14" s="72" cm="1">
        <f t="array" ref="D14">_xlfn.XLOOKUP($B$6,_xlfn.ANCHORARRAY( Billing!$O$5), INDEX(Billing!S5:S25, _xlfn.SEQUENCE(ROWS(_xlfn.ANCHORARRAY(Billing!$O$5)))), "Not Found")</f>
        <v>0</v>
      </c>
      <c r="E14" s="72">
        <f ca="1">Table21[[#This Row],[gazana]]*Table21[[#This Row],[Rate]]</f>
        <v>0</v>
      </c>
      <c r="J14" t="str">
        <v>Hafiz Qureshi</v>
      </c>
    </row>
    <row r="15" spans="2:10" ht="18.600000000000001" thickBot="1" x14ac:dyDescent="0.4">
      <c r="B15" s="71"/>
      <c r="C15" s="73"/>
      <c r="D15" s="73"/>
      <c r="E15" s="72"/>
      <c r="J15" t="str">
        <v>Badshah Fabrics</v>
      </c>
    </row>
    <row r="16" spans="2:10" ht="18.600000000000001" thickBot="1" x14ac:dyDescent="0.4">
      <c r="B16" s="61" t="s">
        <v>41</v>
      </c>
      <c r="C16" s="72"/>
      <c r="D16" s="98"/>
      <c r="E16" s="100">
        <f ca="1">E12+E14</f>
        <v>4404352.5969275786</v>
      </c>
      <c r="J16" t="str">
        <v>Reject</v>
      </c>
    </row>
    <row r="17" spans="2:10" ht="18.600000000000001" thickBot="1" x14ac:dyDescent="0.4">
      <c r="B17" s="71"/>
      <c r="C17" s="73"/>
      <c r="D17" s="75"/>
      <c r="E17" s="72"/>
      <c r="J17" t="str">
        <v>Amjad 7up</v>
      </c>
    </row>
    <row r="18" spans="2:10" ht="18.600000000000001" thickBot="1" x14ac:dyDescent="0.4">
      <c r="B18" s="61" t="s">
        <v>42</v>
      </c>
      <c r="C18" s="72"/>
      <c r="D18" s="98"/>
      <c r="E18" s="100" cm="1">
        <f t="array" aca="1" ref="E18" ca="1">_xlfn.XLOOKUP($B$6,_xlfn.ANCHORARRAY( Billing!O5), OFFSET(Billing!W5, 0, 0, ROWS(_xlfn.ANCHORARRAY(Billing!O5))), "Not Found")</f>
        <v>3751266</v>
      </c>
      <c r="J18" t="str">
        <v>Hazrat Khan</v>
      </c>
    </row>
    <row r="19" spans="2:10" ht="18.600000000000001" thickBot="1" x14ac:dyDescent="0.4">
      <c r="B19" s="61"/>
      <c r="C19" s="72"/>
      <c r="D19" s="74"/>
      <c r="E19" s="72"/>
      <c r="J19" t="str">
        <v>Haseeb Shamsi</v>
      </c>
    </row>
    <row r="20" spans="2:10" ht="18.600000000000001" thickBot="1" x14ac:dyDescent="0.4">
      <c r="B20" s="61" t="s">
        <v>43</v>
      </c>
      <c r="C20" s="72"/>
      <c r="D20" s="98"/>
      <c r="E20" s="101" cm="1">
        <f t="array" aca="1" ref="E20" ca="1">_xlfn.XLOOKUP($B$6,_xlfn.ANCHORARRAY( Billing!O5), OFFSET(Billing!X5, 0, 0, ROWS(_xlfn.ANCHORARRAY(Billing!O5))), "Not Found")</f>
        <v>653086.59692757856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6" sqref="C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Wood!N14+((317*775)+ (100*650))</f>
        <v>310675</v>
      </c>
      <c r="D4" t="s">
        <v>203</v>
      </c>
    </row>
    <row r="5" spans="1:4" x14ac:dyDescent="0.3">
      <c r="B5" t="s">
        <v>48</v>
      </c>
      <c r="C5" s="11">
        <f>SUM(Table8[Price])+Table2325[[#Totals],[total]]</f>
        <v>179750</v>
      </c>
      <c r="D5" t="s">
        <v>204</v>
      </c>
    </row>
    <row r="6" spans="1:4" x14ac:dyDescent="0.3">
      <c r="B6" t="s">
        <v>49</v>
      </c>
      <c r="C6" s="11">
        <f>SUM(Table2[Price])+Finish!B30</f>
        <v>659916.66666666663</v>
      </c>
      <c r="D6" t="s">
        <v>205</v>
      </c>
    </row>
    <row r="7" spans="1:4" x14ac:dyDescent="0.3">
      <c r="B7" t="s">
        <v>50</v>
      </c>
      <c r="C7" s="11">
        <f>SUMIFS(Table14[Debit], Table14[Party],Table12[[#This Row],[Type]])</f>
        <v>0</v>
      </c>
    </row>
    <row r="8" spans="1:4" x14ac:dyDescent="0.3">
      <c r="B8" t="s">
        <v>51</v>
      </c>
      <c r="C8" s="11">
        <f>Electricity!E3</f>
        <v>0</v>
      </c>
    </row>
    <row r="9" spans="1:4" x14ac:dyDescent="0.3">
      <c r="B9" t="s">
        <v>52</v>
      </c>
      <c r="C9" s="11">
        <f>Table11[[#Totals],[Amount]]+'Salary Acc'!I36</f>
        <v>0</v>
      </c>
    </row>
    <row r="10" spans="1:4" x14ac:dyDescent="0.3">
      <c r="B10" t="s">
        <v>53</v>
      </c>
      <c r="C10" s="11">
        <f>Table5[[#Totals],[Amount]]</f>
        <v>0</v>
      </c>
    </row>
    <row r="11" spans="1:4" x14ac:dyDescent="0.3">
      <c r="B11" t="s">
        <v>54</v>
      </c>
      <c r="C11" s="11">
        <f>Table13[[#Totals],[Debit]]</f>
        <v>0</v>
      </c>
    </row>
    <row r="12" spans="1:4" x14ac:dyDescent="0.3">
      <c r="B12" t="s">
        <v>55</v>
      </c>
      <c r="C12" s="11">
        <f>Table15[[#Totals],[Amount]]</f>
        <v>0</v>
      </c>
    </row>
    <row r="13" spans="1:4" x14ac:dyDescent="0.3">
      <c r="C13" s="11"/>
    </row>
    <row r="14" spans="1:4" x14ac:dyDescent="0.3">
      <c r="C14" s="14">
        <f>SUM(Table12[Amount])</f>
        <v>1150341.6666666665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0</v>
      </c>
    </row>
    <row r="4" spans="1:3" x14ac:dyDescent="0.3">
      <c r="B4" s="11" t="s">
        <v>44</v>
      </c>
      <c r="C4" s="11">
        <f>Table12[[#Totals],[Amount]]</f>
        <v>1150341.6666666665</v>
      </c>
    </row>
    <row r="5" spans="1:3" x14ac:dyDescent="0.3">
      <c r="A5" s="6"/>
      <c r="B5" s="15" t="s">
        <v>68</v>
      </c>
      <c r="C5" s="15">
        <f ca="1">C3-C4</f>
        <v>-1150341.6666666665</v>
      </c>
    </row>
    <row r="10" spans="1:3" ht="15" thickBot="1" x14ac:dyDescent="0.35">
      <c r="B10" t="s">
        <v>66</v>
      </c>
      <c r="C10" s="14" t="s">
        <v>67</v>
      </c>
    </row>
    <row r="11" spans="1:3" x14ac:dyDescent="0.3">
      <c r="B11" s="62" t="s">
        <v>0</v>
      </c>
      <c r="C11" s="63">
        <f ca="1">C3</f>
        <v>0</v>
      </c>
    </row>
    <row r="12" spans="1:3" x14ac:dyDescent="0.3">
      <c r="B12" s="64" t="s">
        <v>69</v>
      </c>
      <c r="C12" s="65">
        <f>SUM(Table14[Credit])</f>
        <v>22582</v>
      </c>
    </row>
    <row r="13" spans="1:3" ht="15" thickBot="1" x14ac:dyDescent="0.35">
      <c r="B13" s="80" t="s">
        <v>96</v>
      </c>
      <c r="C13" s="79">
        <f ca="1">(C11-C12)</f>
        <v>-22582</v>
      </c>
    </row>
    <row r="14" spans="1:3" ht="15" thickBot="1" x14ac:dyDescent="0.35">
      <c r="B14" s="64"/>
      <c r="C14" s="65"/>
    </row>
    <row r="15" spans="1:3" x14ac:dyDescent="0.3">
      <c r="B15" s="62" t="s">
        <v>44</v>
      </c>
      <c r="C15" s="63">
        <f>C4</f>
        <v>1150341.6666666665</v>
      </c>
    </row>
    <row r="16" spans="1:3" x14ac:dyDescent="0.3">
      <c r="B16" s="64" t="s">
        <v>70</v>
      </c>
      <c r="C16" s="65">
        <f>SUM(Table14[Debit])</f>
        <v>0</v>
      </c>
    </row>
    <row r="17" spans="2:6" ht="15" thickBot="1" x14ac:dyDescent="0.35">
      <c r="B17" s="80" t="s">
        <v>71</v>
      </c>
      <c r="C17" s="79">
        <f>C15-C16</f>
        <v>1150341.6666666665</v>
      </c>
    </row>
    <row r="18" spans="2:6" ht="15" thickBot="1" x14ac:dyDescent="0.35">
      <c r="B18" s="64"/>
      <c r="C18" s="65"/>
    </row>
    <row r="19" spans="2:6" ht="15" thickBot="1" x14ac:dyDescent="0.35">
      <c r="B19" s="81" t="s">
        <v>72</v>
      </c>
      <c r="C19" s="82">
        <f>Table18[[#Totals],[amount]]</f>
        <v>22582</v>
      </c>
    </row>
    <row r="20" spans="2:6" ht="15" thickBot="1" x14ac:dyDescent="0.35">
      <c r="B20" s="77"/>
      <c r="C20" s="78"/>
    </row>
    <row r="21" spans="2:6" ht="15" thickBot="1" x14ac:dyDescent="0.35">
      <c r="B21" s="66" t="s">
        <v>73</v>
      </c>
      <c r="C21" s="67">
        <f ca="1">(C13-C17)+C19</f>
        <v>-1150341.6666666665</v>
      </c>
      <c r="E21" s="85" t="s">
        <v>74</v>
      </c>
      <c r="F21" s="86">
        <f ca="1">C5*0.05</f>
        <v>-57517.083333333328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6"/>
  <sheetViews>
    <sheetView zoomScale="126" zoomScaleNormal="126" workbookViewId="0">
      <selection activeCell="I6" sqref="I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206</v>
      </c>
      <c r="D2" s="29" t="s">
        <v>85</v>
      </c>
      <c r="E2" s="21"/>
      <c r="F2" s="11"/>
      <c r="G2" s="11"/>
      <c r="H2" s="32" t="e">
        <f>_xlfn.XLOOKUP(Table1[[#This Row],[Shipment Number]], 'pivot '!A:A,'pivot '!G:G, "NF")</f>
        <v>#DIV/0!</v>
      </c>
      <c r="I2" s="32">
        <f>_xlfn.XLOOKUP(Table1[[#This Row],[Party Name]],
[2]Billing!$O$5:$O$20,
[2]Billing!$R$5:$R$20)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206</v>
      </c>
      <c r="D3" s="29" t="s">
        <v>85</v>
      </c>
      <c r="E3" s="21"/>
      <c r="F3" s="11"/>
      <c r="G3" s="11"/>
      <c r="H3" s="32" t="e">
        <f>_xlfn.XLOOKUP(Table1[[#This Row],[Shipment Number]], 'pivot '!A:A,'pivot '!G:G, "NF")</f>
        <v>#DIV/0!</v>
      </c>
      <c r="I3" s="32">
        <f>_xlfn.XLOOKUP(Table1[[#This Row],[Party Name]],
[2]Billing!$O$5:$O$20,
[2]Billing!$R$5:$R$20)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206</v>
      </c>
      <c r="D4" s="29" t="s">
        <v>85</v>
      </c>
      <c r="E4" s="21"/>
      <c r="F4" s="11"/>
      <c r="G4" s="11"/>
      <c r="H4" s="32" t="e">
        <f>_xlfn.XLOOKUP(Table1[[#This Row],[Shipment Number]], 'pivot '!A:A,'pivot '!G:G, "NF")</f>
        <v>#DIV/0!</v>
      </c>
      <c r="I4" s="32">
        <f>_xlfn.XLOOKUP(Table1[[#This Row],[Party Name]],
[2]Billing!$O$5:$O$20,
[2]Billing!$R$5:$R$20)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206</v>
      </c>
      <c r="D5" s="29" t="s">
        <v>85</v>
      </c>
      <c r="E5" s="21"/>
      <c r="F5" s="11"/>
      <c r="G5" s="11"/>
      <c r="H5" s="32" t="e">
        <f>_xlfn.XLOOKUP(Table1[[#This Row],[Shipment Number]], 'pivot '!A:A,'pivot '!G:G, "NF")</f>
        <v>#DIV/0!</v>
      </c>
      <c r="I5" s="32">
        <f>_xlfn.XLOOKUP(Table1[[#This Row],[Party Name]],
[2]Billing!$O$5:$O$20,
[2]Billing!$R$5:$R$20)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206</v>
      </c>
      <c r="D6" s="29" t="s">
        <v>85</v>
      </c>
      <c r="E6" s="21"/>
      <c r="F6" s="11"/>
      <c r="G6" s="11"/>
      <c r="H6" s="32" t="e">
        <f>_xlfn.XLOOKUP(Table1[[#This Row],[Shipment Number]], 'pivot '!A:A,'pivot '!G:G, "NF")</f>
        <v>#DIV/0!</v>
      </c>
      <c r="I6" s="32">
        <f>_xlfn.XLOOKUP(Table1[[#This Row],[Party Name]],
[2]Billing!$O$5:$O$20,
[2]Billing!$R$5:$R$20)</f>
        <v>599330.65106071695</v>
      </c>
      <c r="J6" s="10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5393975.8595464528</v>
      </c>
      <c r="K6" s="29"/>
      <c r="X6"/>
      <c r="Y6"/>
      <c r="Z6"/>
      <c r="AA6"/>
      <c r="AB6"/>
    </row>
    <row r="7" spans="1:28" x14ac:dyDescent="0.3">
      <c r="A7" s="28">
        <v>45947</v>
      </c>
      <c r="B7" s="25" t="s">
        <v>25</v>
      </c>
      <c r="C7" s="29" t="s">
        <v>206</v>
      </c>
      <c r="D7" s="29" t="s">
        <v>85</v>
      </c>
      <c r="E7" s="21"/>
      <c r="F7" s="11"/>
      <c r="G7" s="11"/>
      <c r="H7" s="32" t="e">
        <f>_xlfn.XLOOKUP(Table1[[#This Row],[Shipment Number]], 'pivot '!A:A,'pivot '!G:G, "NF")</f>
        <v>#DIV/0!</v>
      </c>
      <c r="I7" s="32">
        <f>_xlfn.XLOOKUP(Table1[[#This Row],[Party Name]],
[2]Billing!$O$5:$O$20,
[2]Billing!$R$5:$R$20)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206</v>
      </c>
      <c r="D8" s="29" t="s">
        <v>85</v>
      </c>
      <c r="E8" s="21"/>
      <c r="F8" s="11"/>
      <c r="G8" s="11"/>
      <c r="H8" s="32" t="e">
        <f>_xlfn.XLOOKUP(Table1[[#This Row],[Shipment Number]], 'pivot '!A:A,'pivot '!G:G, "NF")</f>
        <v>#DIV/0!</v>
      </c>
      <c r="I8" s="32">
        <f>_xlfn.XLOOKUP(Table1[[#This Row],[Party Name]],
[2]Billing!$O$5:$O$20,
[2]Billing!$R$5:$R$20)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206</v>
      </c>
      <c r="D9" s="29" t="s">
        <v>85</v>
      </c>
      <c r="E9" s="21"/>
      <c r="F9" s="11"/>
      <c r="G9" s="11"/>
      <c r="H9" s="32" t="e">
        <f>_xlfn.XLOOKUP(Table1[[#This Row],[Shipment Number]], 'pivot '!A:A,'pivot '!G:G, "NF")</f>
        <v>#DIV/0!</v>
      </c>
      <c r="I9" s="32">
        <f>_xlfn.XLOOKUP(Table1[[#This Row],[Party Name]],
[2]Billing!$O$5:$O$20,
[2]Billing!$R$5:$R$20)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206</v>
      </c>
      <c r="D10" s="29" t="s">
        <v>85</v>
      </c>
      <c r="E10" s="21"/>
      <c r="F10" s="11"/>
      <c r="G10" s="11"/>
      <c r="H10" s="32" t="e">
        <f>_xlfn.XLOOKUP(Table1[[#This Row],[Shipment Number]], 'pivot '!A:A,'pivot '!G:G, "NF")</f>
        <v>#DIV/0!</v>
      </c>
      <c r="I10" s="32">
        <f>_xlfn.XLOOKUP(Table1[[#This Row],[Party Name]],
[2]Billing!$O$5:$O$20,
[2]Billing!$R$5:$R$20)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206</v>
      </c>
      <c r="D11" s="29" t="s">
        <v>86</v>
      </c>
      <c r="E11" s="21"/>
      <c r="F11" s="11"/>
      <c r="G11" s="11"/>
      <c r="H11" s="32" t="e">
        <f>_xlfn.XLOOKUP(Table1[[#This Row],[Shipment Number]], 'pivot '!A:A,'pivot '!G:G, "NF")</f>
        <v>#DIV/0!</v>
      </c>
      <c r="I11" s="32">
        <f>_xlfn.XLOOKUP(Table1[[#This Row],[Party Name]],
[2]Billing!$O$5:$O$20,
[2]Billing!$R$5:$R$20)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206</v>
      </c>
      <c r="D12" s="29" t="s">
        <v>85</v>
      </c>
      <c r="E12" s="21"/>
      <c r="F12" s="11"/>
      <c r="G12" s="11"/>
      <c r="H12" s="32" t="e">
        <f>_xlfn.XLOOKUP(Table1[[#This Row],[Shipment Number]], 'pivot '!A:A,'pivot '!G:G, "NF")</f>
        <v>#DIV/0!</v>
      </c>
      <c r="I12" s="32">
        <f>_xlfn.XLOOKUP(Table1[[#This Row],[Party Name]],
[2]Billing!$O$5:$O$20,
[2]Billing!$R$5:$R$20)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178</v>
      </c>
      <c r="C13" s="29" t="s">
        <v>206</v>
      </c>
      <c r="D13" s="29" t="s">
        <v>85</v>
      </c>
      <c r="E13" s="11"/>
      <c r="F13" s="11"/>
      <c r="G13" s="11"/>
      <c r="H13" s="32" t="e">
        <f>_xlfn.XLOOKUP(Table1[[#This Row],[Shipment Number]], 'pivot '!A:A,'pivot '!G:G, "NF")</f>
        <v>#DIV/0!</v>
      </c>
      <c r="I13" s="32">
        <f>_xlfn.XLOOKUP(Table1[[#This Row],[Party Name]],
[2]Billing!$O$5:$O$20,
[2]Billing!$R$5:$R$20)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182</v>
      </c>
      <c r="C14" s="29" t="s">
        <v>206</v>
      </c>
      <c r="D14" s="29" t="s">
        <v>85</v>
      </c>
      <c r="E14" s="11"/>
      <c r="F14" s="11"/>
      <c r="G14" s="11"/>
      <c r="H14" s="32" t="e">
        <f>_xlfn.XLOOKUP(Table1[[#This Row],[Shipment Number]], 'pivot '!A:A,'pivot '!G:G, "NF")</f>
        <v>#DIV/0!</v>
      </c>
      <c r="I14" s="32">
        <f>_xlfn.XLOOKUP(Table1[[#This Row],[Party Name]],
[2]Billing!$O$5:$O$20,
[2]Billing!$R$5:$R$20)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191</v>
      </c>
      <c r="C15" s="29" t="s">
        <v>206</v>
      </c>
      <c r="D15" s="29" t="s">
        <v>85</v>
      </c>
      <c r="E15" s="11"/>
      <c r="F15" s="11"/>
      <c r="G15" s="11"/>
      <c r="H15" s="32" t="e">
        <f>_xlfn.XLOOKUP(Table1[[#This Row],[Shipment Number]], 'pivot '!A:A,'pivot '!G:G, "NF")</f>
        <v>#DIV/0!</v>
      </c>
      <c r="I15" s="32">
        <f>_xlfn.XLOOKUP(Table1[[#This Row],[Party Name]],
[2]Billing!$O$5:$O$20,
[2]Billing!$R$5:$R$20)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192</v>
      </c>
      <c r="C16" s="29" t="s">
        <v>206</v>
      </c>
      <c r="D16" s="29" t="s">
        <v>85</v>
      </c>
      <c r="E16" s="11"/>
      <c r="F16" s="11"/>
      <c r="G16" s="11"/>
      <c r="H16" s="32" t="e">
        <f>_xlfn.XLOOKUP(Table1[[#This Row],[Shipment Number]], 'pivot '!A:A,'pivot '!G:G, "NF")</f>
        <v>#DIV/0!</v>
      </c>
      <c r="I16" s="32">
        <f>_xlfn.XLOOKUP(Table1[[#This Row],[Party Name]],
[2]Billing!$O$5:$O$20,
[2]Billing!$R$5:$R$20)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25" t="s">
        <v>199</v>
      </c>
      <c r="C17" s="29" t="s">
        <v>206</v>
      </c>
      <c r="D17" s="29" t="s">
        <v>85</v>
      </c>
      <c r="E17" s="11"/>
      <c r="F17" s="11"/>
      <c r="G17" s="11"/>
      <c r="H17" s="32" t="e">
        <f>_xlfn.XLOOKUP(Table1[[#This Row],[Shipment Number]], 'pivot '!A:A,'pivot '!G:G, "NF")</f>
        <v>#DIV/0!</v>
      </c>
      <c r="I17" s="32">
        <f>_xlfn.XLOOKUP(Table1[[#This Row],[Party Name]],
[2]Billing!$O$5:$O$20,
[2]Billing!$R$5:$R$20)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28">
        <v>45947</v>
      </c>
      <c r="B18" s="25" t="s">
        <v>21</v>
      </c>
      <c r="C18" s="29" t="s">
        <v>206</v>
      </c>
      <c r="D18" s="29" t="s">
        <v>87</v>
      </c>
      <c r="E18" s="11"/>
      <c r="F18" s="11"/>
      <c r="G18" s="11"/>
      <c r="H18" s="32" t="e">
        <f>_xlfn.XLOOKUP(Table1[[#This Row],[Shipment Number]], 'pivot '!A:A,'pivot '!G:G, "NF")</f>
        <v>#DIV/0!</v>
      </c>
      <c r="I18" s="32">
        <f>_xlfn.XLOOKUP(Table1[[#This Row],[Party Name]],
[2]Billing!$O$5:$O$20,
[2]Billing!$S$5:$S$20)</f>
        <v>30188.368690563279</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29"/>
      <c r="P18"/>
      <c r="Q18"/>
      <c r="R18"/>
      <c r="S18"/>
      <c r="T18"/>
      <c r="U18"/>
      <c r="V18"/>
      <c r="W18"/>
      <c r="X18"/>
      <c r="Y18"/>
    </row>
    <row r="19" spans="1:25" x14ac:dyDescent="0.3">
      <c r="A19" s="28">
        <v>45947</v>
      </c>
      <c r="B19" s="25" t="s">
        <v>22</v>
      </c>
      <c r="C19" s="29" t="s">
        <v>206</v>
      </c>
      <c r="D19" s="29" t="s">
        <v>87</v>
      </c>
      <c r="E19" s="11"/>
      <c r="F19" s="11"/>
      <c r="G19" s="11"/>
      <c r="H19" s="32" t="e">
        <f>_xlfn.XLOOKUP(Table1[[#This Row],[Shipment Number]], 'pivot '!A:A,'pivot '!G:G, "NF")</f>
        <v>#DIV/0!</v>
      </c>
      <c r="I19" s="32">
        <f>_xlfn.XLOOKUP(Table1[[#This Row],[Party Name]],
[2]Billing!$O$5:$O$20,
[2]Billing!$S$5:$S$20)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206</v>
      </c>
      <c r="D20" s="29" t="s">
        <v>87</v>
      </c>
      <c r="E20" s="11"/>
      <c r="F20" s="11"/>
      <c r="G20" s="11"/>
      <c r="H20" s="32" t="e">
        <f>_xlfn.XLOOKUP(Table1[[#This Row],[Shipment Number]], 'pivot '!A:A,'pivot '!G:G, "NF")</f>
        <v>#DIV/0!</v>
      </c>
      <c r="I20" s="32">
        <f>_xlfn.XLOOKUP(Table1[[#This Row],[Party Name]],
[2]Billing!$O$5:$O$20,
[2]Billing!$S$5:$S$20)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206</v>
      </c>
      <c r="D21" s="29" t="s">
        <v>87</v>
      </c>
      <c r="E21" s="11"/>
      <c r="F21" s="11"/>
      <c r="G21" s="11"/>
      <c r="H21" s="32" t="e">
        <f>_xlfn.XLOOKUP(Table1[[#This Row],[Shipment Number]], 'pivot '!A:A,'pivot '!G:G, "NF")</f>
        <v>#DIV/0!</v>
      </c>
      <c r="I21" s="32">
        <f>_xlfn.XLOOKUP(Table1[[#This Row],[Party Name]],
[2]Billing!$O$5:$O$20,
[2]Billing!$S$5:$S$20)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206</v>
      </c>
      <c r="D22" s="29" t="s">
        <v>87</v>
      </c>
      <c r="E22" s="11"/>
      <c r="F22" s="11"/>
      <c r="G22" s="11"/>
      <c r="H22" s="32" t="e">
        <f>_xlfn.XLOOKUP(Table1[[#This Row],[Shipment Number]], 'pivot '!A:A,'pivot '!G:G, "NF")</f>
        <v>#DIV/0!</v>
      </c>
      <c r="I22" s="32">
        <f>_xlfn.XLOOKUP(Table1[[#This Row],[Party Name]],
[2]Billing!$O$5:$O$20,
[2]Billing!$S$5:$S$20)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206</v>
      </c>
      <c r="D23" s="29" t="s">
        <v>87</v>
      </c>
      <c r="E23" s="11"/>
      <c r="F23" s="11"/>
      <c r="G23" s="11"/>
      <c r="H23" s="32" t="e">
        <f>_xlfn.XLOOKUP(Table1[[#This Row],[Shipment Number]], 'pivot '!A:A,'pivot '!G:G, "NF")</f>
        <v>#DIV/0!</v>
      </c>
      <c r="I23" s="32">
        <f>_xlfn.XLOOKUP(Table1[[#This Row],[Party Name]],
[2]Billing!$O$5:$O$20,
[2]Billing!$S$5:$S$20)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206</v>
      </c>
      <c r="D24" s="29" t="s">
        <v>87</v>
      </c>
      <c r="E24" s="11"/>
      <c r="F24" s="11"/>
      <c r="G24" s="11"/>
      <c r="H24" s="32" t="e">
        <f>_xlfn.XLOOKUP(Table1[[#This Row],[Shipment Number]], 'pivot '!A:A,'pivot '!G:G, "NF")</f>
        <v>#DIV/0!</v>
      </c>
      <c r="I24" s="32">
        <f>_xlfn.XLOOKUP(Table1[[#This Row],[Party Name]],
[2]Billing!$O$5:$O$20,
[2]Billing!$S$5:$S$20)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206</v>
      </c>
      <c r="D25" s="29" t="s">
        <v>87</v>
      </c>
      <c r="E25" s="11"/>
      <c r="F25" s="11"/>
      <c r="G25" s="11"/>
      <c r="H25" s="32" t="e">
        <f>_xlfn.XLOOKUP(Table1[[#This Row],[Shipment Number]], 'pivot '!A:A,'pivot '!G:G, "NF")</f>
        <v>#DIV/0!</v>
      </c>
      <c r="I25" s="32">
        <f>_xlfn.XLOOKUP(Table1[[#This Row],[Party Name]],
[2]Billing!$O$5:$O$20,
[2]Billing!$S$5:$S$20)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206</v>
      </c>
      <c r="D26" s="29" t="s">
        <v>87</v>
      </c>
      <c r="E26" s="11"/>
      <c r="F26" s="11"/>
      <c r="G26" s="11"/>
      <c r="H26" s="32" t="e">
        <f>_xlfn.XLOOKUP(Table1[[#This Row],[Shipment Number]], 'pivot '!A:A,'pivot '!G:G, "NF")</f>
        <v>#DIV/0!</v>
      </c>
      <c r="I26" s="32">
        <f>_xlfn.XLOOKUP(Table1[[#This Row],[Party Name]],
[2]Billing!$O$5:$O$20,
[2]Billing!$S$5:$S$20)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206</v>
      </c>
      <c r="D27" s="29" t="s">
        <v>87</v>
      </c>
      <c r="E27" s="11"/>
      <c r="F27" s="11"/>
      <c r="G27" s="11"/>
      <c r="H27" s="32" t="e">
        <f>_xlfn.XLOOKUP(Table1[[#This Row],[Shipment Number]], 'pivot '!A:A,'pivot '!G:G, "NF")</f>
        <v>#DIV/0!</v>
      </c>
      <c r="I27" s="32">
        <f>_xlfn.XLOOKUP(Table1[[#This Row],[Party Name]],
[2]Billing!$O$5:$O$20,
[2]Billing!$S$5:$S$20)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206</v>
      </c>
      <c r="D28" s="29" t="s">
        <v>87</v>
      </c>
      <c r="E28" s="11"/>
      <c r="F28" s="11"/>
      <c r="G28" s="11"/>
      <c r="H28" s="32" t="e">
        <f>_xlfn.XLOOKUP(Table1[[#This Row],[Shipment Number]], 'pivot '!A:A,'pivot '!G:G, "NF")</f>
        <v>#DIV/0!</v>
      </c>
      <c r="I28" s="32">
        <f>_xlfn.XLOOKUP(Table1[[#This Row],[Party Name]],
[2]Billing!$O$5:$O$20,
[2]Billing!$S$5:$S$20)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178</v>
      </c>
      <c r="C29" s="29" t="s">
        <v>206</v>
      </c>
      <c r="D29" s="29" t="s">
        <v>87</v>
      </c>
      <c r="E29" s="11"/>
      <c r="F29" s="11"/>
      <c r="G29" s="11"/>
      <c r="H29" s="32" t="e">
        <f>_xlfn.XLOOKUP(Table1[[#This Row],[Shipment Number]], 'pivot '!A:A,'pivot '!G:G, "NF")</f>
        <v>#DIV/0!</v>
      </c>
      <c r="I29" s="32">
        <f>_xlfn.XLOOKUP(Table1[[#This Row],[Party Name]],
[2]Billing!$O$5:$O$20,
[2]Billing!$S$5:$S$20)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182</v>
      </c>
      <c r="C30" s="29" t="s">
        <v>206</v>
      </c>
      <c r="D30" s="29" t="s">
        <v>87</v>
      </c>
      <c r="E30" s="11"/>
      <c r="F30" s="11"/>
      <c r="G30" s="11"/>
      <c r="H30" s="32" t="e">
        <f>_xlfn.XLOOKUP(Table1[[#This Row],[Shipment Number]], 'pivot '!A:A,'pivot '!G:G, "NF")</f>
        <v>#DIV/0!</v>
      </c>
      <c r="I30" s="32">
        <f>_xlfn.XLOOKUP(Table1[[#This Row],[Party Name]],
[2]Billing!$O$5:$O$20,
[2]Billing!$S$5:$S$20)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191</v>
      </c>
      <c r="C31" s="29" t="s">
        <v>206</v>
      </c>
      <c r="D31" s="29" t="s">
        <v>87</v>
      </c>
      <c r="E31" s="11"/>
      <c r="F31" s="11"/>
      <c r="G31" s="11"/>
      <c r="H31" s="32" t="e">
        <f>_xlfn.XLOOKUP(Table1[[#This Row],[Shipment Number]], 'pivot '!A:A,'pivot '!G:G, "NF")</f>
        <v>#DIV/0!</v>
      </c>
      <c r="I31" s="32">
        <f>_xlfn.XLOOKUP(Table1[[#This Row],[Party Name]],
[2]Billing!$O$5:$O$20,
[2]Billing!$S$5:$S$20)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192</v>
      </c>
      <c r="C32" s="29" t="s">
        <v>206</v>
      </c>
      <c r="D32" s="29" t="s">
        <v>87</v>
      </c>
      <c r="E32" s="11"/>
      <c r="F32" s="11"/>
      <c r="G32" s="11"/>
      <c r="H32" s="32" t="e">
        <f>_xlfn.XLOOKUP(Table1[[#This Row],[Shipment Number]], 'pivot '!A:A,'pivot '!G:G, "NF")</f>
        <v>#DIV/0!</v>
      </c>
      <c r="I32" s="32">
        <f>_xlfn.XLOOKUP(Table1[[#This Row],[Party Name]],
[2]Billing!$O$5:$O$20,
[2]Billing!$S$5:$S$20)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28">
        <v>45947</v>
      </c>
      <c r="B33" s="25" t="s">
        <v>199</v>
      </c>
      <c r="C33" s="29" t="s">
        <v>206</v>
      </c>
      <c r="D33" s="29" t="s">
        <v>87</v>
      </c>
      <c r="E33" s="11"/>
      <c r="F33" s="11"/>
      <c r="G33" s="11"/>
      <c r="H33" s="32" t="e">
        <f>_xlfn.XLOOKUP(Table1[[#This Row],[Shipment Number]], 'pivot '!A:A,'pivot '!G:G, "NF")</f>
        <v>#DIV/0!</v>
      </c>
      <c r="I33" s="32">
        <f>_xlfn.XLOOKUP(Table1[[#This Row],[Party Name]],
[2]Billing!$O$5:$O$20,
[2]Billing!$S$5:$S$20)</f>
        <v>0</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29"/>
      <c r="P33"/>
      <c r="Q33"/>
      <c r="R33"/>
      <c r="S33"/>
      <c r="T33"/>
      <c r="U33"/>
      <c r="V33"/>
      <c r="W33"/>
      <c r="X33"/>
      <c r="Y33"/>
    </row>
    <row r="34" spans="1:25" x14ac:dyDescent="0.3">
      <c r="A34"/>
      <c r="B34"/>
      <c r="C34"/>
      <c r="D34"/>
      <c r="E34" s="14"/>
      <c r="F34" s="14"/>
      <c r="G34" s="14"/>
      <c r="H34" s="49"/>
      <c r="I34" s="106" cm="1">
        <f t="array" aca="1" ref="I34" ca="1">SUMPRODUCT( SUBTOTAL(109, OFFSET(Table1[tiyar/meters], ROW(Table1[tiyar/meters])-MIN(ROW(Table1[tiyar/meters])), 0, 1)), --(Table1[Bill Number]&lt;&gt;"September Closing CF") )</f>
        <v>0</v>
      </c>
      <c r="J34" s="49" cm="1">
        <f t="array" aca="1" ref="J34" ca="1">SUMPRODUCT( SUBTOTAL(109, OFFSET(Table1[billing], ROW(Table1[billing])-MIN(ROW(Table1[billing])), 0, 1)), --(Table1[Bill Number]&lt;&gt;"September Closing CF") )</f>
        <v>0</v>
      </c>
      <c r="K34" s="14">
        <f>SUMIFS(Table1[billing], Table1[Bill Number], "&lt;&gt;September Closing CF")</f>
        <v>0</v>
      </c>
      <c r="P34"/>
      <c r="Q34"/>
      <c r="R34"/>
      <c r="S34"/>
      <c r="T34"/>
      <c r="U34"/>
      <c r="V34"/>
      <c r="W34"/>
      <c r="X34"/>
      <c r="Y34"/>
    </row>
    <row r="35" spans="1:25" x14ac:dyDescent="0.3">
      <c r="P35"/>
      <c r="Q35"/>
      <c r="R35"/>
      <c r="S35"/>
      <c r="T35"/>
      <c r="U35"/>
      <c r="V35"/>
      <c r="W35"/>
      <c r="X35"/>
      <c r="Y35"/>
    </row>
    <row r="36" spans="1:25" x14ac:dyDescent="0.3">
      <c r="P36"/>
      <c r="Q36"/>
      <c r="R36"/>
      <c r="S36"/>
      <c r="T36"/>
      <c r="U36"/>
      <c r="V36"/>
      <c r="W36"/>
      <c r="X36"/>
      <c r="Y36"/>
    </row>
    <row r="37" spans="1:25" x14ac:dyDescent="0.3">
      <c r="P37"/>
      <c r="Q37"/>
      <c r="R37"/>
      <c r="S37"/>
      <c r="T37"/>
      <c r="U37"/>
      <c r="V37"/>
      <c r="W37"/>
      <c r="X37"/>
      <c r="Y37"/>
    </row>
    <row r="38" spans="1:25" x14ac:dyDescent="0.3">
      <c r="P38"/>
      <c r="Q38"/>
      <c r="R38"/>
      <c r="S38"/>
      <c r="T38"/>
      <c r="U38"/>
      <c r="V38"/>
      <c r="W38"/>
      <c r="X38"/>
      <c r="Y38"/>
    </row>
    <row r="39" spans="1:25" x14ac:dyDescent="0.3">
      <c r="P39"/>
      <c r="Q39"/>
      <c r="R39"/>
      <c r="S39"/>
      <c r="T39"/>
      <c r="U39"/>
      <c r="V39"/>
      <c r="W39"/>
      <c r="X39"/>
      <c r="Y39"/>
    </row>
    <row r="40" spans="1:25" x14ac:dyDescent="0.3">
      <c r="P40"/>
      <c r="Q40"/>
      <c r="R40"/>
      <c r="S40"/>
      <c r="T40"/>
      <c r="U40"/>
      <c r="V40"/>
      <c r="W40"/>
      <c r="X40"/>
      <c r="Y40"/>
    </row>
    <row r="41" spans="1:25" x14ac:dyDescent="0.3">
      <c r="P41"/>
      <c r="Q41"/>
      <c r="R41"/>
      <c r="S41"/>
      <c r="T41"/>
      <c r="U41"/>
      <c r="V41"/>
      <c r="W41"/>
      <c r="X41"/>
      <c r="Y41"/>
    </row>
    <row r="42" spans="1:25" x14ac:dyDescent="0.3">
      <c r="P42"/>
      <c r="Q42"/>
      <c r="R42"/>
      <c r="S42"/>
      <c r="T42"/>
      <c r="U42"/>
      <c r="V42"/>
      <c r="W42"/>
      <c r="X42"/>
      <c r="Y42"/>
    </row>
    <row r="43" spans="1:25" x14ac:dyDescent="0.3">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D57" s="3" t="s">
        <v>2</v>
      </c>
      <c r="E57" t="s">
        <v>88</v>
      </c>
      <c r="P57"/>
      <c r="Q57"/>
      <c r="R57"/>
      <c r="S57"/>
      <c r="T57"/>
      <c r="U57"/>
      <c r="V57"/>
      <c r="W57"/>
      <c r="X57"/>
      <c r="Y57"/>
    </row>
    <row r="58" spans="4:25" x14ac:dyDescent="0.3">
      <c r="D58" s="3" t="s">
        <v>75</v>
      </c>
      <c r="E58" t="s">
        <v>88</v>
      </c>
      <c r="P58"/>
      <c r="Q58"/>
      <c r="R58"/>
      <c r="S58"/>
      <c r="T58"/>
      <c r="U58"/>
      <c r="V58"/>
      <c r="W58"/>
    </row>
    <row r="59" spans="4:25" x14ac:dyDescent="0.3">
      <c r="D59" s="3" t="s">
        <v>79</v>
      </c>
      <c r="E59" t="s">
        <v>106</v>
      </c>
      <c r="P59"/>
      <c r="Q59"/>
      <c r="R59"/>
      <c r="S59"/>
      <c r="T59"/>
      <c r="U59"/>
    </row>
    <row r="60" spans="4:25" x14ac:dyDescent="0.3">
      <c r="M60"/>
      <c r="P60"/>
      <c r="Q60"/>
      <c r="R60"/>
      <c r="S60"/>
      <c r="T60"/>
      <c r="U60"/>
    </row>
    <row r="61" spans="4:25" x14ac:dyDescent="0.3">
      <c r="D61" s="3" t="s">
        <v>6</v>
      </c>
      <c r="E61" t="s">
        <v>89</v>
      </c>
      <c r="F61" t="s">
        <v>90</v>
      </c>
      <c r="G61" t="s">
        <v>91</v>
      </c>
      <c r="I61" s="3" t="s">
        <v>6</v>
      </c>
      <c r="J61" t="s">
        <v>90</v>
      </c>
      <c r="K61" t="s">
        <v>91</v>
      </c>
      <c r="M61"/>
      <c r="P61"/>
      <c r="Q61"/>
      <c r="R61"/>
      <c r="S61"/>
    </row>
    <row r="62" spans="4:25" x14ac:dyDescent="0.3">
      <c r="D62" s="16" t="s">
        <v>206</v>
      </c>
      <c r="E62" s="107"/>
      <c r="F62" s="33">
        <v>4247868.5076810541</v>
      </c>
      <c r="G62" s="107">
        <v>43208092.582516462</v>
      </c>
      <c r="I62" s="27">
        <v>45947</v>
      </c>
      <c r="J62" s="49">
        <v>4247868.5076810541</v>
      </c>
      <c r="K62" s="14">
        <v>43208092.582516462</v>
      </c>
      <c r="M62"/>
      <c r="P62"/>
      <c r="Q62"/>
      <c r="R62"/>
      <c r="S62"/>
    </row>
    <row r="63" spans="4:25" x14ac:dyDescent="0.3">
      <c r="D63" s="16" t="s">
        <v>28</v>
      </c>
      <c r="E63" s="107"/>
      <c r="F63" s="33">
        <v>4247868.5076810541</v>
      </c>
      <c r="G63" s="107">
        <v>43208092.582516462</v>
      </c>
      <c r="I63" s="27" t="s">
        <v>28</v>
      </c>
      <c r="J63" s="49">
        <v>4247868.5076810541</v>
      </c>
      <c r="K63" s="14">
        <v>43208092.582516462</v>
      </c>
      <c r="M63"/>
      <c r="P63"/>
      <c r="Q63"/>
      <c r="R63"/>
      <c r="S63"/>
    </row>
    <row r="64" spans="4:25" x14ac:dyDescent="0.3">
      <c r="D64"/>
      <c r="E64"/>
      <c r="F64"/>
      <c r="G64"/>
      <c r="I64"/>
      <c r="J64"/>
      <c r="K64"/>
      <c r="M64"/>
      <c r="P64"/>
      <c r="Q64"/>
      <c r="R64"/>
      <c r="S64"/>
    </row>
    <row r="65" spans="4:19" x14ac:dyDescent="0.3">
      <c r="D65"/>
      <c r="E65"/>
      <c r="F65"/>
      <c r="G65"/>
      <c r="I65"/>
      <c r="J65"/>
      <c r="K65"/>
      <c r="M65"/>
      <c r="P65"/>
      <c r="Q65"/>
      <c r="R65"/>
      <c r="S65"/>
    </row>
    <row r="66" spans="4:19" x14ac:dyDescent="0.3">
      <c r="D66"/>
      <c r="E66"/>
      <c r="F66"/>
      <c r="G66"/>
      <c r="I66"/>
      <c r="J66"/>
      <c r="K66"/>
      <c r="M66"/>
      <c r="P66"/>
      <c r="Q66"/>
      <c r="R66"/>
      <c r="S66"/>
    </row>
    <row r="67" spans="4:19" x14ac:dyDescent="0.3">
      <c r="D67"/>
      <c r="E67"/>
      <c r="F67"/>
      <c r="G67"/>
      <c r="I67"/>
      <c r="J67"/>
      <c r="K67"/>
      <c r="M67"/>
      <c r="P67"/>
      <c r="Q67"/>
      <c r="R67"/>
      <c r="S67"/>
    </row>
    <row r="68" spans="4:19" x14ac:dyDescent="0.3">
      <c r="D68"/>
      <c r="E68"/>
      <c r="F68"/>
      <c r="G68"/>
      <c r="I68"/>
      <c r="J68"/>
      <c r="K68"/>
      <c r="M68"/>
      <c r="P68"/>
      <c r="Q68"/>
      <c r="R68"/>
      <c r="S68"/>
    </row>
    <row r="69" spans="4:19" x14ac:dyDescent="0.3">
      <c r="D69"/>
      <c r="E69"/>
      <c r="F69"/>
      <c r="G69"/>
      <c r="I69"/>
      <c r="J69"/>
      <c r="K69"/>
      <c r="M69"/>
      <c r="P69"/>
      <c r="Q69"/>
      <c r="R69"/>
      <c r="S69"/>
    </row>
    <row r="70" spans="4:19" x14ac:dyDescent="0.3">
      <c r="D70"/>
      <c r="E70"/>
      <c r="F70"/>
      <c r="G70"/>
      <c r="I70"/>
      <c r="J70"/>
      <c r="K70"/>
      <c r="P70"/>
      <c r="Q70"/>
      <c r="R70"/>
      <c r="S70"/>
    </row>
    <row r="71" spans="4:19" x14ac:dyDescent="0.3">
      <c r="D71"/>
      <c r="E71"/>
      <c r="F71"/>
      <c r="G71"/>
      <c r="I71"/>
      <c r="J71"/>
      <c r="K71"/>
      <c r="L71"/>
      <c r="P71"/>
      <c r="Q71"/>
      <c r="R71"/>
      <c r="S71"/>
    </row>
    <row r="72" spans="4:19" x14ac:dyDescent="0.3">
      <c r="D72"/>
      <c r="E72"/>
      <c r="F72"/>
      <c r="G72"/>
      <c r="I72"/>
      <c r="J72"/>
      <c r="K72"/>
      <c r="L72"/>
      <c r="P72"/>
      <c r="Q72"/>
      <c r="R72"/>
      <c r="S72"/>
    </row>
    <row r="73" spans="4:19" x14ac:dyDescent="0.3">
      <c r="D73"/>
      <c r="E73"/>
      <c r="F73"/>
      <c r="G73"/>
      <c r="I73"/>
      <c r="J73"/>
      <c r="K73"/>
      <c r="L73"/>
      <c r="O73"/>
      <c r="P73"/>
      <c r="Q73"/>
    </row>
    <row r="74" spans="4:19" x14ac:dyDescent="0.3">
      <c r="D74"/>
      <c r="E74"/>
      <c r="F74"/>
      <c r="G74"/>
      <c r="I74"/>
      <c r="J74"/>
      <c r="K74"/>
      <c r="L74"/>
      <c r="O74"/>
      <c r="P74"/>
      <c r="Q74"/>
    </row>
    <row r="75" spans="4:19" x14ac:dyDescent="0.3">
      <c r="D75"/>
      <c r="E75"/>
      <c r="F75"/>
      <c r="G75"/>
      <c r="I75"/>
      <c r="J75"/>
      <c r="K75"/>
      <c r="L75"/>
      <c r="O75"/>
      <c r="P75"/>
      <c r="Q75"/>
    </row>
    <row r="76" spans="4:19" x14ac:dyDescent="0.3">
      <c r="D76"/>
      <c r="E76"/>
      <c r="F76"/>
      <c r="G76"/>
      <c r="I76"/>
      <c r="J76"/>
      <c r="K76"/>
      <c r="L76"/>
      <c r="O76"/>
      <c r="P76"/>
      <c r="Q76"/>
    </row>
    <row r="77" spans="4:19" x14ac:dyDescent="0.3">
      <c r="D77"/>
      <c r="E77"/>
      <c r="F77"/>
      <c r="G77"/>
      <c r="I77"/>
      <c r="J77"/>
      <c r="K77"/>
      <c r="O77"/>
      <c r="P77"/>
      <c r="Q77"/>
    </row>
    <row r="78" spans="4:19" x14ac:dyDescent="0.3">
      <c r="D78"/>
      <c r="E78"/>
      <c r="F78"/>
      <c r="G78"/>
      <c r="I78"/>
      <c r="J78"/>
      <c r="K78"/>
      <c r="O78"/>
      <c r="P78"/>
      <c r="Q78"/>
    </row>
    <row r="79" spans="4:19" x14ac:dyDescent="0.3">
      <c r="D79"/>
      <c r="E79"/>
      <c r="F79"/>
      <c r="G79"/>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sheetData>
  <phoneticPr fontId="7" alignment="center"/>
  <pageMargins left="0.7" right="0.7" top="0.75" bottom="0.75" header="0.3" footer="0.3"/>
  <pageSetup scale="47" fitToHeight="0" orientation="landscape" r:id="rId3"/>
  <ignoredErrors>
    <ignoredError sqref="B10"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2"/>
  <sheetViews>
    <sheetView topLeftCell="C1" zoomScale="122" zoomScaleNormal="165" workbookViewId="0">
      <selection activeCell="I6" sqref="I6"/>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1">
        <v>45947</v>
      </c>
      <c r="B2" s="88" t="s">
        <v>97</v>
      </c>
      <c r="C2" s="88" t="s">
        <v>98</v>
      </c>
      <c r="D2" s="89"/>
      <c r="E2" s="89"/>
      <c r="F2" s="89"/>
      <c r="G2" s="89">
        <f>D2*E2</f>
        <v>0</v>
      </c>
      <c r="H2" s="11"/>
      <c r="I2" s="90">
        <v>1972281</v>
      </c>
    </row>
    <row r="3" spans="1:14" x14ac:dyDescent="0.3">
      <c r="A3" s="91">
        <v>45947</v>
      </c>
      <c r="B3" s="88" t="s">
        <v>99</v>
      </c>
      <c r="C3" s="88" t="s">
        <v>98</v>
      </c>
      <c r="D3" s="89"/>
      <c r="E3" s="89"/>
      <c r="F3" s="89"/>
      <c r="G3" s="89">
        <f>D3*E3</f>
        <v>0</v>
      </c>
      <c r="H3" s="11">
        <v>0</v>
      </c>
      <c r="I3" s="90">
        <v>0</v>
      </c>
      <c r="J3" s="11"/>
    </row>
    <row r="4" spans="1:14" x14ac:dyDescent="0.3">
      <c r="A4" s="91">
        <v>45947</v>
      </c>
      <c r="B4" s="88" t="s">
        <v>152</v>
      </c>
      <c r="C4" s="88" t="s">
        <v>98</v>
      </c>
      <c r="D4" s="11"/>
      <c r="E4" s="11"/>
      <c r="F4" s="11"/>
      <c r="G4" s="11">
        <f>D4*E4</f>
        <v>0</v>
      </c>
      <c r="H4" s="11">
        <v>0</v>
      </c>
      <c r="I4" s="93">
        <v>87620</v>
      </c>
      <c r="J4" s="11"/>
    </row>
    <row r="5" spans="1:14" x14ac:dyDescent="0.3">
      <c r="A5" s="91">
        <v>45947</v>
      </c>
      <c r="B5" s="88" t="s">
        <v>183</v>
      </c>
      <c r="C5" s="88" t="s">
        <v>98</v>
      </c>
      <c r="D5" s="11"/>
      <c r="E5" s="11"/>
      <c r="F5" s="11"/>
      <c r="G5" s="11">
        <f t="shared" ref="G5:G12" si="0">D5*E5</f>
        <v>0</v>
      </c>
      <c r="H5" s="11"/>
      <c r="I5" s="93">
        <v>456400</v>
      </c>
      <c r="J5" s="11"/>
    </row>
    <row r="6" spans="1:14" x14ac:dyDescent="0.3">
      <c r="A6" s="91">
        <v>45947</v>
      </c>
      <c r="B6" s="108" t="s">
        <v>193</v>
      </c>
      <c r="C6" s="88" t="s">
        <v>98</v>
      </c>
      <c r="D6" s="11"/>
      <c r="E6" s="11"/>
      <c r="F6" s="11"/>
      <c r="G6" s="11">
        <f t="shared" si="0"/>
        <v>0</v>
      </c>
      <c r="H6" s="11"/>
      <c r="I6" s="11">
        <v>0</v>
      </c>
      <c r="J6" s="11"/>
    </row>
    <row r="7" spans="1:14" x14ac:dyDescent="0.3">
      <c r="A7" s="1"/>
      <c r="C7" s="88"/>
      <c r="D7" s="11"/>
      <c r="E7" s="11"/>
      <c r="F7" s="11"/>
      <c r="G7" s="11">
        <f t="shared" si="0"/>
        <v>0</v>
      </c>
      <c r="H7" s="11"/>
      <c r="I7" s="11">
        <f>(D7*E7)-Table3[[#This Row],[Paid]]</f>
        <v>0</v>
      </c>
      <c r="J7" s="11"/>
    </row>
    <row r="8" spans="1:14" x14ac:dyDescent="0.3">
      <c r="A8" s="1"/>
      <c r="D8" s="11"/>
      <c r="E8" s="11"/>
      <c r="F8" s="11"/>
      <c r="G8" s="11">
        <f t="shared" si="0"/>
        <v>0</v>
      </c>
      <c r="H8" s="11"/>
      <c r="I8" s="11">
        <f>(D8*E8)-Table3[[#This Row],[Paid]]</f>
        <v>0</v>
      </c>
      <c r="J8" s="11"/>
    </row>
    <row r="9" spans="1:14" x14ac:dyDescent="0.3">
      <c r="A9" s="1"/>
      <c r="D9" s="11"/>
      <c r="E9" s="11"/>
      <c r="F9" s="11"/>
      <c r="G9" s="11">
        <f t="shared" si="0"/>
        <v>0</v>
      </c>
      <c r="H9" s="11"/>
      <c r="I9" s="11">
        <f>(D9*E9)-Table3[[#This Row],[Paid]]</f>
        <v>0</v>
      </c>
      <c r="J9" s="11"/>
    </row>
    <row r="10" spans="1:14" x14ac:dyDescent="0.3">
      <c r="A10" s="1"/>
      <c r="D10" s="11"/>
      <c r="E10" s="11"/>
      <c r="F10" s="11"/>
      <c r="G10" s="11">
        <f t="shared" si="0"/>
        <v>0</v>
      </c>
      <c r="H10" s="11"/>
      <c r="I10" s="11">
        <f>(D10*E10)-Table3[[#This Row],[Paid]]</f>
        <v>0</v>
      </c>
      <c r="J10" s="11"/>
    </row>
    <row r="11" spans="1:14" x14ac:dyDescent="0.3">
      <c r="A11" s="1"/>
      <c r="D11" s="11"/>
      <c r="E11" s="11"/>
      <c r="F11" s="11"/>
      <c r="G11" s="11">
        <f t="shared" si="0"/>
        <v>0</v>
      </c>
      <c r="H11" s="11"/>
      <c r="I11" s="11">
        <f>(D11*E11)-Table3[[#This Row],[Paid]]</f>
        <v>0</v>
      </c>
      <c r="J11" s="11"/>
    </row>
    <row r="12" spans="1:14" x14ac:dyDescent="0.3">
      <c r="A12" s="1"/>
      <c r="D12" s="11"/>
      <c r="E12" s="11"/>
      <c r="F12" s="11"/>
      <c r="G12" s="11">
        <f t="shared" si="0"/>
        <v>0</v>
      </c>
      <c r="H12" s="11"/>
      <c r="I12" s="11">
        <f>(D12*E12)-Table3[[#This Row],[Paid]]</f>
        <v>0</v>
      </c>
      <c r="J12" s="11"/>
    </row>
    <row r="13" spans="1:14" ht="16.8" thickBot="1" x14ac:dyDescent="0.5">
      <c r="A13" s="1"/>
      <c r="D13" s="14"/>
      <c r="E13" s="14"/>
      <c r="F13" s="14"/>
      <c r="G13" s="14">
        <f>SUBTOTAL(109,Table3[Total])</f>
        <v>0</v>
      </c>
      <c r="H13" s="14">
        <f>SUBTOTAL(109,Table3[Paid])</f>
        <v>0</v>
      </c>
      <c r="I13" s="14">
        <f>SUBTOTAL(109,Table3[balance])</f>
        <v>2516301</v>
      </c>
      <c r="J13" s="47"/>
    </row>
    <row r="14" spans="1:14" ht="15" thickTop="1" x14ac:dyDescent="0.3">
      <c r="E14" s="3" t="s">
        <v>2</v>
      </c>
      <c r="F14" t="s">
        <v>88</v>
      </c>
      <c r="N14" s="17">
        <f>SUM(Table3[Total])</f>
        <v>0</v>
      </c>
    </row>
    <row r="16" spans="1:14" x14ac:dyDescent="0.3">
      <c r="E16" s="3" t="s">
        <v>101</v>
      </c>
      <c r="F16" t="s">
        <v>102</v>
      </c>
      <c r="G16" t="s">
        <v>103</v>
      </c>
      <c r="H16" t="s">
        <v>104</v>
      </c>
      <c r="I16" t="s">
        <v>105</v>
      </c>
    </row>
    <row r="17" spans="5:11" x14ac:dyDescent="0.3">
      <c r="E17" s="27">
        <v>45947</v>
      </c>
      <c r="F17" s="14"/>
      <c r="G17" s="14">
        <v>0</v>
      </c>
      <c r="H17" s="14">
        <v>0</v>
      </c>
      <c r="I17" s="14">
        <v>2516301</v>
      </c>
    </row>
    <row r="18" spans="5:11" x14ac:dyDescent="0.3">
      <c r="E18" s="48" t="s">
        <v>98</v>
      </c>
      <c r="F18" s="14"/>
      <c r="G18" s="14">
        <v>0</v>
      </c>
      <c r="H18" s="14">
        <v>0</v>
      </c>
      <c r="I18" s="14">
        <v>2516301</v>
      </c>
    </row>
    <row r="19" spans="5:11" x14ac:dyDescent="0.3">
      <c r="E19" s="27" t="s">
        <v>106</v>
      </c>
      <c r="F19" s="14"/>
      <c r="G19" s="14">
        <v>0</v>
      </c>
      <c r="H19" s="14"/>
      <c r="I19" s="14">
        <v>0</v>
      </c>
    </row>
    <row r="20" spans="5:11" x14ac:dyDescent="0.3">
      <c r="E20" s="48" t="s">
        <v>106</v>
      </c>
      <c r="F20" s="14"/>
      <c r="G20" s="14">
        <v>0</v>
      </c>
      <c r="H20" s="14"/>
      <c r="I20" s="14">
        <v>0</v>
      </c>
    </row>
    <row r="21" spans="5:11" x14ac:dyDescent="0.3">
      <c r="E21" s="27" t="s">
        <v>28</v>
      </c>
      <c r="F21" s="14"/>
      <c r="G21" s="14">
        <v>0</v>
      </c>
      <c r="H21" s="14">
        <v>0</v>
      </c>
      <c r="I21" s="14">
        <v>2516301</v>
      </c>
    </row>
    <row r="29" spans="5:11" x14ac:dyDescent="0.3">
      <c r="K29" s="14"/>
    </row>
    <row r="41" spans="12:12" x14ac:dyDescent="0.3">
      <c r="L41" s="14"/>
    </row>
    <row r="42" spans="12:12" x14ac:dyDescent="0.3">
      <c r="L42" s="14">
        <f>I2-Table3[[#Totals],[balance]]</f>
        <v>-544020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65"/>
  <sheetViews>
    <sheetView zoomScale="132" workbookViewId="0">
      <selection activeCell="A4" sqref="A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2">
        <v>45947</v>
      </c>
      <c r="B2" s="87" t="s">
        <v>209</v>
      </c>
      <c r="C2" s="11"/>
      <c r="D2" s="93">
        <f>[2]Cashbook!$N$5</f>
        <v>21812</v>
      </c>
      <c r="E2" s="87"/>
      <c r="F2" s="94" t="s">
        <v>111</v>
      </c>
    </row>
    <row r="3" spans="1:16" x14ac:dyDescent="0.3">
      <c r="A3" s="92">
        <v>45947</v>
      </c>
      <c r="B3" s="87" t="s">
        <v>209</v>
      </c>
      <c r="C3" s="11"/>
      <c r="D3" s="93">
        <f>[2]Cashbook!$N$6</f>
        <v>770</v>
      </c>
      <c r="E3" s="87"/>
      <c r="F3" s="94" t="s">
        <v>112</v>
      </c>
      <c r="J3" s="53" t="s">
        <v>45</v>
      </c>
      <c r="K3" s="40" t="s">
        <v>46</v>
      </c>
      <c r="M3" s="53" t="s">
        <v>45</v>
      </c>
      <c r="N3" s="56" t="s">
        <v>107</v>
      </c>
      <c r="O3" s="96" t="s">
        <v>108</v>
      </c>
      <c r="P3" t="s">
        <v>109</v>
      </c>
    </row>
    <row r="4" spans="1:16" x14ac:dyDescent="0.3">
      <c r="A4" s="43"/>
      <c r="C4" s="14">
        <f>SUBTOTAL(109,Table14[Debit])</f>
        <v>0</v>
      </c>
      <c r="D4" s="14">
        <f>SUBTOTAL(109,Table14[Credit])</f>
        <v>22582</v>
      </c>
      <c r="F4" s="60">
        <f>(Table14[[#Totals],[Credit]]-Table14[[#Totals],[Debit]])</f>
        <v>22582</v>
      </c>
      <c r="J4" s="51" t="s">
        <v>70</v>
      </c>
      <c r="K4" s="52">
        <f>Table14[[#Totals],[Debit]]</f>
        <v>0</v>
      </c>
      <c r="M4" s="51" t="s">
        <v>110</v>
      </c>
      <c r="N4" s="57">
        <f>SUMIFS(Table14[Withdrawal],Table14[Party],"Cash",Table14[Mode],"Transfer")</f>
        <v>0</v>
      </c>
    </row>
    <row r="5" spans="1:16" x14ac:dyDescent="0.3">
      <c r="J5" s="51" t="s">
        <v>69</v>
      </c>
      <c r="K5" s="52">
        <f>Table14[[#Totals],[Credit]]</f>
        <v>22582</v>
      </c>
      <c r="M5" s="51" t="s">
        <v>111</v>
      </c>
      <c r="N5" s="52">
        <f>(SUMIFS(Table14[Credit],Table14[Mode],"Bank")-SUMIFS(Table14[Debit],Table14[Mode],"Bank")-SUMIFS(Table14[Withdrawal],Table14[Mode],"Transfer"))</f>
        <v>21812</v>
      </c>
      <c r="O5">
        <v>360000</v>
      </c>
    </row>
    <row r="6" spans="1:16" x14ac:dyDescent="0.3">
      <c r="J6" s="58" t="s">
        <v>43</v>
      </c>
      <c r="K6" s="59">
        <f>(K5-K4)</f>
        <v>22582</v>
      </c>
      <c r="M6" s="51" t="s">
        <v>112</v>
      </c>
      <c r="N6" s="52">
        <f>((SUMIFS(Table14[Credit],Table14[Mode],"Cash")-SUMIFS(Table14[Debit],Table14[Mode],"Cash"))+SUMIFS(Table14[Withdrawal],Table14[Party],"Cash",Table14[Mode],"Transfer"))</f>
        <v>770</v>
      </c>
      <c r="O6">
        <v>50000</v>
      </c>
    </row>
    <row r="7" spans="1:16" x14ac:dyDescent="0.3">
      <c r="M7" s="54" t="s">
        <v>5</v>
      </c>
      <c r="N7" s="55">
        <f>SUM(N5:N6)</f>
        <v>22582</v>
      </c>
      <c r="O7" s="97">
        <f>SUM(O5,O6)</f>
        <v>410000</v>
      </c>
      <c r="P7" s="14">
        <f>Table18[[#Totals],[amount]]-Table18[[#Totals],[Actual]]</f>
        <v>-387418</v>
      </c>
    </row>
    <row r="163" spans="10:12" x14ac:dyDescent="0.3">
      <c r="J163" s="3" t="s">
        <v>6</v>
      </c>
      <c r="K163" t="s">
        <v>121</v>
      </c>
      <c r="L163" t="s">
        <v>122</v>
      </c>
    </row>
    <row r="164" spans="10:12" x14ac:dyDescent="0.3">
      <c r="J164" s="4" t="s">
        <v>209</v>
      </c>
      <c r="K164" s="14">
        <v>22582</v>
      </c>
      <c r="L164" s="14"/>
    </row>
    <row r="165" spans="10:12" x14ac:dyDescent="0.3">
      <c r="J165" s="4" t="s">
        <v>28</v>
      </c>
      <c r="K165" s="14">
        <v>22582</v>
      </c>
      <c r="L165" s="14"/>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N3" sqref="N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1">
        <v>45947</v>
      </c>
      <c r="B2" s="88" t="s">
        <v>64</v>
      </c>
      <c r="C2" s="88"/>
      <c r="D2" s="88"/>
      <c r="E2" s="88"/>
      <c r="F2" s="88" t="s">
        <v>118</v>
      </c>
      <c r="G2" s="88"/>
      <c r="H2" s="88">
        <v>640125</v>
      </c>
      <c r="I2" s="88" t="s">
        <v>210</v>
      </c>
      <c r="K2" t="s">
        <v>75</v>
      </c>
      <c r="L2" t="s">
        <v>45</v>
      </c>
      <c r="M2" t="s">
        <v>36</v>
      </c>
      <c r="N2" t="s">
        <v>5</v>
      </c>
    </row>
    <row r="3" spans="1:14" x14ac:dyDescent="0.3">
      <c r="A3" s="109">
        <v>45947</v>
      </c>
      <c r="B3" s="87" t="s">
        <v>64</v>
      </c>
      <c r="C3" s="87"/>
      <c r="D3" s="87"/>
      <c r="E3" s="87"/>
      <c r="F3" s="87" t="s">
        <v>202</v>
      </c>
      <c r="G3" s="87"/>
      <c r="H3" s="87">
        <v>0</v>
      </c>
      <c r="I3" s="87"/>
      <c r="K3" s="1"/>
      <c r="L3" t="s">
        <v>127</v>
      </c>
      <c r="N3" s="11">
        <f t="shared" ref="N3" si="0">47000+28750</f>
        <v>75750</v>
      </c>
    </row>
    <row r="4" spans="1:14" x14ac:dyDescent="0.3">
      <c r="E4">
        <f>SUBTOTAL(109,Table8[Price])</f>
        <v>0</v>
      </c>
      <c r="H4">
        <f>SUBTOTAL(109,Table8[Balance])</f>
        <v>640125</v>
      </c>
      <c r="K4" s="1"/>
      <c r="N4" s="11"/>
    </row>
    <row r="5" spans="1:14" x14ac:dyDescent="0.3">
      <c r="K5" s="1"/>
      <c r="N5" s="14">
        <f>SUM(Table7[Total])</f>
        <v>75750</v>
      </c>
    </row>
    <row r="7" spans="1:14" x14ac:dyDescent="0.3">
      <c r="K7" s="3" t="s">
        <v>113</v>
      </c>
      <c r="L7" t="s">
        <v>88</v>
      </c>
    </row>
    <row r="9" spans="1:14" x14ac:dyDescent="0.3">
      <c r="K9" s="3" t="s">
        <v>6</v>
      </c>
      <c r="L9" t="s">
        <v>130</v>
      </c>
      <c r="M9" t="s">
        <v>131</v>
      </c>
    </row>
    <row r="10" spans="1:14" x14ac:dyDescent="0.3">
      <c r="K10" s="27">
        <v>45947</v>
      </c>
      <c r="L10" s="107"/>
      <c r="M10" s="107">
        <v>640125</v>
      </c>
    </row>
    <row r="11" spans="1:14" x14ac:dyDescent="0.3">
      <c r="K11" s="4" t="s">
        <v>28</v>
      </c>
      <c r="L11" s="107"/>
      <c r="M11" s="107">
        <v>640125</v>
      </c>
    </row>
    <row r="13" spans="1:14" x14ac:dyDescent="0.3">
      <c r="A13" t="s">
        <v>57</v>
      </c>
      <c r="B13" t="s">
        <v>159</v>
      </c>
      <c r="C13" t="s">
        <v>160</v>
      </c>
      <c r="D13" t="s">
        <v>4</v>
      </c>
      <c r="E13" t="s">
        <v>161</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1">
        <v>45947</v>
      </c>
      <c r="B5" s="91" t="s">
        <v>120</v>
      </c>
      <c r="C5" s="88" t="s">
        <v>206</v>
      </c>
      <c r="D5" s="88"/>
      <c r="E5" s="88"/>
      <c r="F5" s="88">
        <f>Table2[[#This Row],[Quantity]]*200*Table2[[#This Row],[Boxes]]</f>
        <v>0</v>
      </c>
      <c r="G5" s="88">
        <f>SUMIFS(Table14[Debit], Table14[Date], Table2[[#This Row],[Date]], Table14[Party], Table2[[#This Row],[Party Name]],Table14[Description],Table2[[#This Row],[Item]])</f>
        <v>0</v>
      </c>
      <c r="H5" s="88">
        <v>353250</v>
      </c>
      <c r="J5" s="4" t="s">
        <v>106</v>
      </c>
      <c r="K5" s="107">
        <v>0</v>
      </c>
      <c r="L5" s="107">
        <v>0</v>
      </c>
      <c r="M5" s="107">
        <v>0</v>
      </c>
    </row>
    <row r="6" spans="1:13" x14ac:dyDescent="0.3">
      <c r="A6" s="91">
        <v>45947</v>
      </c>
      <c r="B6" s="91" t="s">
        <v>119</v>
      </c>
      <c r="C6" s="88" t="s">
        <v>206</v>
      </c>
      <c r="D6" s="88"/>
      <c r="E6" s="88"/>
      <c r="F6" s="88">
        <f>Table2[[#This Row],[Quantity]]*200*Table2[[#This Row],[Boxes]]</f>
        <v>0</v>
      </c>
      <c r="G6" s="88">
        <f>SUMIFS(Table14[Debit], Table14[Date], Table2[[#This Row],[Date]], Table14[Party], Table2[[#This Row],[Party Name]],Table14[Description],Table2[[#This Row],[Item]])</f>
        <v>0</v>
      </c>
      <c r="H6" s="88">
        <v>-5000</v>
      </c>
      <c r="J6" s="4" t="s">
        <v>119</v>
      </c>
      <c r="K6" s="107">
        <v>128000</v>
      </c>
      <c r="L6" s="107">
        <v>0</v>
      </c>
      <c r="M6" s="107">
        <v>123000</v>
      </c>
    </row>
    <row r="7" spans="1:13" x14ac:dyDescent="0.3">
      <c r="A7" s="91">
        <v>45947</v>
      </c>
      <c r="B7" s="91" t="s">
        <v>172</v>
      </c>
      <c r="C7" s="88" t="s">
        <v>206</v>
      </c>
      <c r="F7">
        <v>0</v>
      </c>
      <c r="G7">
        <v>0</v>
      </c>
      <c r="H7" s="87">
        <v>0</v>
      </c>
      <c r="J7" s="4" t="s">
        <v>120</v>
      </c>
      <c r="K7" s="107">
        <v>0</v>
      </c>
      <c r="L7" s="107">
        <v>0</v>
      </c>
      <c r="M7" s="107">
        <v>353250</v>
      </c>
    </row>
    <row r="8" spans="1:13" x14ac:dyDescent="0.3">
      <c r="A8" s="1">
        <v>45945</v>
      </c>
      <c r="B8" s="1" t="s">
        <v>119</v>
      </c>
      <c r="C8" t="s">
        <v>173</v>
      </c>
      <c r="D8">
        <v>4</v>
      </c>
      <c r="E8">
        <v>160</v>
      </c>
      <c r="F8" s="107">
        <f>Table2[[#This Row],[Quantity]]*200*Table2[[#This Row],[Boxes]]</f>
        <v>128000</v>
      </c>
      <c r="G8" s="107">
        <f>SUMIFS(Table14[Debit], Table14[Date], Table2[[#This Row],[Date]], Table14[Party], Table2[[#This Row],[Party Name]],Table14[Description],Table2[[#This Row],[Item]])</f>
        <v>0</v>
      </c>
      <c r="H8" s="107">
        <f>Table2[[#This Row],[Price]]-Table2[[#This Row],[Paid]]</f>
        <v>128000</v>
      </c>
      <c r="J8" s="4" t="s">
        <v>172</v>
      </c>
      <c r="K8" s="107">
        <v>0</v>
      </c>
      <c r="L8" s="107">
        <v>0</v>
      </c>
      <c r="M8" s="107">
        <v>0</v>
      </c>
    </row>
    <row r="9" spans="1:13" x14ac:dyDescent="0.3">
      <c r="A9" s="1"/>
      <c r="B9" s="1"/>
      <c r="F9" s="107">
        <f>Table2[[#This Row],[Quantity]]*200*Table2[[#This Row],[Boxes]]</f>
        <v>0</v>
      </c>
      <c r="G9" s="107">
        <f>SUMIFS(Table14[Debit], Table14[Date], Table2[[#This Row],[Date]], Table14[Party], Table2[[#This Row],[Party Name]],Table14[Description],Table2[[#This Row],[Item]])</f>
        <v>0</v>
      </c>
      <c r="H9" s="107">
        <f>Table2[[#This Row],[Price]]-Table2[[#This Row],[Paid]]</f>
        <v>0</v>
      </c>
      <c r="J9" s="4" t="s">
        <v>28</v>
      </c>
      <c r="K9" s="107">
        <v>128000</v>
      </c>
      <c r="L9" s="107">
        <v>0</v>
      </c>
      <c r="M9" s="107">
        <v>476250</v>
      </c>
    </row>
    <row r="10" spans="1:13" x14ac:dyDescent="0.3">
      <c r="A10" s="1"/>
      <c r="F10">
        <f>SUBTOTAL(109,Table2[Price])</f>
        <v>128000</v>
      </c>
      <c r="G10">
        <f>SUBTOTAL(109,Table2[Paid])</f>
        <v>0</v>
      </c>
      <c r="H10">
        <f>SUBTOTAL(109,Table2[Balance])</f>
        <v>476250</v>
      </c>
    </row>
    <row r="24" spans="1:2" x14ac:dyDescent="0.3">
      <c r="A24" t="s">
        <v>57</v>
      </c>
      <c r="B24" t="s">
        <v>207</v>
      </c>
    </row>
    <row r="25" spans="1:2" x14ac:dyDescent="0.3">
      <c r="A25" t="s">
        <v>61</v>
      </c>
      <c r="B25">
        <f>7750*16</f>
        <v>124000</v>
      </c>
    </row>
    <row r="26" spans="1:2" x14ac:dyDescent="0.3">
      <c r="A26" t="s">
        <v>61</v>
      </c>
      <c r="B26">
        <f>353250</f>
        <v>353250</v>
      </c>
    </row>
    <row r="27" spans="1:2" x14ac:dyDescent="0.3">
      <c r="A27" t="s">
        <v>169</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208</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H3" sqref="H3:H3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J3" t="s">
        <v>167</v>
      </c>
      <c r="M3" t="s">
        <v>185</v>
      </c>
      <c r="N3" t="s">
        <v>186</v>
      </c>
    </row>
    <row r="4" spans="2:15" x14ac:dyDescent="0.3">
      <c r="B4" s="1">
        <v>45948</v>
      </c>
      <c r="C4" s="20">
        <f>SUMIFS(Table14[Debit], Table14[Date], Table11[[#This Row],[Date]], Table14[Party],"Salary ", Table14[Description],Table11[[#This Row],[Column1]])</f>
        <v>0</v>
      </c>
      <c r="H4" s="1">
        <v>45948</v>
      </c>
      <c r="I4">
        <f>SUMIFS(Table14[Debit], Table14[Date], Table16[[#This Row],[Date]], Table14[Party], "Advance Salary", Table14[Description], Table16[[#This Row],[Person]] )</f>
        <v>0</v>
      </c>
      <c r="J4" s="105" t="s">
        <v>168</v>
      </c>
      <c r="N4" t="s">
        <v>187</v>
      </c>
    </row>
    <row r="5" spans="2:15" x14ac:dyDescent="0.3">
      <c r="B5" s="1">
        <v>45949</v>
      </c>
      <c r="C5" s="20">
        <f>SUMIFS(Table14[Debit], Table14[Date], Table11[[#This Row],[Date]], Table14[Party],"Salary ", Table14[Description],Table11[[#This Row],[Column1]])</f>
        <v>0</v>
      </c>
      <c r="H5" s="1">
        <v>45949</v>
      </c>
      <c r="I5">
        <f>SUMIFS(Table14[Debit], Table14[Date], Table16[[#This Row],[Date]], Table14[Party], "Advance Salary", Table14[Description], Table16[[#This Row],[Person]] )</f>
        <v>0</v>
      </c>
      <c r="N5" t="s">
        <v>188</v>
      </c>
      <c r="O5" t="s">
        <v>189</v>
      </c>
    </row>
    <row r="6" spans="2:15" x14ac:dyDescent="0.3">
      <c r="B6" s="1">
        <v>45950</v>
      </c>
      <c r="C6" s="20">
        <f>SUMIFS(Table14[Debit], Table14[Date], Table11[[#This Row],[Date]], Table14[Party],"Salary ",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 Table14[Description],Table11[[#This Row],[Column1]])</f>
        <v>0</v>
      </c>
      <c r="H7" s="1">
        <v>45951</v>
      </c>
      <c r="I7">
        <f>SUMIFS(Table14[Debit], Table14[Date], Table16[[#This Row],[Date]], Table14[Party], "Advance Salary", Table14[Description], Table16[[#This Row],[Person]] )</f>
        <v>0</v>
      </c>
      <c r="J7" t="s">
        <v>170</v>
      </c>
    </row>
    <row r="8" spans="2:15" x14ac:dyDescent="0.3">
      <c r="B8" s="1">
        <v>45952</v>
      </c>
      <c r="C8" s="20">
        <f>SUMIFS(Table14[Debit], Table14[Date], Table11[[#This Row],[Date]], Table14[Party],"Salary ", Table14[Description],Table11[[#This Row],[Column1]])</f>
        <v>0</v>
      </c>
      <c r="H8" s="1">
        <v>45952</v>
      </c>
      <c r="I8">
        <f>SUMIFS(Table14[Debit], Table14[Date], Table16[[#This Row],[Date]], Table14[Party], "Advance Salary", Table14[Description], Table16[[#This Row],[Person]] )</f>
        <v>0</v>
      </c>
      <c r="J8" t="s">
        <v>171</v>
      </c>
    </row>
    <row r="9" spans="2:15" x14ac:dyDescent="0.3">
      <c r="B9" s="1">
        <v>45953</v>
      </c>
      <c r="C9" s="20">
        <f>SUMIFS(Table14[Debit], Table14[Date], Table11[[#This Row],[Date]], Table14[Party],"Salary", Table14[Description],Table11[[#This Row],[Column1]])</f>
        <v>0</v>
      </c>
      <c r="D9" t="s">
        <v>174</v>
      </c>
      <c r="H9" s="1">
        <v>45953</v>
      </c>
      <c r="I9">
        <f>SUMIFS(Table14[Debit], Table14[Date], Table16[[#This Row],[Date]], Table14[Party], "Advance Salary", Table14[Description], Table16[[#This Row],[Person]] )</f>
        <v>0</v>
      </c>
      <c r="J9" t="s">
        <v>175</v>
      </c>
    </row>
    <row r="10" spans="2:15" x14ac:dyDescent="0.3">
      <c r="B10" s="1">
        <v>45954</v>
      </c>
      <c r="C10" s="20">
        <f>SUMIFS(Table14[Debit], Table14[Date], Table11[[#This Row],[Date]], Table14[Party],"Salary", Table14[Description],Table11[[#This Row],[Column1]])</f>
        <v>0</v>
      </c>
      <c r="D10" t="s">
        <v>176</v>
      </c>
      <c r="H10" s="1">
        <v>45954</v>
      </c>
      <c r="I10">
        <f>SUMIFS(Table14[Debit], Table14[Date], Table16[[#This Row],[Date]], Table14[Party], "Advance Salary", Table14[Description], Table16[[#This Row],[Person]] )</f>
        <v>0</v>
      </c>
      <c r="J10" t="s">
        <v>177</v>
      </c>
    </row>
    <row r="11" spans="2:15" x14ac:dyDescent="0.3">
      <c r="B11" s="1">
        <v>45955</v>
      </c>
      <c r="C11" s="20">
        <f>SUMIFS(Table14[Debit], Table14[Date], Table11[[#This Row],[Date]], Table14[Party],"Salary ",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 Table14[Description],Table11[[#This Row],[Column1]])</f>
        <v>0</v>
      </c>
      <c r="H13" s="1">
        <v>45957</v>
      </c>
      <c r="I13">
        <f>SUMIFS(Table14[Debit], Table14[Date], Table16[[#This Row],[Date]], Table14[Party], "Advance Salary", Table14[Description], Table16[[#This Row],[Person]] )</f>
        <v>0</v>
      </c>
      <c r="J13" t="s">
        <v>167</v>
      </c>
    </row>
    <row r="14" spans="2:15" x14ac:dyDescent="0.3">
      <c r="B14" s="1">
        <v>45958</v>
      </c>
      <c r="C14" s="20">
        <f>SUMIFS(Table14[Debit], Table14[Date], Table11[[#This Row],[Date]], Table14[Party],"Salary ",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 Table14[Description],Table11[[#This Row],[Column1]])</f>
        <v>0</v>
      </c>
      <c r="H16" s="1">
        <v>45960</v>
      </c>
      <c r="I16">
        <f>SUMIFS(Table14[Debit], Table14[Date], Table16[[#This Row],[Date]], Table14[Party], "Advance Salary", Table14[Description], Table16[[#This Row],[Person]] )</f>
        <v>0</v>
      </c>
    </row>
    <row r="17" spans="2:10" x14ac:dyDescent="0.3">
      <c r="B17" s="1">
        <v>45961</v>
      </c>
      <c r="C17" s="20">
        <f>SUMIFS(Table14[Debit], Table14[Date], Table11[[#This Row],[Date]], Table14[Party],"Salary ", Table14[Description],Table11[[#This Row],[Column1]])</f>
        <v>0</v>
      </c>
      <c r="H17" s="1">
        <v>45961</v>
      </c>
      <c r="I17">
        <f>SUMIFS(Table14[Debit], Table14[Date], Table16[[#This Row],[Date]], Table14[Party], "Advance Salary", Table14[Description], Table16[[#This Row],[Person]] )</f>
        <v>0</v>
      </c>
    </row>
    <row r="18" spans="2:10" x14ac:dyDescent="0.3">
      <c r="B18" s="1">
        <v>45962</v>
      </c>
      <c r="C18" s="20">
        <f>SUMIFS(Table14[Debit], Table14[Date], Table11[[#This Row],[Date]], Table14[Party],"Salary ", Table14[Description],Table11[[#This Row],[Column1]])</f>
        <v>0</v>
      </c>
      <c r="H18" s="1">
        <v>45962</v>
      </c>
      <c r="I18">
        <f>SUMIFS(Table14[Debit], Table14[Date], Table16[[#This Row],[Date]], Table14[Party], "Advance Salary", Table14[Description], Table16[[#This Row],[Person]] )</f>
        <v>0</v>
      </c>
    </row>
    <row r="19" spans="2:10" x14ac:dyDescent="0.3">
      <c r="B19" s="1">
        <v>45963</v>
      </c>
      <c r="C19" s="20">
        <f>SUMIFS(Table14[Debit], Table14[Date], Table11[[#This Row],[Date]], Table14[Party],"Salary ", Table14[Description],Table11[[#This Row],[Column1]])</f>
        <v>0</v>
      </c>
      <c r="H19" s="1">
        <v>45963</v>
      </c>
      <c r="I19">
        <f>SUMIFS(Table14[Debit], Table14[Date], Table16[[#This Row],[Date]], Table14[Party], "Advance Salary", Table14[Description], Table16[[#This Row],[Person]] )</f>
        <v>0</v>
      </c>
    </row>
    <row r="20" spans="2:10" x14ac:dyDescent="0.3">
      <c r="B20" s="1">
        <v>45964</v>
      </c>
      <c r="C20" s="20">
        <f>SUMIFS(Table14[Debit], Table14[Date], Table11[[#This Row],[Date]], Table14[Party],"Salary ", Table14[Description],Table11[[#This Row],[Column1]])</f>
        <v>0</v>
      </c>
      <c r="H20" s="1">
        <v>45964</v>
      </c>
      <c r="I20">
        <f>SUMIFS(Table14[Debit], Table14[Date], Table16[[#This Row],[Date]], Table14[Party], "Advance Salary", Table14[Description], Table16[[#This Row],[Person]] )</f>
        <v>0</v>
      </c>
      <c r="J20" t="s">
        <v>168</v>
      </c>
    </row>
    <row r="21" spans="2:10" x14ac:dyDescent="0.3">
      <c r="B21" s="1">
        <v>45965</v>
      </c>
      <c r="C21" s="20">
        <f>SUMIFS(Table14[Debit], Table14[Date], Table11[[#This Row],[Date]], Table14[Party],"Salary ", Table14[Description],Table11[[#This Row],[Column1]])</f>
        <v>0</v>
      </c>
      <c r="H21" s="1">
        <v>45965</v>
      </c>
      <c r="I21">
        <f>SUMIFS(Table14[Debit], Table14[Date], Table16[[#This Row],[Date]], Table14[Party], "Advance Salary", Table14[Description], Table16[[#This Row],[Person]] )</f>
        <v>0</v>
      </c>
      <c r="J21" t="s">
        <v>184</v>
      </c>
    </row>
    <row r="22" spans="2:10" x14ac:dyDescent="0.3">
      <c r="B22" s="1">
        <v>45966</v>
      </c>
      <c r="C22" s="20">
        <f>SUMIFS(Table14[Debit], Table14[Date], Table11[[#This Row],[Date]], Table14[Party],"Salary ", Table14[Description],Table11[[#This Row],[Column1]])</f>
        <v>0</v>
      </c>
      <c r="H22" s="1">
        <v>45966</v>
      </c>
      <c r="I22">
        <f>SUMIFS(Table14[Debit], Table14[Date], Table16[[#This Row],[Date]], Table14[Party], "Advance Salary", Table14[Description], Table16[[#This Row],[Person]] )</f>
        <v>0</v>
      </c>
      <c r="J22" t="s">
        <v>196</v>
      </c>
    </row>
    <row r="23" spans="2:10" x14ac:dyDescent="0.3">
      <c r="B23" s="1">
        <v>45967</v>
      </c>
      <c r="C23" s="20">
        <f>SUMIFS(Table14[Debit], Table14[Date], Table11[[#This Row],[Date]], Table14[Party],"Salary ", Table14[Description],Table11[[#This Row],[Column1]])</f>
        <v>0</v>
      </c>
      <c r="H23" s="1">
        <v>45967</v>
      </c>
      <c r="I23">
        <f>SUMIFS(Table14[Debit], Table14[Date], Table16[[#This Row],[Date]], Table14[Party], "Advance Salary", Table14[Description], Table16[[#This Row],[Person]] )</f>
        <v>0</v>
      </c>
      <c r="J23" t="s">
        <v>190</v>
      </c>
    </row>
    <row r="24" spans="2:10" x14ac:dyDescent="0.3">
      <c r="B24" s="1">
        <v>45968</v>
      </c>
      <c r="C24" s="20">
        <f>SUMIFS(Table14[Debit], Table14[Date], Table11[[#This Row],[Date]], Table14[Party],"Salary ", Table14[Description],Table11[[#This Row],[Column1]])</f>
        <v>0</v>
      </c>
      <c r="H24" s="1">
        <v>45968</v>
      </c>
      <c r="I24">
        <f>SUMIFS(Table14[Debit], Table14[Date], Table16[[#This Row],[Date]], Table14[Party], "Advance Salary", Table14[Description], Table16[[#This Row],[Person]] )</f>
        <v>0</v>
      </c>
      <c r="J24" t="s">
        <v>170</v>
      </c>
    </row>
    <row r="25" spans="2:10" x14ac:dyDescent="0.3">
      <c r="B25" s="1">
        <v>45969</v>
      </c>
      <c r="C25" s="20">
        <f>SUMIFS(Table14[Debit], Table14[Date], Table11[[#This Row],[Date]], Table14[Party],"Salary", Table14[Description],Table11[[#This Row],[Column1]])</f>
        <v>0</v>
      </c>
      <c r="D25" t="s">
        <v>179</v>
      </c>
      <c r="H25" s="1">
        <v>45969</v>
      </c>
      <c r="I25">
        <f>SUMIFS(Table14[Debit], Table14[Date], Table16[[#This Row],[Date]], Table14[Party], "Advance Salary", Table14[Description], Table16[[#This Row],[Person]] )</f>
        <v>0</v>
      </c>
      <c r="J25" t="s">
        <v>180</v>
      </c>
    </row>
    <row r="26" spans="2:10" x14ac:dyDescent="0.3">
      <c r="B26" s="1">
        <v>45970</v>
      </c>
      <c r="C26" s="20">
        <f>SUMIFS(Table14[Debit], Table14[Date], Table11[[#This Row],[Date]], Table14[Party],"Salary", Table14[Description],Table11[[#This Row],[Column1]])</f>
        <v>0</v>
      </c>
      <c r="D26" t="s">
        <v>171</v>
      </c>
      <c r="H26" s="1">
        <v>45970</v>
      </c>
      <c r="I26">
        <f>SUMIFS(Table14[Debit], Table14[Date], Table16[[#This Row],[Date]], Table14[Party], "Advance Salary", Table14[Description], Table16[[#This Row],[Person]] )</f>
        <v>0</v>
      </c>
      <c r="J26" t="s">
        <v>196</v>
      </c>
    </row>
    <row r="27" spans="2:10" x14ac:dyDescent="0.3">
      <c r="B27" s="1">
        <v>45971</v>
      </c>
      <c r="C27" s="20">
        <f>SUMIFS(Table14[Debit], Table14[Date], Table11[[#This Row],[Date]], Table14[Party],"Salary", Table14[Description],Table11[[#This Row],[Column1]])</f>
        <v>0</v>
      </c>
      <c r="D27" t="s">
        <v>200</v>
      </c>
      <c r="H27" s="1">
        <v>45971</v>
      </c>
      <c r="I27">
        <f>SUMIFS(Table14[Debit], Table14[Date], Table16[[#This Row],[Date]], Table14[Party], "Advance Salary", Table14[Description], Table16[[#This Row],[Person]] )</f>
        <v>0</v>
      </c>
      <c r="J27" t="s">
        <v>197</v>
      </c>
    </row>
    <row r="28" spans="2:10" x14ac:dyDescent="0.3">
      <c r="B28" s="1">
        <v>45972</v>
      </c>
      <c r="C28" s="20">
        <f>SUMIFS(Table14[Debit], Table14[Date], Table11[[#This Row],[Date]], Table14[Party],"Salary", Table14[Description],Table11[[#This Row],[Column1]])</f>
        <v>0</v>
      </c>
      <c r="D28" t="s">
        <v>201</v>
      </c>
      <c r="H28" s="1">
        <v>45972</v>
      </c>
      <c r="I28">
        <f>SUMIFS(Table14[Debit], Table14[Date], Table16[[#This Row],[Date]], Table14[Party], "Advance Salary", Table14[Description], Table16[[#This Row],[Person]] )</f>
        <v>0</v>
      </c>
      <c r="J28" t="s">
        <v>194</v>
      </c>
    </row>
    <row r="29" spans="2:10" x14ac:dyDescent="0.3">
      <c r="B29" s="1">
        <v>45973</v>
      </c>
      <c r="C29" s="20">
        <f>SUMIFS(Table14[Debit], Table14[Date], Table11[[#This Row],[Date]], Table14[Party],"Salary", Table14[Description],Table11[[#This Row],[Column1]])</f>
        <v>0</v>
      </c>
      <c r="D29" t="s">
        <v>198</v>
      </c>
      <c r="H29" s="1">
        <v>45973</v>
      </c>
      <c r="I29">
        <f>SUMIFS(Table14[Debit], Table14[Date], Table16[[#This Row],[Date]], Table14[Party], "Advance Salary", Table14[Description], Table16[[#This Row],[Person]] )</f>
        <v>0</v>
      </c>
      <c r="J29" t="s">
        <v>195</v>
      </c>
    </row>
    <row r="30" spans="2:10"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c r="J30" t="s">
        <v>171</v>
      </c>
    </row>
    <row r="31" spans="2:10" x14ac:dyDescent="0.3">
      <c r="B31" s="1">
        <v>45975</v>
      </c>
      <c r="C31" s="20">
        <f>SUMIFS(Table14[Debit], Table14[Date], Table11[[#This Row],[Date]], Table14[Party],"Salary", Table14[Description],Table11[[#This Row],[Column1]])</f>
        <v>0</v>
      </c>
      <c r="D31" t="s">
        <v>171</v>
      </c>
      <c r="H31" s="1">
        <v>45975</v>
      </c>
      <c r="I31">
        <f>SUMIFS(Table14[Debit], Table14[Date], Table16[[#This Row],[Date]], Table14[Party], "Advance Salary", Table14[Description], Table16[[#This Row],[Person]] )</f>
        <v>0</v>
      </c>
    </row>
    <row r="32" spans="2:10" x14ac:dyDescent="0.3">
      <c r="B32" s="1">
        <v>45976</v>
      </c>
      <c r="C32" s="20">
        <f>SUMIFS(Table14[Debit], Table14[Date], Table11[[#This Row],[Date]], Table14[Party],"Salary", Table14[Description],Table11[[#This Row],[Column1]])</f>
        <v>0</v>
      </c>
      <c r="D32" t="s">
        <v>170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D33" t="s">
        <v>179</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0" t="s">
        <v>2</v>
      </c>
      <c r="B1" s="14" t="s">
        <v>88</v>
      </c>
      <c r="C1" s="14"/>
    </row>
    <row r="2" spans="1:12" x14ac:dyDescent="0.3">
      <c r="A2" s="36" t="s">
        <v>28</v>
      </c>
      <c r="B2" s="38">
        <f ca="1">SUM(B4:INDEX(B:B, MATCH(1E+100, B:B)-1))</f>
        <v>1902618.0197512801</v>
      </c>
      <c r="C2" s="37">
        <f>GETPIVOTDATA("Sum of Tiyaar/gaz",$A$3)</f>
        <v>0</v>
      </c>
      <c r="D2" s="36">
        <f ca="1">((B2*48)+((C2/1.0936)*10))/C2</f>
        <v>54.285827691161025</v>
      </c>
      <c r="J2">
        <v>48</v>
      </c>
    </row>
    <row r="3" spans="1:12" x14ac:dyDescent="0.3">
      <c r="A3" s="39" t="s">
        <v>143</v>
      </c>
      <c r="B3" s="40" t="s">
        <v>144</v>
      </c>
      <c r="C3" s="41" t="s">
        <v>89</v>
      </c>
      <c r="D3" s="37" t="s">
        <v>145</v>
      </c>
      <c r="E3" s="11" t="s">
        <v>146</v>
      </c>
      <c r="F3" s="11" t="str">
        <f t="shared" ref="F3:F38" si="0">C3</f>
        <v>Sum of Tiyaar/gaz</v>
      </c>
      <c r="G3" s="83" t="s">
        <v>82</v>
      </c>
      <c r="H3" s="11" t="s">
        <v>147</v>
      </c>
      <c r="I3" s="34" t="s">
        <v>148</v>
      </c>
    </row>
    <row r="4" spans="1:12" x14ac:dyDescent="0.3">
      <c r="A4" s="16" t="s">
        <v>106</v>
      </c>
      <c r="B4" s="14"/>
      <c r="C4" s="14"/>
      <c r="D4" s="33" t="e">
        <f>I4</f>
        <v>#DIV/0!</v>
      </c>
      <c r="E4" s="11">
        <f>B4 * 1.0936</f>
        <v>0</v>
      </c>
      <c r="F4" s="11">
        <f t="shared" si="0"/>
        <v>0</v>
      </c>
      <c r="G4" s="84"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4"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4"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4" t="e">
        <f t="shared" si="4"/>
        <v>#DIV/0!</v>
      </c>
      <c r="H7" s="33">
        <f t="shared" si="3"/>
        <v>0</v>
      </c>
      <c r="I7" s="33" t="e">
        <f>((B7*48)+(H7*10))/C7</f>
        <v>#DIV/0!</v>
      </c>
      <c r="J7" s="33"/>
      <c r="K7" s="33"/>
      <c r="L7" s="33"/>
    </row>
    <row r="8" spans="1:12" x14ac:dyDescent="0.3">
      <c r="D8" s="33" t="e">
        <f t="shared" si="1"/>
        <v>#DIV/0!</v>
      </c>
      <c r="E8" s="11">
        <f t="shared" si="2"/>
        <v>0</v>
      </c>
      <c r="F8" s="11">
        <f t="shared" si="0"/>
        <v>0</v>
      </c>
      <c r="G8" s="84"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4" t="e">
        <f t="shared" si="4"/>
        <v>#DIV/0!</v>
      </c>
      <c r="H9" s="33">
        <f t="shared" si="3"/>
        <v>0</v>
      </c>
      <c r="I9" s="33" t="e">
        <f t="shared" si="5"/>
        <v>#DIV/0!</v>
      </c>
      <c r="J9" s="33"/>
      <c r="K9" s="33"/>
      <c r="L9" s="33"/>
    </row>
    <row r="10" spans="1:12" x14ac:dyDescent="0.3">
      <c r="D10" s="33" t="e">
        <f t="shared" si="1"/>
        <v>#DIV/0!</v>
      </c>
      <c r="E10" s="11">
        <f t="shared" si="2"/>
        <v>0</v>
      </c>
      <c r="F10" s="11">
        <f t="shared" si="0"/>
        <v>0</v>
      </c>
      <c r="G10" s="84" t="e">
        <f t="shared" si="4"/>
        <v>#DIV/0!</v>
      </c>
      <c r="H10" s="33">
        <f t="shared" si="3"/>
        <v>0</v>
      </c>
      <c r="I10" s="33" t="e">
        <f t="shared" si="5"/>
        <v>#DIV/0!</v>
      </c>
      <c r="J10" s="33"/>
      <c r="K10" s="33"/>
      <c r="L10" s="33"/>
    </row>
    <row r="11" spans="1:12" x14ac:dyDescent="0.3">
      <c r="D11" s="33"/>
      <c r="E11" s="11">
        <f t="shared" si="2"/>
        <v>0</v>
      </c>
      <c r="F11" s="11">
        <f t="shared" si="0"/>
        <v>0</v>
      </c>
      <c r="G11" s="84" t="e">
        <f t="shared" si="4"/>
        <v>#DIV/0!</v>
      </c>
      <c r="H11" s="33">
        <f t="shared" si="3"/>
        <v>0</v>
      </c>
      <c r="I11" s="33" t="e">
        <f t="shared" si="5"/>
        <v>#DIV/0!</v>
      </c>
      <c r="J11" s="33"/>
      <c r="K11" s="33"/>
      <c r="L11" s="33"/>
    </row>
    <row r="12" spans="1:12" x14ac:dyDescent="0.3">
      <c r="D12" s="33" t="e">
        <f t="shared" si="1"/>
        <v>#DIV/0!</v>
      </c>
      <c r="E12" s="11">
        <f t="shared" si="2"/>
        <v>0</v>
      </c>
      <c r="F12" s="11">
        <f t="shared" si="0"/>
        <v>0</v>
      </c>
      <c r="G12" s="84" t="e">
        <f t="shared" si="4"/>
        <v>#DIV/0!</v>
      </c>
      <c r="H12" s="33">
        <f t="shared" si="3"/>
        <v>0</v>
      </c>
      <c r="I12" s="33" t="e">
        <f t="shared" si="5"/>
        <v>#DIV/0!</v>
      </c>
    </row>
    <row r="13" spans="1:12" x14ac:dyDescent="0.3">
      <c r="D13" s="33" t="e">
        <f t="shared" si="1"/>
        <v>#DIV/0!</v>
      </c>
      <c r="E13" s="11">
        <f t="shared" si="2"/>
        <v>0</v>
      </c>
      <c r="F13" s="11">
        <f t="shared" si="0"/>
        <v>0</v>
      </c>
      <c r="G13" s="84" t="e">
        <f t="shared" si="4"/>
        <v>#DIV/0!</v>
      </c>
      <c r="H13" s="33">
        <f t="shared" si="3"/>
        <v>0</v>
      </c>
      <c r="I13" s="33" t="e">
        <f t="shared" si="5"/>
        <v>#DIV/0!</v>
      </c>
    </row>
    <row r="14" spans="1:12" x14ac:dyDescent="0.3">
      <c r="D14" s="33" t="e">
        <f t="shared" si="1"/>
        <v>#DIV/0!</v>
      </c>
      <c r="E14" s="11">
        <f t="shared" si="2"/>
        <v>0</v>
      </c>
      <c r="F14" s="11">
        <f t="shared" si="0"/>
        <v>0</v>
      </c>
      <c r="G14" s="84" t="e">
        <f t="shared" si="4"/>
        <v>#DIV/0!</v>
      </c>
      <c r="H14" s="33">
        <f t="shared" si="3"/>
        <v>0</v>
      </c>
      <c r="I14" s="33" t="e">
        <f t="shared" si="5"/>
        <v>#DIV/0!</v>
      </c>
    </row>
    <row r="15" spans="1:12" x14ac:dyDescent="0.3">
      <c r="D15" s="33" t="e">
        <f t="shared" si="1"/>
        <v>#DIV/0!</v>
      </c>
      <c r="E15" s="11">
        <f>B15 * 1.0936</f>
        <v>0</v>
      </c>
      <c r="F15" s="11">
        <f t="shared" si="0"/>
        <v>0</v>
      </c>
      <c r="G15" s="84" t="e">
        <f t="shared" si="4"/>
        <v>#DIV/0!</v>
      </c>
      <c r="H15" s="33">
        <f t="shared" si="3"/>
        <v>0</v>
      </c>
      <c r="I15" s="33" t="e">
        <f>((B15*48)+(H15*10))/C15</f>
        <v>#DIV/0!</v>
      </c>
    </row>
    <row r="16" spans="1:12" x14ac:dyDescent="0.3">
      <c r="D16" s="33" t="e">
        <f t="shared" si="1"/>
        <v>#DIV/0!</v>
      </c>
      <c r="E16" s="11">
        <f t="shared" si="2"/>
        <v>0</v>
      </c>
      <c r="F16" s="11">
        <f t="shared" si="0"/>
        <v>0</v>
      </c>
      <c r="G16" s="84" t="e">
        <f t="shared" si="4"/>
        <v>#DIV/0!</v>
      </c>
      <c r="H16" s="33">
        <f t="shared" si="3"/>
        <v>0</v>
      </c>
      <c r="I16" s="33" t="e">
        <f>((B16*48)+(H16*10))/C16</f>
        <v>#DIV/0!</v>
      </c>
    </row>
    <row r="17" spans="4:9" x14ac:dyDescent="0.3">
      <c r="D17" s="33" t="e">
        <f t="shared" si="1"/>
        <v>#DIV/0!</v>
      </c>
      <c r="E17" s="11">
        <f t="shared" si="2"/>
        <v>0</v>
      </c>
      <c r="F17" s="11">
        <f t="shared" si="0"/>
        <v>0</v>
      </c>
      <c r="G17" s="84" t="e">
        <f t="shared" si="4"/>
        <v>#DIV/0!</v>
      </c>
      <c r="H17" s="33">
        <f t="shared" si="3"/>
        <v>0</v>
      </c>
      <c r="I17" s="33" t="e">
        <f>((B17*48)+(H17*10))/C17</f>
        <v>#DIV/0!</v>
      </c>
    </row>
    <row r="18" spans="4:9" x14ac:dyDescent="0.3">
      <c r="D18" s="33" t="e">
        <f t="shared" si="1"/>
        <v>#DIV/0!</v>
      </c>
      <c r="E18" s="11">
        <f t="shared" si="2"/>
        <v>0</v>
      </c>
      <c r="F18" s="11">
        <f t="shared" si="0"/>
        <v>0</v>
      </c>
      <c r="G18" s="84" t="e">
        <f t="shared" si="4"/>
        <v>#DIV/0!</v>
      </c>
      <c r="H18" s="33">
        <f t="shared" si="3"/>
        <v>0</v>
      </c>
      <c r="I18" s="33" t="e">
        <f>((B18*48)+(H18*10))/C18</f>
        <v>#DIV/0!</v>
      </c>
    </row>
    <row r="19" spans="4:9" x14ac:dyDescent="0.3">
      <c r="D19" s="33" t="e">
        <f t="shared" si="1"/>
        <v>#DIV/0!</v>
      </c>
      <c r="E19" s="11">
        <f t="shared" si="2"/>
        <v>0</v>
      </c>
      <c r="F19" s="11">
        <f t="shared" si="0"/>
        <v>0</v>
      </c>
      <c r="G19" s="84" t="e">
        <f t="shared" ref="G19:G38" si="6">100- (F19/E19 *100)</f>
        <v>#DIV/0!</v>
      </c>
      <c r="H19" s="33">
        <f t="shared" si="3"/>
        <v>0</v>
      </c>
      <c r="I19" s="33" t="e">
        <f t="shared" si="5"/>
        <v>#DIV/0!</v>
      </c>
    </row>
    <row r="20" spans="4:9" x14ac:dyDescent="0.3">
      <c r="D20" s="33" t="e">
        <f t="shared" si="1"/>
        <v>#DIV/0!</v>
      </c>
      <c r="E20" s="11">
        <f>B20 * 1.0936</f>
        <v>0</v>
      </c>
      <c r="F20" s="11">
        <f t="shared" si="0"/>
        <v>0</v>
      </c>
      <c r="G20" s="84" t="e">
        <f t="shared" si="6"/>
        <v>#DIV/0!</v>
      </c>
      <c r="H20" s="33">
        <f t="shared" si="3"/>
        <v>0</v>
      </c>
      <c r="I20" s="33" t="e">
        <f t="shared" si="5"/>
        <v>#DIV/0!</v>
      </c>
    </row>
    <row r="21" spans="4:9" x14ac:dyDescent="0.3">
      <c r="D21" s="33" t="e">
        <f t="shared" si="1"/>
        <v>#DIV/0!</v>
      </c>
      <c r="E21" s="11">
        <f t="shared" si="2"/>
        <v>0</v>
      </c>
      <c r="F21" s="11">
        <f t="shared" si="0"/>
        <v>0</v>
      </c>
      <c r="G21" s="84" t="e">
        <f t="shared" si="6"/>
        <v>#DIV/0!</v>
      </c>
      <c r="H21" s="33">
        <f t="shared" si="3"/>
        <v>0</v>
      </c>
      <c r="I21" s="33" t="e">
        <f t="shared" si="5"/>
        <v>#DIV/0!</v>
      </c>
    </row>
    <row r="22" spans="4:9" x14ac:dyDescent="0.3">
      <c r="D22" s="33" t="e">
        <f t="shared" si="1"/>
        <v>#DIV/0!</v>
      </c>
      <c r="E22" s="11">
        <f t="shared" si="2"/>
        <v>0</v>
      </c>
      <c r="F22" s="11">
        <f t="shared" si="0"/>
        <v>0</v>
      </c>
      <c r="G22" s="84" t="e">
        <f t="shared" si="6"/>
        <v>#DIV/0!</v>
      </c>
      <c r="H22" s="33">
        <f t="shared" si="3"/>
        <v>0</v>
      </c>
      <c r="I22" s="33" t="e">
        <f t="shared" si="5"/>
        <v>#DIV/0!</v>
      </c>
    </row>
    <row r="23" spans="4:9" x14ac:dyDescent="0.3">
      <c r="D23" s="33" t="e">
        <f t="shared" si="1"/>
        <v>#DIV/0!</v>
      </c>
      <c r="E23" s="11">
        <f t="shared" si="2"/>
        <v>0</v>
      </c>
      <c r="F23" s="11">
        <f t="shared" si="0"/>
        <v>0</v>
      </c>
      <c r="G23" s="84" t="e">
        <f t="shared" si="6"/>
        <v>#DIV/0!</v>
      </c>
      <c r="H23" s="33">
        <f t="shared" si="3"/>
        <v>0</v>
      </c>
      <c r="I23" s="33" t="e">
        <f t="shared" si="5"/>
        <v>#DIV/0!</v>
      </c>
    </row>
    <row r="24" spans="4:9" x14ac:dyDescent="0.3">
      <c r="D24" s="33" t="e">
        <f t="shared" si="1"/>
        <v>#DIV/0!</v>
      </c>
      <c r="E24" s="11">
        <f t="shared" si="2"/>
        <v>0</v>
      </c>
      <c r="F24" s="11">
        <f t="shared" si="0"/>
        <v>0</v>
      </c>
      <c r="G24" s="84" t="e">
        <f t="shared" si="6"/>
        <v>#DIV/0!</v>
      </c>
      <c r="H24" s="33">
        <f t="shared" si="3"/>
        <v>0</v>
      </c>
      <c r="I24" s="33" t="e">
        <f t="shared" si="5"/>
        <v>#DIV/0!</v>
      </c>
    </row>
    <row r="25" spans="4:9" x14ac:dyDescent="0.3">
      <c r="D25" s="33" t="e">
        <f t="shared" si="1"/>
        <v>#DIV/0!</v>
      </c>
      <c r="E25" s="11">
        <f t="shared" si="2"/>
        <v>0</v>
      </c>
      <c r="F25" s="11">
        <f t="shared" si="0"/>
        <v>0</v>
      </c>
      <c r="G25" s="84" t="e">
        <f t="shared" si="6"/>
        <v>#DIV/0!</v>
      </c>
      <c r="H25" s="33">
        <f t="shared" si="3"/>
        <v>0</v>
      </c>
      <c r="I25" s="33" t="e">
        <f t="shared" si="5"/>
        <v>#DIV/0!</v>
      </c>
    </row>
    <row r="26" spans="4:9" x14ac:dyDescent="0.3">
      <c r="D26" s="33" t="e">
        <f t="shared" si="1"/>
        <v>#DIV/0!</v>
      </c>
      <c r="E26" s="11">
        <f t="shared" si="2"/>
        <v>0</v>
      </c>
      <c r="F26" s="11">
        <f t="shared" si="0"/>
        <v>0</v>
      </c>
      <c r="G26" s="84" t="e">
        <f t="shared" si="6"/>
        <v>#DIV/0!</v>
      </c>
      <c r="H26" s="33">
        <f t="shared" si="3"/>
        <v>0</v>
      </c>
      <c r="I26" s="33" t="e">
        <f t="shared" si="5"/>
        <v>#DIV/0!</v>
      </c>
    </row>
    <row r="27" spans="4:9" x14ac:dyDescent="0.3">
      <c r="D27" s="33" t="e">
        <f t="shared" si="1"/>
        <v>#DIV/0!</v>
      </c>
      <c r="E27" s="11">
        <f t="shared" si="2"/>
        <v>0</v>
      </c>
      <c r="F27" s="11">
        <f t="shared" si="0"/>
        <v>0</v>
      </c>
      <c r="G27" s="84" t="e">
        <f t="shared" si="6"/>
        <v>#DIV/0!</v>
      </c>
      <c r="H27" s="33">
        <f t="shared" si="3"/>
        <v>0</v>
      </c>
      <c r="I27" s="33" t="e">
        <f t="shared" si="5"/>
        <v>#DIV/0!</v>
      </c>
    </row>
    <row r="28" spans="4:9" x14ac:dyDescent="0.3">
      <c r="D28" s="33" t="e">
        <f t="shared" si="1"/>
        <v>#DIV/0!</v>
      </c>
      <c r="E28" s="11">
        <f t="shared" si="2"/>
        <v>0</v>
      </c>
      <c r="F28" s="11">
        <f t="shared" si="0"/>
        <v>0</v>
      </c>
      <c r="G28" s="84" t="e">
        <f t="shared" si="6"/>
        <v>#DIV/0!</v>
      </c>
      <c r="H28" s="33">
        <f t="shared" si="3"/>
        <v>0</v>
      </c>
      <c r="I28" s="33" t="e">
        <f t="shared" si="5"/>
        <v>#DIV/0!</v>
      </c>
    </row>
    <row r="29" spans="4:9" x14ac:dyDescent="0.3">
      <c r="D29" s="33" t="e">
        <f t="shared" si="1"/>
        <v>#DIV/0!</v>
      </c>
      <c r="E29" s="11">
        <f t="shared" si="2"/>
        <v>0</v>
      </c>
      <c r="F29" s="11">
        <f t="shared" si="0"/>
        <v>0</v>
      </c>
      <c r="G29" s="84" t="e">
        <f t="shared" si="6"/>
        <v>#DIV/0!</v>
      </c>
      <c r="H29" s="33">
        <f t="shared" si="3"/>
        <v>0</v>
      </c>
      <c r="I29" s="33" t="e">
        <f t="shared" si="5"/>
        <v>#DIV/0!</v>
      </c>
    </row>
    <row r="30" spans="4:9" x14ac:dyDescent="0.3">
      <c r="D30" s="33" t="e">
        <f t="shared" si="1"/>
        <v>#DIV/0!</v>
      </c>
      <c r="E30" s="11">
        <f t="shared" si="2"/>
        <v>0</v>
      </c>
      <c r="F30" s="11">
        <f t="shared" si="0"/>
        <v>0</v>
      </c>
      <c r="G30" s="84" t="e">
        <f t="shared" si="6"/>
        <v>#DIV/0!</v>
      </c>
      <c r="H30" s="33">
        <f t="shared" si="3"/>
        <v>0</v>
      </c>
      <c r="I30" s="33" t="e">
        <f t="shared" si="5"/>
        <v>#DIV/0!</v>
      </c>
    </row>
    <row r="31" spans="4:9" x14ac:dyDescent="0.3">
      <c r="D31" s="33" t="e">
        <f t="shared" si="1"/>
        <v>#DIV/0!</v>
      </c>
      <c r="E31" s="11">
        <f t="shared" si="2"/>
        <v>0</v>
      </c>
      <c r="F31" s="11">
        <f t="shared" si="0"/>
        <v>0</v>
      </c>
      <c r="G31" s="84" t="e">
        <f t="shared" si="6"/>
        <v>#DIV/0!</v>
      </c>
      <c r="H31" s="33">
        <f t="shared" si="3"/>
        <v>0</v>
      </c>
      <c r="I31" s="33" t="e">
        <f t="shared" si="5"/>
        <v>#DIV/0!</v>
      </c>
    </row>
    <row r="32" spans="4:9" x14ac:dyDescent="0.3">
      <c r="D32" s="33" t="e">
        <f t="shared" si="1"/>
        <v>#DIV/0!</v>
      </c>
      <c r="E32" s="11">
        <f t="shared" si="2"/>
        <v>0</v>
      </c>
      <c r="F32" s="11">
        <f t="shared" si="0"/>
        <v>0</v>
      </c>
      <c r="G32" s="84"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4"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4" t="e">
        <f t="shared" si="10"/>
        <v>#DIV/0!</v>
      </c>
      <c r="H34" s="33">
        <f t="shared" si="11"/>
        <v>0</v>
      </c>
      <c r="I34" s="33" t="e">
        <f t="shared" si="12"/>
        <v>#DIV/0!</v>
      </c>
    </row>
    <row r="35" spans="4:9" x14ac:dyDescent="0.3">
      <c r="D35" s="33" t="e">
        <f t="shared" si="7"/>
        <v>#DIV/0!</v>
      </c>
      <c r="E35" s="11">
        <f t="shared" si="8"/>
        <v>0</v>
      </c>
      <c r="F35" s="11">
        <f t="shared" si="9"/>
        <v>0</v>
      </c>
      <c r="G35" s="84" t="e">
        <f t="shared" si="10"/>
        <v>#DIV/0!</v>
      </c>
      <c r="H35" s="33">
        <f t="shared" si="11"/>
        <v>0</v>
      </c>
      <c r="I35" s="33" t="e">
        <f t="shared" si="12"/>
        <v>#DIV/0!</v>
      </c>
    </row>
    <row r="36" spans="4:9" x14ac:dyDescent="0.3">
      <c r="D36" s="33" t="e">
        <f t="shared" si="7"/>
        <v>#DIV/0!</v>
      </c>
      <c r="E36" s="11">
        <f t="shared" si="8"/>
        <v>0</v>
      </c>
      <c r="F36" s="11">
        <f t="shared" si="9"/>
        <v>0</v>
      </c>
      <c r="G36" s="84" t="e">
        <f t="shared" si="10"/>
        <v>#DIV/0!</v>
      </c>
      <c r="H36" s="33">
        <f t="shared" si="11"/>
        <v>0</v>
      </c>
      <c r="I36" s="33" t="e">
        <f t="shared" si="12"/>
        <v>#DIV/0!</v>
      </c>
    </row>
    <row r="37" spans="4:9" x14ac:dyDescent="0.3">
      <c r="D37" s="33" t="e">
        <f t="shared" si="7"/>
        <v>#DIV/0!</v>
      </c>
      <c r="E37" s="11">
        <f t="shared" si="8"/>
        <v>0</v>
      </c>
      <c r="F37" s="11">
        <f t="shared" si="9"/>
        <v>0</v>
      </c>
      <c r="G37" s="84" t="e">
        <f t="shared" si="10"/>
        <v>#DIV/0!</v>
      </c>
      <c r="H37" s="33">
        <f t="shared" si="11"/>
        <v>0</v>
      </c>
      <c r="I37" s="33" t="e">
        <f t="shared" si="12"/>
        <v>#DIV/0!</v>
      </c>
    </row>
    <row r="38" spans="4:9" x14ac:dyDescent="0.3">
      <c r="D38" s="33" t="e">
        <f t="shared" si="1"/>
        <v>#DIV/0!</v>
      </c>
      <c r="E38" s="11">
        <f t="shared" si="2"/>
        <v>0</v>
      </c>
      <c r="F38" s="11">
        <f t="shared" si="0"/>
        <v>0</v>
      </c>
      <c r="G38" s="84"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4"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4" t="e">
        <f t="shared" si="16"/>
        <v>#DIV/0!</v>
      </c>
      <c r="H40" s="33">
        <f t="shared" si="17"/>
        <v>0</v>
      </c>
      <c r="I40" s="33" t="e">
        <f t="shared" si="18"/>
        <v>#DIV/0!</v>
      </c>
    </row>
    <row r="41" spans="4:9" x14ac:dyDescent="0.3">
      <c r="D41" s="33" t="e">
        <f t="shared" si="13"/>
        <v>#DIV/0!</v>
      </c>
      <c r="E41" s="11">
        <f t="shared" si="14"/>
        <v>0</v>
      </c>
      <c r="F41" s="11">
        <f t="shared" si="15"/>
        <v>0</v>
      </c>
      <c r="G41" s="84" t="e">
        <f t="shared" si="16"/>
        <v>#DIV/0!</v>
      </c>
      <c r="H41" s="33">
        <f t="shared" si="17"/>
        <v>0</v>
      </c>
      <c r="I41" s="33" t="e">
        <f t="shared" si="18"/>
        <v>#DIV/0!</v>
      </c>
    </row>
    <row r="42" spans="4:9" x14ac:dyDescent="0.3">
      <c r="D42" s="33" t="e">
        <f t="shared" si="13"/>
        <v>#DIV/0!</v>
      </c>
      <c r="E42" s="11">
        <f t="shared" si="14"/>
        <v>0</v>
      </c>
      <c r="F42" s="11">
        <f t="shared" si="15"/>
        <v>0</v>
      </c>
      <c r="G42" s="84" t="e">
        <f t="shared" si="16"/>
        <v>#DIV/0!</v>
      </c>
      <c r="H42" s="33">
        <f t="shared" si="17"/>
        <v>0</v>
      </c>
      <c r="I42" s="33" t="e">
        <f t="shared" si="18"/>
        <v>#DIV/0!</v>
      </c>
    </row>
    <row r="43" spans="4:9" x14ac:dyDescent="0.3">
      <c r="D43" s="33" t="e">
        <f t="shared" si="13"/>
        <v>#DIV/0!</v>
      </c>
      <c r="E43" s="11">
        <f t="shared" si="14"/>
        <v>0</v>
      </c>
      <c r="F43" s="11">
        <f t="shared" si="15"/>
        <v>0</v>
      </c>
      <c r="G43" s="84" t="e">
        <f t="shared" si="16"/>
        <v>#DIV/0!</v>
      </c>
      <c r="H43" s="33">
        <f t="shared" si="17"/>
        <v>0</v>
      </c>
      <c r="I43" s="33" t="e">
        <f t="shared" si="18"/>
        <v>#DIV/0!</v>
      </c>
    </row>
    <row r="44" spans="4:9" x14ac:dyDescent="0.3">
      <c r="D44" s="33" t="e">
        <f t="shared" si="13"/>
        <v>#DIV/0!</v>
      </c>
      <c r="E44" s="11">
        <f t="shared" si="14"/>
        <v>0</v>
      </c>
      <c r="F44" s="11">
        <f t="shared" si="15"/>
        <v>0</v>
      </c>
      <c r="G44" s="84"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4"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4" t="e">
        <f t="shared" si="22"/>
        <v>#DIV/0!</v>
      </c>
      <c r="H46" s="33">
        <f t="shared" si="23"/>
        <v>0</v>
      </c>
      <c r="I46" s="33" t="e">
        <f t="shared" si="24"/>
        <v>#DIV/0!</v>
      </c>
    </row>
    <row r="47" spans="4:9" x14ac:dyDescent="0.3">
      <c r="D47" s="33" t="e">
        <f t="shared" si="19"/>
        <v>#DIV/0!</v>
      </c>
      <c r="E47" s="11">
        <f t="shared" si="20"/>
        <v>0</v>
      </c>
      <c r="F47" s="11">
        <f t="shared" si="21"/>
        <v>0</v>
      </c>
      <c r="G47" s="84" t="e">
        <f t="shared" si="22"/>
        <v>#DIV/0!</v>
      </c>
      <c r="H47" s="33">
        <f t="shared" si="23"/>
        <v>0</v>
      </c>
      <c r="I47" s="33" t="e">
        <f t="shared" si="24"/>
        <v>#DIV/0!</v>
      </c>
    </row>
    <row r="48" spans="4:9" x14ac:dyDescent="0.3">
      <c r="D48" s="33" t="e">
        <f t="shared" si="19"/>
        <v>#DIV/0!</v>
      </c>
      <c r="E48" s="11">
        <f t="shared" si="20"/>
        <v>0</v>
      </c>
      <c r="F48" s="11">
        <f t="shared" si="21"/>
        <v>0</v>
      </c>
      <c r="G48" s="84" t="e">
        <f t="shared" si="22"/>
        <v>#DIV/0!</v>
      </c>
      <c r="H48" s="33">
        <f t="shared" si="23"/>
        <v>0</v>
      </c>
      <c r="I48" s="33" t="e">
        <f t="shared" si="24"/>
        <v>#DIV/0!</v>
      </c>
    </row>
    <row r="49" spans="4:9" x14ac:dyDescent="0.3">
      <c r="D49" s="33" t="e">
        <f t="shared" si="19"/>
        <v>#DIV/0!</v>
      </c>
      <c r="E49" s="11">
        <f t="shared" si="20"/>
        <v>0</v>
      </c>
      <c r="F49" s="11">
        <f t="shared" si="21"/>
        <v>0</v>
      </c>
      <c r="G49" s="84" t="e">
        <f t="shared" si="22"/>
        <v>#DIV/0!</v>
      </c>
      <c r="H49" s="33">
        <f t="shared" si="23"/>
        <v>0</v>
      </c>
      <c r="I49" s="33" t="e">
        <f t="shared" si="24"/>
        <v>#DIV/0!</v>
      </c>
    </row>
    <row r="50" spans="4:9" x14ac:dyDescent="0.3">
      <c r="D50" s="33" t="e">
        <f t="shared" si="19"/>
        <v>#DIV/0!</v>
      </c>
      <c r="E50" s="11">
        <f t="shared" si="20"/>
        <v>0</v>
      </c>
      <c r="F50" s="11">
        <f t="shared" si="21"/>
        <v>0</v>
      </c>
      <c r="G50" s="84" t="e">
        <f t="shared" si="22"/>
        <v>#DIV/0!</v>
      </c>
      <c r="H50" s="33">
        <f t="shared" si="23"/>
        <v>0</v>
      </c>
      <c r="I50" s="33" t="e">
        <f t="shared" si="24"/>
        <v>#DIV/0!</v>
      </c>
    </row>
    <row r="51" spans="4:9" x14ac:dyDescent="0.3">
      <c r="D51" s="33" t="e">
        <f t="shared" si="19"/>
        <v>#DIV/0!</v>
      </c>
      <c r="E51" s="11">
        <f t="shared" si="20"/>
        <v>0</v>
      </c>
      <c r="F51" s="11">
        <f t="shared" si="21"/>
        <v>0</v>
      </c>
      <c r="G51" s="84" t="e">
        <f t="shared" si="22"/>
        <v>#DIV/0!</v>
      </c>
      <c r="H51" s="33">
        <f t="shared" si="23"/>
        <v>0</v>
      </c>
      <c r="I51" s="33" t="e">
        <f t="shared" si="24"/>
        <v>#DIV/0!</v>
      </c>
    </row>
    <row r="52" spans="4:9" x14ac:dyDescent="0.3">
      <c r="D52" s="33" t="e">
        <f t="shared" si="19"/>
        <v>#DIV/0!</v>
      </c>
      <c r="E52" s="11">
        <f t="shared" si="20"/>
        <v>0</v>
      </c>
      <c r="F52" s="11">
        <f t="shared" si="21"/>
        <v>0</v>
      </c>
      <c r="G52" s="84" t="e">
        <f t="shared" si="22"/>
        <v>#DIV/0!</v>
      </c>
      <c r="H52" s="33">
        <f t="shared" si="23"/>
        <v>0</v>
      </c>
      <c r="I52" s="33" t="e">
        <f t="shared" si="24"/>
        <v>#DIV/0!</v>
      </c>
    </row>
    <row r="53" spans="4:9" x14ac:dyDescent="0.3">
      <c r="D53" s="33" t="e">
        <f t="shared" si="19"/>
        <v>#DIV/0!</v>
      </c>
      <c r="E53" s="11">
        <f t="shared" si="20"/>
        <v>0</v>
      </c>
      <c r="F53" s="11">
        <f t="shared" si="21"/>
        <v>0</v>
      </c>
      <c r="G53" s="84" t="e">
        <f t="shared" si="22"/>
        <v>#DIV/0!</v>
      </c>
      <c r="H53" s="33">
        <f t="shared" si="23"/>
        <v>0</v>
      </c>
      <c r="I53" s="33" t="e">
        <f t="shared" si="24"/>
        <v>#DIV/0!</v>
      </c>
    </row>
    <row r="54" spans="4:9" x14ac:dyDescent="0.3">
      <c r="D54" s="33" t="e">
        <f t="shared" si="19"/>
        <v>#DIV/0!</v>
      </c>
      <c r="E54" s="11">
        <f t="shared" si="20"/>
        <v>0</v>
      </c>
      <c r="F54" s="11">
        <f t="shared" si="21"/>
        <v>0</v>
      </c>
      <c r="G54" s="84" t="e">
        <f t="shared" si="22"/>
        <v>#DIV/0!</v>
      </c>
      <c r="H54" s="33">
        <f t="shared" si="23"/>
        <v>0</v>
      </c>
      <c r="I54" s="33" t="e">
        <f t="shared" si="24"/>
        <v>#DIV/0!</v>
      </c>
    </row>
    <row r="55" spans="4:9" x14ac:dyDescent="0.3">
      <c r="D55" s="33" t="e">
        <f t="shared" si="19"/>
        <v>#DIV/0!</v>
      </c>
      <c r="E55" s="11">
        <f t="shared" si="20"/>
        <v>0</v>
      </c>
      <c r="F55" s="11">
        <f t="shared" si="21"/>
        <v>0</v>
      </c>
      <c r="G55" s="84" t="e">
        <f t="shared" si="22"/>
        <v>#DIV/0!</v>
      </c>
      <c r="H55" s="33">
        <f t="shared" si="23"/>
        <v>0</v>
      </c>
      <c r="I55" s="33" t="e">
        <f t="shared" si="24"/>
        <v>#DIV/0!</v>
      </c>
    </row>
    <row r="56" spans="4:9" x14ac:dyDescent="0.3">
      <c r="D56" s="33" t="e">
        <f t="shared" si="19"/>
        <v>#DIV/0!</v>
      </c>
      <c r="E56" s="11">
        <f t="shared" si="20"/>
        <v>0</v>
      </c>
      <c r="F56" s="11">
        <f t="shared" si="21"/>
        <v>0</v>
      </c>
      <c r="G56" s="84" t="e">
        <f t="shared" si="22"/>
        <v>#DIV/0!</v>
      </c>
      <c r="H56" s="33">
        <f t="shared" si="23"/>
        <v>0</v>
      </c>
      <c r="I56" s="33" t="e">
        <f t="shared" si="24"/>
        <v>#DIV/0!</v>
      </c>
    </row>
    <row r="57" spans="4:9" x14ac:dyDescent="0.3">
      <c r="D57" s="33" t="e">
        <f t="shared" si="19"/>
        <v>#DIV/0!</v>
      </c>
      <c r="E57" s="11">
        <f t="shared" si="20"/>
        <v>0</v>
      </c>
      <c r="F57" s="11">
        <f t="shared" si="21"/>
        <v>0</v>
      </c>
      <c r="G57" s="84" t="e">
        <f t="shared" si="22"/>
        <v>#DIV/0!</v>
      </c>
      <c r="H57" s="33">
        <f t="shared" si="23"/>
        <v>0</v>
      </c>
      <c r="I57" s="33" t="e">
        <f t="shared" si="24"/>
        <v>#DIV/0!</v>
      </c>
    </row>
    <row r="58" spans="4:9" x14ac:dyDescent="0.3">
      <c r="D58" s="33" t="e">
        <f t="shared" si="19"/>
        <v>#DIV/0!</v>
      </c>
      <c r="E58" s="11">
        <f t="shared" si="20"/>
        <v>0</v>
      </c>
      <c r="F58" s="11">
        <f t="shared" si="21"/>
        <v>0</v>
      </c>
      <c r="G58" s="84"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4"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4" t="e">
        <f t="shared" si="28"/>
        <v>#DIV/0!</v>
      </c>
      <c r="H60" s="33">
        <f t="shared" si="29"/>
        <v>0</v>
      </c>
      <c r="I60" s="33" t="e">
        <f t="shared" si="30"/>
        <v>#DIV/0!</v>
      </c>
    </row>
    <row r="61" spans="4:9" x14ac:dyDescent="0.3">
      <c r="D61" s="33" t="e">
        <f t="shared" si="25"/>
        <v>#DIV/0!</v>
      </c>
      <c r="E61" s="11">
        <f t="shared" si="26"/>
        <v>0</v>
      </c>
      <c r="F61" s="11">
        <f t="shared" si="27"/>
        <v>0</v>
      </c>
      <c r="G61" s="84" t="e">
        <f t="shared" si="28"/>
        <v>#DIV/0!</v>
      </c>
      <c r="H61" s="33">
        <f t="shared" si="29"/>
        <v>0</v>
      </c>
      <c r="I61" s="33" t="e">
        <f t="shared" si="30"/>
        <v>#DIV/0!</v>
      </c>
    </row>
    <row r="62" spans="4:9" x14ac:dyDescent="0.3">
      <c r="D62" s="33" t="e">
        <f t="shared" si="25"/>
        <v>#DIV/0!</v>
      </c>
      <c r="E62" s="11">
        <f t="shared" si="26"/>
        <v>0</v>
      </c>
      <c r="F62" s="11">
        <f t="shared" si="27"/>
        <v>0</v>
      </c>
      <c r="G62" s="84" t="e">
        <f t="shared" si="28"/>
        <v>#DIV/0!</v>
      </c>
      <c r="H62" s="33">
        <f t="shared" si="29"/>
        <v>0</v>
      </c>
      <c r="I62" s="33" t="e">
        <f t="shared" si="30"/>
        <v>#DIV/0!</v>
      </c>
    </row>
    <row r="63" spans="4:9" x14ac:dyDescent="0.3">
      <c r="D63" s="33" t="e">
        <f t="shared" si="25"/>
        <v>#DIV/0!</v>
      </c>
      <c r="E63" s="11">
        <f t="shared" si="26"/>
        <v>0</v>
      </c>
      <c r="F63" s="11">
        <f t="shared" si="27"/>
        <v>0</v>
      </c>
      <c r="G63" s="84" t="e">
        <f t="shared" si="28"/>
        <v>#DIV/0!</v>
      </c>
      <c r="H63" s="33">
        <f t="shared" si="29"/>
        <v>0</v>
      </c>
      <c r="I63" s="33" t="e">
        <f t="shared" si="30"/>
        <v>#DIV/0!</v>
      </c>
    </row>
    <row r="64" spans="4:9" x14ac:dyDescent="0.3">
      <c r="D64" s="33" t="e">
        <f t="shared" si="25"/>
        <v>#DIV/0!</v>
      </c>
      <c r="E64" s="11">
        <f t="shared" si="26"/>
        <v>0</v>
      </c>
      <c r="F64" s="11">
        <f t="shared" si="27"/>
        <v>0</v>
      </c>
      <c r="G64" s="84" t="e">
        <f t="shared" si="28"/>
        <v>#DIV/0!</v>
      </c>
      <c r="H64" s="33">
        <f t="shared" si="29"/>
        <v>0</v>
      </c>
      <c r="I64" s="33" t="e">
        <f t="shared" si="30"/>
        <v>#DIV/0!</v>
      </c>
    </row>
    <row r="65" spans="4:9" x14ac:dyDescent="0.3">
      <c r="D65" s="33" t="e">
        <f t="shared" si="25"/>
        <v>#DIV/0!</v>
      </c>
      <c r="E65" s="11">
        <f t="shared" si="26"/>
        <v>0</v>
      </c>
      <c r="F65" s="11">
        <f t="shared" si="27"/>
        <v>0</v>
      </c>
      <c r="G65" s="84" t="e">
        <f t="shared" si="28"/>
        <v>#DIV/0!</v>
      </c>
      <c r="H65" s="33">
        <f t="shared" si="29"/>
        <v>0</v>
      </c>
      <c r="I65" s="33" t="e">
        <f t="shared" si="30"/>
        <v>#DIV/0!</v>
      </c>
    </row>
    <row r="66" spans="4:9" x14ac:dyDescent="0.3">
      <c r="D66" s="33" t="e">
        <f t="shared" si="25"/>
        <v>#DIV/0!</v>
      </c>
      <c r="E66" s="11">
        <f t="shared" si="26"/>
        <v>0</v>
      </c>
      <c r="F66" s="11">
        <f t="shared" si="27"/>
        <v>0</v>
      </c>
      <c r="G66" s="84" t="e">
        <f t="shared" si="28"/>
        <v>#DIV/0!</v>
      </c>
      <c r="H66" s="33">
        <f t="shared" si="29"/>
        <v>0</v>
      </c>
      <c r="I66" s="33" t="e">
        <f t="shared" si="30"/>
        <v>#DIV/0!</v>
      </c>
    </row>
    <row r="67" spans="4:9" x14ac:dyDescent="0.3">
      <c r="D67" s="33" t="e">
        <f t="shared" si="25"/>
        <v>#DIV/0!</v>
      </c>
      <c r="E67" s="11">
        <f t="shared" si="26"/>
        <v>0</v>
      </c>
      <c r="F67" s="11">
        <f t="shared" si="27"/>
        <v>0</v>
      </c>
      <c r="G67" s="84" t="e">
        <f t="shared" si="28"/>
        <v>#DIV/0!</v>
      </c>
      <c r="H67" s="33">
        <f t="shared" si="29"/>
        <v>0</v>
      </c>
      <c r="I67" s="33" t="e">
        <f t="shared" si="30"/>
        <v>#DIV/0!</v>
      </c>
    </row>
    <row r="68" spans="4:9" x14ac:dyDescent="0.3">
      <c r="D68" s="33" t="e">
        <f t="shared" si="25"/>
        <v>#DIV/0!</v>
      </c>
      <c r="E68" s="11">
        <f t="shared" si="26"/>
        <v>0</v>
      </c>
      <c r="F68" s="11">
        <f t="shared" si="27"/>
        <v>0</v>
      </c>
      <c r="G68" s="84" t="e">
        <f t="shared" si="28"/>
        <v>#DIV/0!</v>
      </c>
      <c r="H68" s="33">
        <f t="shared" si="29"/>
        <v>0</v>
      </c>
      <c r="I68" s="33" t="e">
        <f t="shared" si="30"/>
        <v>#DIV/0!</v>
      </c>
    </row>
    <row r="69" spans="4:9" x14ac:dyDescent="0.3">
      <c r="D69" s="33" t="e">
        <f t="shared" si="25"/>
        <v>#DIV/0!</v>
      </c>
      <c r="E69" s="11">
        <f t="shared" si="26"/>
        <v>0</v>
      </c>
      <c r="F69" s="11">
        <f t="shared" si="27"/>
        <v>0</v>
      </c>
      <c r="G69" s="84" t="e">
        <f t="shared" si="28"/>
        <v>#DIV/0!</v>
      </c>
      <c r="H69" s="33">
        <f t="shared" si="29"/>
        <v>0</v>
      </c>
      <c r="I69" s="33" t="e">
        <f t="shared" si="30"/>
        <v>#DIV/0!</v>
      </c>
    </row>
    <row r="70" spans="4:9" x14ac:dyDescent="0.3">
      <c r="D70" s="33" t="e">
        <f t="shared" si="25"/>
        <v>#DIV/0!</v>
      </c>
      <c r="E70" s="11">
        <f t="shared" si="26"/>
        <v>0</v>
      </c>
      <c r="F70" s="11">
        <f t="shared" si="27"/>
        <v>0</v>
      </c>
      <c r="G70" s="84" t="e">
        <f t="shared" si="28"/>
        <v>#DIV/0!</v>
      </c>
      <c r="H70" s="33">
        <f t="shared" si="29"/>
        <v>0</v>
      </c>
      <c r="I70" s="33" t="e">
        <f t="shared" si="30"/>
        <v>#DIV/0!</v>
      </c>
    </row>
    <row r="71" spans="4:9" x14ac:dyDescent="0.3">
      <c r="D71" s="33" t="e">
        <f t="shared" si="25"/>
        <v>#DIV/0!</v>
      </c>
      <c r="E71" s="11">
        <f t="shared" si="26"/>
        <v>0</v>
      </c>
      <c r="F71" s="11">
        <f t="shared" si="27"/>
        <v>0</v>
      </c>
      <c r="G71" s="84" t="e">
        <f t="shared" si="28"/>
        <v>#DIV/0!</v>
      </c>
      <c r="H71" s="33">
        <f t="shared" si="29"/>
        <v>0</v>
      </c>
      <c r="I71" s="33" t="e">
        <f t="shared" si="30"/>
        <v>#DIV/0!</v>
      </c>
    </row>
    <row r="72" spans="4:9" x14ac:dyDescent="0.3">
      <c r="D72" s="33" t="e">
        <f t="shared" si="25"/>
        <v>#DIV/0!</v>
      </c>
      <c r="E72" s="11">
        <f t="shared" si="26"/>
        <v>0</v>
      </c>
      <c r="F72" s="11">
        <f t="shared" si="27"/>
        <v>0</v>
      </c>
      <c r="G72" s="84" t="e">
        <f t="shared" si="28"/>
        <v>#DIV/0!</v>
      </c>
      <c r="H72" s="33">
        <f t="shared" si="29"/>
        <v>0</v>
      </c>
      <c r="I72" s="33" t="e">
        <f t="shared" si="30"/>
        <v>#DIV/0!</v>
      </c>
    </row>
    <row r="73" spans="4:9" x14ac:dyDescent="0.3">
      <c r="D73" s="33" t="e">
        <f t="shared" si="25"/>
        <v>#DIV/0!</v>
      </c>
      <c r="E73" s="11">
        <f t="shared" si="26"/>
        <v>0</v>
      </c>
      <c r="F73" s="11">
        <f t="shared" si="27"/>
        <v>0</v>
      </c>
      <c r="G73" s="84"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4"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4" t="e">
        <f t="shared" si="34"/>
        <v>#DIV/0!</v>
      </c>
      <c r="H75" s="33">
        <f t="shared" si="35"/>
        <v>0</v>
      </c>
      <c r="I75" s="33" t="e">
        <f t="shared" si="36"/>
        <v>#DIV/0!</v>
      </c>
    </row>
    <row r="76" spans="4:9" x14ac:dyDescent="0.3">
      <c r="D76" s="33" t="e">
        <f t="shared" si="31"/>
        <v>#DIV/0!</v>
      </c>
      <c r="E76" s="11">
        <f t="shared" si="32"/>
        <v>0</v>
      </c>
      <c r="F76" s="11">
        <f t="shared" si="33"/>
        <v>0</v>
      </c>
      <c r="G76" s="84" t="e">
        <f t="shared" si="34"/>
        <v>#DIV/0!</v>
      </c>
      <c r="H76" s="33">
        <f t="shared" si="35"/>
        <v>0</v>
      </c>
      <c r="I76" s="33" t="e">
        <f t="shared" si="36"/>
        <v>#DIV/0!</v>
      </c>
    </row>
    <row r="77" spans="4:9" x14ac:dyDescent="0.3">
      <c r="D77" s="33" t="e">
        <f t="shared" si="31"/>
        <v>#DIV/0!</v>
      </c>
      <c r="E77" s="11">
        <f t="shared" si="32"/>
        <v>0</v>
      </c>
      <c r="F77" s="11">
        <f t="shared" si="33"/>
        <v>0</v>
      </c>
      <c r="G77" s="84" t="e">
        <f t="shared" si="34"/>
        <v>#DIV/0!</v>
      </c>
      <c r="H77" s="33">
        <f t="shared" si="35"/>
        <v>0</v>
      </c>
      <c r="I77" s="33" t="e">
        <f t="shared" si="36"/>
        <v>#DIV/0!</v>
      </c>
    </row>
    <row r="78" spans="4:9" x14ac:dyDescent="0.3">
      <c r="D78" s="33" t="e">
        <f t="shared" si="31"/>
        <v>#DIV/0!</v>
      </c>
      <c r="E78" s="11">
        <f t="shared" si="32"/>
        <v>0</v>
      </c>
      <c r="F78" s="11">
        <f t="shared" si="33"/>
        <v>0</v>
      </c>
      <c r="G78" s="84" t="e">
        <f t="shared" si="34"/>
        <v>#DIV/0!</v>
      </c>
      <c r="H78" s="33">
        <f t="shared" si="35"/>
        <v>0</v>
      </c>
      <c r="I78" s="33" t="e">
        <f t="shared" si="36"/>
        <v>#DIV/0!</v>
      </c>
    </row>
    <row r="79" spans="4:9" x14ac:dyDescent="0.3">
      <c r="D79" s="33" t="e">
        <f t="shared" si="31"/>
        <v>#DIV/0!</v>
      </c>
      <c r="E79" s="11">
        <f t="shared" si="32"/>
        <v>0</v>
      </c>
      <c r="F79" s="11">
        <f t="shared" si="33"/>
        <v>0</v>
      </c>
      <c r="G79" s="84" t="e">
        <f t="shared" si="34"/>
        <v>#DIV/0!</v>
      </c>
      <c r="H79" s="33">
        <f t="shared" si="35"/>
        <v>0</v>
      </c>
      <c r="I79" s="33" t="e">
        <f t="shared" si="36"/>
        <v>#DIV/0!</v>
      </c>
    </row>
    <row r="80" spans="4:9" x14ac:dyDescent="0.3">
      <c r="D80" s="33" t="e">
        <f t="shared" si="31"/>
        <v>#DIV/0!</v>
      </c>
      <c r="E80" s="11">
        <f t="shared" si="32"/>
        <v>0</v>
      </c>
      <c r="F80" s="11">
        <f t="shared" si="33"/>
        <v>0</v>
      </c>
      <c r="G80" s="84" t="e">
        <f t="shared" si="34"/>
        <v>#DIV/0!</v>
      </c>
      <c r="H80" s="33">
        <f t="shared" si="35"/>
        <v>0</v>
      </c>
      <c r="I80" s="33" t="e">
        <f t="shared" si="36"/>
        <v>#DIV/0!</v>
      </c>
    </row>
    <row r="81" spans="4:9" x14ac:dyDescent="0.3">
      <c r="D81" s="33" t="e">
        <f t="shared" si="31"/>
        <v>#DIV/0!</v>
      </c>
      <c r="E81" s="11">
        <f t="shared" si="32"/>
        <v>0</v>
      </c>
      <c r="F81" s="11">
        <f t="shared" si="33"/>
        <v>0</v>
      </c>
      <c r="G81" s="84" t="e">
        <f t="shared" si="34"/>
        <v>#DIV/0!</v>
      </c>
      <c r="H81" s="33">
        <f t="shared" si="35"/>
        <v>0</v>
      </c>
      <c r="I81" s="33" t="e">
        <f t="shared" si="36"/>
        <v>#DIV/0!</v>
      </c>
    </row>
    <row r="82" spans="4:9" x14ac:dyDescent="0.3">
      <c r="D82" s="33" t="e">
        <f t="shared" si="31"/>
        <v>#DIV/0!</v>
      </c>
      <c r="E82" s="11">
        <f t="shared" si="32"/>
        <v>0</v>
      </c>
      <c r="F82" s="11">
        <f t="shared" si="33"/>
        <v>0</v>
      </c>
      <c r="G82" s="84" t="e">
        <f t="shared" si="34"/>
        <v>#DIV/0!</v>
      </c>
      <c r="H82" s="33">
        <f t="shared" si="35"/>
        <v>0</v>
      </c>
      <c r="I82" s="33" t="e">
        <f t="shared" si="36"/>
        <v>#DIV/0!</v>
      </c>
    </row>
    <row r="83" spans="4:9" x14ac:dyDescent="0.3">
      <c r="D83" s="33" t="e">
        <f t="shared" si="31"/>
        <v>#DIV/0!</v>
      </c>
      <c r="E83" s="11">
        <f t="shared" si="32"/>
        <v>0</v>
      </c>
      <c r="F83" s="11">
        <f t="shared" si="33"/>
        <v>0</v>
      </c>
      <c r="G83" s="84" t="e">
        <f t="shared" si="34"/>
        <v>#DIV/0!</v>
      </c>
      <c r="H83" s="33">
        <f t="shared" si="35"/>
        <v>0</v>
      </c>
      <c r="I83" s="33" t="e">
        <f t="shared" si="36"/>
        <v>#DIV/0!</v>
      </c>
    </row>
    <row r="84" spans="4:9" x14ac:dyDescent="0.3">
      <c r="D84" s="33" t="e">
        <f t="shared" si="31"/>
        <v>#DIV/0!</v>
      </c>
      <c r="E84" s="11">
        <f t="shared" si="32"/>
        <v>0</v>
      </c>
      <c r="F84" s="11">
        <f t="shared" si="33"/>
        <v>0</v>
      </c>
      <c r="G84" s="84"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4"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4" t="e">
        <f t="shared" si="40"/>
        <v>#DIV/0!</v>
      </c>
      <c r="H86" s="33">
        <f t="shared" si="41"/>
        <v>0</v>
      </c>
      <c r="I86" s="33" t="e">
        <f t="shared" si="42"/>
        <v>#DIV/0!</v>
      </c>
    </row>
    <row r="87" spans="4:9" x14ac:dyDescent="0.3">
      <c r="D87" s="33" t="e">
        <f t="shared" si="37"/>
        <v>#DIV/0!</v>
      </c>
      <c r="E87" s="11">
        <f t="shared" si="38"/>
        <v>0</v>
      </c>
      <c r="F87" s="11">
        <f t="shared" si="39"/>
        <v>0</v>
      </c>
      <c r="G87" s="84" t="e">
        <f t="shared" si="40"/>
        <v>#DIV/0!</v>
      </c>
      <c r="H87" s="33">
        <f t="shared" si="41"/>
        <v>0</v>
      </c>
      <c r="I87" s="33" t="e">
        <f t="shared" si="42"/>
        <v>#DIV/0!</v>
      </c>
    </row>
    <row r="88" spans="4:9" x14ac:dyDescent="0.3">
      <c r="D88" s="33" t="e">
        <f t="shared" si="37"/>
        <v>#DIV/0!</v>
      </c>
      <c r="E88" s="11">
        <f t="shared" si="38"/>
        <v>0</v>
      </c>
      <c r="F88" s="11">
        <f t="shared" si="39"/>
        <v>0</v>
      </c>
      <c r="G88" s="84" t="e">
        <f t="shared" si="40"/>
        <v>#DIV/0!</v>
      </c>
      <c r="H88" s="33">
        <f t="shared" si="41"/>
        <v>0</v>
      </c>
      <c r="I88" s="33" t="e">
        <f t="shared" si="42"/>
        <v>#DIV/0!</v>
      </c>
    </row>
    <row r="89" spans="4:9" x14ac:dyDescent="0.3">
      <c r="D89" s="33" t="e">
        <f t="shared" si="37"/>
        <v>#DIV/0!</v>
      </c>
      <c r="E89" s="11">
        <f t="shared" si="38"/>
        <v>0</v>
      </c>
      <c r="F89" s="11">
        <f t="shared" si="39"/>
        <v>0</v>
      </c>
      <c r="G89" s="84" t="e">
        <f t="shared" si="40"/>
        <v>#DIV/0!</v>
      </c>
      <c r="H89" s="33">
        <f t="shared" si="41"/>
        <v>0</v>
      </c>
      <c r="I89" s="33" t="e">
        <f t="shared" si="42"/>
        <v>#DIV/0!</v>
      </c>
    </row>
    <row r="90" spans="4:9" x14ac:dyDescent="0.3">
      <c r="D90" s="33" t="e">
        <f t="shared" si="37"/>
        <v>#DIV/0!</v>
      </c>
      <c r="E90" s="11">
        <f t="shared" si="38"/>
        <v>0</v>
      </c>
      <c r="F90" s="11">
        <f t="shared" si="39"/>
        <v>0</v>
      </c>
      <c r="G90" s="84" t="e">
        <f t="shared" si="40"/>
        <v>#DIV/0!</v>
      </c>
      <c r="H90" s="33">
        <f t="shared" si="41"/>
        <v>0</v>
      </c>
      <c r="I90" s="33" t="e">
        <f t="shared" si="42"/>
        <v>#DIV/0!</v>
      </c>
    </row>
    <row r="91" spans="4:9" x14ac:dyDescent="0.3">
      <c r="D91" s="33" t="e">
        <f t="shared" si="37"/>
        <v>#DIV/0!</v>
      </c>
      <c r="E91" s="11">
        <f t="shared" si="38"/>
        <v>0</v>
      </c>
      <c r="F91" s="11">
        <f t="shared" si="39"/>
        <v>0</v>
      </c>
      <c r="G91" s="84" t="e">
        <f t="shared" si="40"/>
        <v>#DIV/0!</v>
      </c>
      <c r="H91" s="33">
        <f t="shared" si="41"/>
        <v>0</v>
      </c>
      <c r="I91" s="33" t="e">
        <f t="shared" si="42"/>
        <v>#DIV/0!</v>
      </c>
    </row>
    <row r="92" spans="4:9" x14ac:dyDescent="0.3">
      <c r="D92" s="33" t="e">
        <f t="shared" si="37"/>
        <v>#DIV/0!</v>
      </c>
      <c r="E92" s="11">
        <f t="shared" si="38"/>
        <v>0</v>
      </c>
      <c r="F92" s="11">
        <f t="shared" si="39"/>
        <v>0</v>
      </c>
      <c r="G92" s="84" t="e">
        <f t="shared" si="40"/>
        <v>#DIV/0!</v>
      </c>
      <c r="H92" s="33">
        <f t="shared" si="41"/>
        <v>0</v>
      </c>
      <c r="I92" s="33" t="e">
        <f t="shared" si="42"/>
        <v>#DIV/0!</v>
      </c>
    </row>
    <row r="93" spans="4:9" x14ac:dyDescent="0.3">
      <c r="D93" s="33" t="e">
        <f t="shared" si="37"/>
        <v>#DIV/0!</v>
      </c>
      <c r="E93" s="11">
        <f t="shared" si="38"/>
        <v>0</v>
      </c>
      <c r="F93" s="11">
        <f t="shared" si="39"/>
        <v>0</v>
      </c>
      <c r="G93" s="84" t="e">
        <f t="shared" si="40"/>
        <v>#DIV/0!</v>
      </c>
      <c r="H93" s="33">
        <f t="shared" si="41"/>
        <v>0</v>
      </c>
      <c r="I93" s="33" t="e">
        <f t="shared" si="42"/>
        <v>#DIV/0!</v>
      </c>
    </row>
    <row r="94" spans="4:9" x14ac:dyDescent="0.3">
      <c r="D94" s="33" t="e">
        <f t="shared" si="37"/>
        <v>#DIV/0!</v>
      </c>
      <c r="E94" s="11">
        <f t="shared" si="38"/>
        <v>0</v>
      </c>
      <c r="F94" s="11">
        <f t="shared" si="39"/>
        <v>0</v>
      </c>
      <c r="G94" s="84" t="e">
        <f t="shared" si="40"/>
        <v>#DIV/0!</v>
      </c>
      <c r="H94" s="33">
        <f t="shared" si="41"/>
        <v>0</v>
      </c>
      <c r="I94" s="33" t="e">
        <f t="shared" si="42"/>
        <v>#DIV/0!</v>
      </c>
    </row>
    <row r="95" spans="4:9" x14ac:dyDescent="0.3">
      <c r="D95" s="33" t="e">
        <f t="shared" si="37"/>
        <v>#DIV/0!</v>
      </c>
      <c r="E95" s="11">
        <f t="shared" si="38"/>
        <v>0</v>
      </c>
      <c r="F95" s="11">
        <f t="shared" si="39"/>
        <v>0</v>
      </c>
      <c r="G95" s="84" t="e">
        <f t="shared" si="40"/>
        <v>#DIV/0!</v>
      </c>
      <c r="H95" s="33">
        <f t="shared" si="41"/>
        <v>0</v>
      </c>
      <c r="I95" s="33" t="e">
        <f t="shared" si="42"/>
        <v>#DIV/0!</v>
      </c>
    </row>
    <row r="96" spans="4:9" x14ac:dyDescent="0.3">
      <c r="D96" s="33" t="e">
        <f t="shared" si="37"/>
        <v>#DIV/0!</v>
      </c>
      <c r="E96" s="11">
        <f t="shared" si="38"/>
        <v>0</v>
      </c>
      <c r="F96" s="11">
        <f t="shared" si="39"/>
        <v>0</v>
      </c>
      <c r="G96" s="84" t="e">
        <f t="shared" si="40"/>
        <v>#DIV/0!</v>
      </c>
      <c r="H96" s="33">
        <f t="shared" si="41"/>
        <v>0</v>
      </c>
      <c r="I96" s="33" t="e">
        <f t="shared" si="42"/>
        <v>#DIV/0!</v>
      </c>
    </row>
    <row r="97" spans="4:9" x14ac:dyDescent="0.3">
      <c r="D97" s="33" t="e">
        <f t="shared" si="37"/>
        <v>#DIV/0!</v>
      </c>
      <c r="E97" s="11">
        <f t="shared" si="38"/>
        <v>0</v>
      </c>
      <c r="F97" s="11">
        <f t="shared" si="39"/>
        <v>0</v>
      </c>
      <c r="G97" s="84" t="e">
        <f t="shared" si="40"/>
        <v>#DIV/0!</v>
      </c>
      <c r="H97" s="33">
        <f t="shared" si="41"/>
        <v>0</v>
      </c>
      <c r="I97" s="33" t="e">
        <f t="shared" si="42"/>
        <v>#DIV/0!</v>
      </c>
    </row>
    <row r="98" spans="4:9" x14ac:dyDescent="0.3">
      <c r="D98" s="33" t="e">
        <f t="shared" si="37"/>
        <v>#DIV/0!</v>
      </c>
      <c r="E98" s="11">
        <f t="shared" si="38"/>
        <v>0</v>
      </c>
      <c r="F98" s="11">
        <f t="shared" si="39"/>
        <v>0</v>
      </c>
      <c r="G98" s="84" t="e">
        <f t="shared" si="40"/>
        <v>#DIV/0!</v>
      </c>
      <c r="H98" s="33">
        <f t="shared" si="41"/>
        <v>0</v>
      </c>
      <c r="I98" s="33" t="e">
        <f t="shared" si="42"/>
        <v>#DIV/0!</v>
      </c>
    </row>
    <row r="99" spans="4:9" x14ac:dyDescent="0.3">
      <c r="D99" s="33" t="e">
        <f t="shared" si="37"/>
        <v>#DIV/0!</v>
      </c>
      <c r="E99" s="11">
        <f t="shared" si="38"/>
        <v>0</v>
      </c>
      <c r="F99" s="11">
        <f t="shared" si="39"/>
        <v>0</v>
      </c>
      <c r="G99" s="84" t="e">
        <f t="shared" si="40"/>
        <v>#DIV/0!</v>
      </c>
      <c r="H99" s="33">
        <f t="shared" si="41"/>
        <v>0</v>
      </c>
      <c r="I99" s="33" t="e">
        <f t="shared" si="42"/>
        <v>#DIV/0!</v>
      </c>
    </row>
    <row r="100" spans="4:9" x14ac:dyDescent="0.3">
      <c r="D100" s="33" t="e">
        <f t="shared" si="37"/>
        <v>#DIV/0!</v>
      </c>
      <c r="E100" s="11">
        <f t="shared" si="38"/>
        <v>0</v>
      </c>
      <c r="F100" s="11">
        <f t="shared" si="39"/>
        <v>0</v>
      </c>
      <c r="G100" s="84" t="e">
        <f t="shared" si="40"/>
        <v>#DIV/0!</v>
      </c>
      <c r="H100" s="33">
        <f t="shared" si="41"/>
        <v>0</v>
      </c>
      <c r="I100" s="33" t="e">
        <f t="shared" si="42"/>
        <v>#DIV/0!</v>
      </c>
    </row>
    <row r="101" spans="4:9" x14ac:dyDescent="0.3">
      <c r="D101" s="33" t="e">
        <f t="shared" si="37"/>
        <v>#DIV/0!</v>
      </c>
      <c r="E101" s="11">
        <f t="shared" si="38"/>
        <v>0</v>
      </c>
      <c r="F101" s="11">
        <f t="shared" si="39"/>
        <v>0</v>
      </c>
      <c r="G101" s="84" t="e">
        <f t="shared" si="40"/>
        <v>#DIV/0!</v>
      </c>
      <c r="H101" s="33">
        <f t="shared" si="41"/>
        <v>0</v>
      </c>
      <c r="I101" s="33" t="e">
        <f t="shared" si="42"/>
        <v>#DIV/0!</v>
      </c>
    </row>
    <row r="102" spans="4:9" x14ac:dyDescent="0.3">
      <c r="D102" s="33" t="e">
        <f t="shared" si="37"/>
        <v>#DIV/0!</v>
      </c>
      <c r="E102" s="11">
        <f t="shared" si="38"/>
        <v>0</v>
      </c>
      <c r="F102" s="11">
        <f t="shared" si="39"/>
        <v>0</v>
      </c>
      <c r="G102" s="84" t="e">
        <f t="shared" si="40"/>
        <v>#DIV/0!</v>
      </c>
      <c r="H102" s="33">
        <f t="shared" si="41"/>
        <v>0</v>
      </c>
      <c r="I102" s="33" t="e">
        <f t="shared" si="42"/>
        <v>#DIV/0!</v>
      </c>
    </row>
    <row r="103" spans="4:9" x14ac:dyDescent="0.3">
      <c r="D103" s="33" t="e">
        <f t="shared" si="37"/>
        <v>#DIV/0!</v>
      </c>
      <c r="E103" s="11">
        <f t="shared" si="38"/>
        <v>0</v>
      </c>
      <c r="F103" s="11">
        <f t="shared" si="39"/>
        <v>0</v>
      </c>
      <c r="G103" s="84" t="e">
        <f t="shared" si="40"/>
        <v>#DIV/0!</v>
      </c>
      <c r="H103" s="33">
        <f t="shared" si="41"/>
        <v>0</v>
      </c>
      <c r="I103" s="33" t="e">
        <f t="shared" si="42"/>
        <v>#DIV/0!</v>
      </c>
    </row>
    <row r="104" spans="4:9" x14ac:dyDescent="0.3">
      <c r="D104" s="33" t="e">
        <f t="shared" si="37"/>
        <v>#DIV/0!</v>
      </c>
      <c r="E104" s="11">
        <f t="shared" si="38"/>
        <v>0</v>
      </c>
      <c r="F104" s="11">
        <f t="shared" si="39"/>
        <v>0</v>
      </c>
      <c r="G104" s="84" t="e">
        <f t="shared" si="40"/>
        <v>#DIV/0!</v>
      </c>
      <c r="H104" s="33">
        <f t="shared" si="41"/>
        <v>0</v>
      </c>
      <c r="I104" s="33" t="e">
        <f t="shared" si="42"/>
        <v>#DIV/0!</v>
      </c>
    </row>
    <row r="105" spans="4:9" x14ac:dyDescent="0.3">
      <c r="D105" s="33" t="e">
        <f t="shared" si="37"/>
        <v>#DIV/0!</v>
      </c>
      <c r="E105" s="11">
        <f t="shared" si="38"/>
        <v>0</v>
      </c>
      <c r="F105" s="11">
        <f t="shared" si="39"/>
        <v>0</v>
      </c>
      <c r="G105" s="84" t="e">
        <f t="shared" si="40"/>
        <v>#DIV/0!</v>
      </c>
      <c r="H105" s="33">
        <f t="shared" si="41"/>
        <v>0</v>
      </c>
      <c r="I105" s="33" t="e">
        <f t="shared" si="42"/>
        <v>#DIV/0!</v>
      </c>
    </row>
    <row r="106" spans="4:9" x14ac:dyDescent="0.3">
      <c r="D106" s="33" t="e">
        <f t="shared" si="37"/>
        <v>#DIV/0!</v>
      </c>
      <c r="E106" s="11">
        <f t="shared" si="38"/>
        <v>0</v>
      </c>
      <c r="F106" s="11">
        <f t="shared" si="39"/>
        <v>0</v>
      </c>
      <c r="G106" s="84" t="e">
        <f t="shared" si="40"/>
        <v>#DIV/0!</v>
      </c>
      <c r="H106" s="33">
        <f t="shared" si="41"/>
        <v>0</v>
      </c>
      <c r="I106" s="33" t="e">
        <f t="shared" si="42"/>
        <v>#DIV/0!</v>
      </c>
    </row>
    <row r="107" spans="4:9" x14ac:dyDescent="0.3">
      <c r="D107" s="33" t="e">
        <f t="shared" si="37"/>
        <v>#DIV/0!</v>
      </c>
      <c r="E107" s="11">
        <f t="shared" si="38"/>
        <v>0</v>
      </c>
      <c r="F107" s="11">
        <f t="shared" si="39"/>
        <v>0</v>
      </c>
      <c r="G107" s="84" t="e">
        <f t="shared" si="40"/>
        <v>#DIV/0!</v>
      </c>
      <c r="H107" s="33">
        <f t="shared" si="41"/>
        <v>0</v>
      </c>
      <c r="I107" s="33" t="e">
        <f t="shared" si="42"/>
        <v>#DIV/0!</v>
      </c>
    </row>
    <row r="108" spans="4:9" x14ac:dyDescent="0.3">
      <c r="D108" s="33" t="e">
        <f t="shared" si="37"/>
        <v>#DIV/0!</v>
      </c>
      <c r="E108" s="11">
        <f t="shared" si="38"/>
        <v>0</v>
      </c>
      <c r="F108" s="11">
        <f t="shared" si="39"/>
        <v>0</v>
      </c>
      <c r="G108" s="84" t="e">
        <f t="shared" si="40"/>
        <v>#DIV/0!</v>
      </c>
      <c r="H108" s="33">
        <f t="shared" si="41"/>
        <v>0</v>
      </c>
      <c r="I108" s="33" t="e">
        <f t="shared" si="42"/>
        <v>#DIV/0!</v>
      </c>
    </row>
    <row r="109" spans="4:9" x14ac:dyDescent="0.3">
      <c r="D109" s="33" t="e">
        <f t="shared" si="37"/>
        <v>#DIV/0!</v>
      </c>
      <c r="E109" s="11">
        <f t="shared" si="38"/>
        <v>0</v>
      </c>
      <c r="F109" s="11">
        <f t="shared" si="39"/>
        <v>0</v>
      </c>
      <c r="G109" s="84" t="e">
        <f t="shared" si="40"/>
        <v>#DIV/0!</v>
      </c>
      <c r="H109" s="33">
        <f t="shared" si="41"/>
        <v>0</v>
      </c>
      <c r="I109" s="33" t="e">
        <f t="shared" si="42"/>
        <v>#DIV/0!</v>
      </c>
    </row>
    <row r="110" spans="4:9" x14ac:dyDescent="0.3">
      <c r="D110" s="33" t="e">
        <f t="shared" si="37"/>
        <v>#DIV/0!</v>
      </c>
      <c r="E110" s="11">
        <f t="shared" si="38"/>
        <v>0</v>
      </c>
      <c r="F110" s="11">
        <f t="shared" si="39"/>
        <v>0</v>
      </c>
      <c r="G110" s="84" t="e">
        <f t="shared" si="40"/>
        <v>#DIV/0!</v>
      </c>
      <c r="H110" s="33">
        <f t="shared" si="41"/>
        <v>0</v>
      </c>
      <c r="I110" s="33" t="e">
        <f t="shared" si="42"/>
        <v>#DIV/0!</v>
      </c>
    </row>
    <row r="111" spans="4:9" x14ac:dyDescent="0.3">
      <c r="D111" s="33" t="e">
        <f t="shared" si="37"/>
        <v>#DIV/0!</v>
      </c>
      <c r="E111" s="11">
        <f t="shared" si="38"/>
        <v>0</v>
      </c>
      <c r="F111" s="11">
        <f t="shared" si="39"/>
        <v>0</v>
      </c>
      <c r="G111" s="84" t="e">
        <f t="shared" si="40"/>
        <v>#DIV/0!</v>
      </c>
      <c r="H111" s="33">
        <f t="shared" si="41"/>
        <v>0</v>
      </c>
      <c r="I111" s="33" t="e">
        <f t="shared" si="42"/>
        <v>#DIV/0!</v>
      </c>
    </row>
    <row r="112" spans="4:9" x14ac:dyDescent="0.3">
      <c r="D112" s="33" t="e">
        <f t="shared" si="37"/>
        <v>#DIV/0!</v>
      </c>
      <c r="E112" s="11">
        <f t="shared" si="38"/>
        <v>0</v>
      </c>
      <c r="F112" s="11">
        <f t="shared" si="39"/>
        <v>0</v>
      </c>
      <c r="G112" s="84" t="e">
        <f t="shared" si="40"/>
        <v>#DIV/0!</v>
      </c>
      <c r="H112" s="33">
        <f t="shared" si="41"/>
        <v>0</v>
      </c>
      <c r="I112" s="33" t="e">
        <f t="shared" si="42"/>
        <v>#DIV/0!</v>
      </c>
    </row>
    <row r="113" spans="4:9" x14ac:dyDescent="0.3">
      <c r="D113" s="33" t="e">
        <f t="shared" si="37"/>
        <v>#DIV/0!</v>
      </c>
      <c r="E113" s="11">
        <f t="shared" si="38"/>
        <v>0</v>
      </c>
      <c r="F113" s="11">
        <f t="shared" si="39"/>
        <v>0</v>
      </c>
      <c r="G113" s="84" t="e">
        <f t="shared" si="40"/>
        <v>#DIV/0!</v>
      </c>
      <c r="H113" s="33">
        <f t="shared" si="41"/>
        <v>0</v>
      </c>
      <c r="I113" s="33" t="e">
        <f t="shared" si="42"/>
        <v>#DIV/0!</v>
      </c>
    </row>
    <row r="114" spans="4:9" x14ac:dyDescent="0.3">
      <c r="D114" s="33" t="e">
        <f t="shared" si="37"/>
        <v>#DIV/0!</v>
      </c>
      <c r="E114" s="11">
        <f t="shared" si="38"/>
        <v>0</v>
      </c>
      <c r="F114" s="11">
        <f t="shared" si="39"/>
        <v>0</v>
      </c>
      <c r="G114" s="84" t="e">
        <f t="shared" si="40"/>
        <v>#DIV/0!</v>
      </c>
      <c r="H114" s="33">
        <f t="shared" si="41"/>
        <v>0</v>
      </c>
      <c r="I114" s="33" t="e">
        <f t="shared" si="42"/>
        <v>#DIV/0!</v>
      </c>
    </row>
    <row r="115" spans="4:9" x14ac:dyDescent="0.3">
      <c r="D115" s="33" t="e">
        <f t="shared" si="37"/>
        <v>#DIV/0!</v>
      </c>
      <c r="E115" s="11">
        <f t="shared" si="38"/>
        <v>0</v>
      </c>
      <c r="F115" s="11">
        <f t="shared" si="39"/>
        <v>0</v>
      </c>
      <c r="G115" s="84" t="e">
        <f t="shared" si="40"/>
        <v>#DIV/0!</v>
      </c>
      <c r="H115" s="33">
        <f t="shared" si="41"/>
        <v>0</v>
      </c>
      <c r="I115" s="33" t="e">
        <f t="shared" si="42"/>
        <v>#DIV/0!</v>
      </c>
    </row>
    <row r="116" spans="4:9" x14ac:dyDescent="0.3">
      <c r="D116" s="33" t="e">
        <f t="shared" si="37"/>
        <v>#DIV/0!</v>
      </c>
      <c r="E116" s="11">
        <f t="shared" si="38"/>
        <v>0</v>
      </c>
      <c r="F116" s="11">
        <f t="shared" si="39"/>
        <v>0</v>
      </c>
      <c r="G116" s="84" t="e">
        <f t="shared" si="40"/>
        <v>#DIV/0!</v>
      </c>
      <c r="H116" s="33">
        <f t="shared" si="41"/>
        <v>0</v>
      </c>
      <c r="I116" s="33" t="e">
        <f t="shared" si="42"/>
        <v>#DIV/0!</v>
      </c>
    </row>
    <row r="117" spans="4:9" x14ac:dyDescent="0.3">
      <c r="D117" s="33" t="e">
        <f t="shared" si="37"/>
        <v>#DIV/0!</v>
      </c>
      <c r="E117" s="11">
        <f t="shared" si="38"/>
        <v>0</v>
      </c>
      <c r="F117" s="11">
        <f t="shared" si="39"/>
        <v>0</v>
      </c>
      <c r="G117" s="84" t="e">
        <f t="shared" si="40"/>
        <v>#DIV/0!</v>
      </c>
      <c r="H117" s="33">
        <f t="shared" si="41"/>
        <v>0</v>
      </c>
      <c r="I117" s="33" t="e">
        <f t="shared" si="42"/>
        <v>#DIV/0!</v>
      </c>
    </row>
    <row r="118" spans="4:9" x14ac:dyDescent="0.3">
      <c r="D118" s="33" t="e">
        <f t="shared" si="37"/>
        <v>#DIV/0!</v>
      </c>
      <c r="E118" s="11">
        <f t="shared" si="38"/>
        <v>0</v>
      </c>
      <c r="F118" s="11">
        <f t="shared" si="39"/>
        <v>0</v>
      </c>
      <c r="G118" s="84" t="e">
        <f t="shared" si="40"/>
        <v>#DIV/0!</v>
      </c>
      <c r="H118" s="33">
        <f t="shared" si="41"/>
        <v>0</v>
      </c>
      <c r="I118" s="33" t="e">
        <f t="shared" si="42"/>
        <v>#DIV/0!</v>
      </c>
    </row>
    <row r="119" spans="4:9" x14ac:dyDescent="0.3">
      <c r="D119" s="33" t="e">
        <f t="shared" si="37"/>
        <v>#DIV/0!</v>
      </c>
      <c r="E119" s="11">
        <f t="shared" si="38"/>
        <v>0</v>
      </c>
      <c r="F119" s="11">
        <f t="shared" si="39"/>
        <v>0</v>
      </c>
      <c r="G119" s="84"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45916</v>
      </c>
      <c r="C3" t="s">
        <v>116</v>
      </c>
      <c r="D3">
        <f>SUMIFS(Table14[Debit], Table14[Date], Table5[[#This Row],[Date]], Table14[Party], "Rashan")</f>
        <v>0</v>
      </c>
      <c r="H3" s="1">
        <v>45916</v>
      </c>
      <c r="J3">
        <f>SUMIFS(Table14[Debit], Table14[Date], Table15[[#This Row],[Date]], Table14[Party], "Parts")</f>
        <v>0</v>
      </c>
    </row>
    <row r="4" spans="2:10" x14ac:dyDescent="0.3">
      <c r="B4" s="1">
        <v>45917</v>
      </c>
      <c r="C4" t="s">
        <v>116</v>
      </c>
      <c r="D4">
        <f>SUMIFS(Table14[Debit], Table14[Date], Table5[[#This Row],[Date]], Table14[Party], "Rashan")</f>
        <v>0</v>
      </c>
      <c r="H4" s="1">
        <v>45917</v>
      </c>
      <c r="I4" t="s">
        <v>55</v>
      </c>
      <c r="J4">
        <f>SUMIFS(Table14[Debit], Table14[Date], Table15[[#This Row],[Date]], Table14[Party], "Parts")</f>
        <v>0</v>
      </c>
    </row>
    <row r="5" spans="2:10" x14ac:dyDescent="0.3">
      <c r="B5" s="1">
        <v>45918</v>
      </c>
      <c r="C5" t="s">
        <v>116</v>
      </c>
      <c r="D5">
        <f>SUMIFS(Table14[Debit], Table14[Date], Table5[[#This Row],[Date]], Table14[Party], "Rashan")</f>
        <v>0</v>
      </c>
      <c r="H5" s="1">
        <v>45918</v>
      </c>
      <c r="I5" t="s">
        <v>55</v>
      </c>
      <c r="J5">
        <f>SUMIFS(Table14[Debit], Table14[Date], Table15[[#This Row],[Date]], Table14[Party], "Parts")</f>
        <v>0</v>
      </c>
    </row>
    <row r="6" spans="2:10" x14ac:dyDescent="0.3">
      <c r="B6" s="1">
        <v>45919</v>
      </c>
      <c r="C6" t="s">
        <v>116</v>
      </c>
      <c r="D6">
        <f>SUMIFS(Table14[Debit], Table14[Date], Table5[[#This Row],[Date]], Table14[Party], "Rashan")</f>
        <v>0</v>
      </c>
      <c r="H6" s="1">
        <v>45919</v>
      </c>
      <c r="I6" t="s">
        <v>55</v>
      </c>
      <c r="J6">
        <f>SUMIFS(Table14[Debit], Table14[Date], Table15[[#This Row],[Date]], Table14[Party], "Parts")</f>
        <v>0</v>
      </c>
    </row>
    <row r="7" spans="2:10" x14ac:dyDescent="0.3">
      <c r="B7" s="1">
        <v>45920</v>
      </c>
      <c r="C7" t="s">
        <v>116</v>
      </c>
      <c r="D7">
        <f>SUMIFS(Table14[Debit], Table14[Date], Table5[[#This Row],[Date]], Table14[Party], "Rashan")</f>
        <v>0</v>
      </c>
      <c r="H7" s="1">
        <v>45920</v>
      </c>
      <c r="I7" t="s">
        <v>55</v>
      </c>
      <c r="J7">
        <f>SUMIFS(Table14[Debit], Table14[Date], Table15[[#This Row],[Date]], Table14[Party], "Parts")</f>
        <v>0</v>
      </c>
    </row>
    <row r="8" spans="2:10" x14ac:dyDescent="0.3">
      <c r="B8" s="1">
        <v>45921</v>
      </c>
      <c r="C8" t="s">
        <v>116</v>
      </c>
      <c r="D8">
        <f>SUMIFS(Table14[Debit], Table14[Date], Table5[[#This Row],[Date]], Table14[Party], "Rashan")</f>
        <v>0</v>
      </c>
      <c r="H8" s="1">
        <v>45921</v>
      </c>
      <c r="J8">
        <f>SUMIFS(Table14[Debit], Table14[Date], Table15[[#This Row],[Date]], Table14[Party], "Parts")</f>
        <v>0</v>
      </c>
    </row>
    <row r="9" spans="2:10" x14ac:dyDescent="0.3">
      <c r="B9" s="1">
        <v>45922</v>
      </c>
      <c r="C9" t="s">
        <v>116</v>
      </c>
      <c r="D9">
        <f>SUMIFS(Table14[Debit], Table14[Date], Table5[[#This Row],[Date]], Table14[Party], "Rashan")</f>
        <v>0</v>
      </c>
      <c r="H9" s="1">
        <v>45922</v>
      </c>
      <c r="J9">
        <f>SUMIFS(Table14[Debit], Table14[Date], Table15[[#This Row],[Date]], Table14[Party], "Parts")</f>
        <v>0</v>
      </c>
    </row>
    <row r="10" spans="2:10" x14ac:dyDescent="0.3">
      <c r="B10" s="1">
        <v>45923</v>
      </c>
      <c r="C10" t="s">
        <v>116</v>
      </c>
      <c r="D10">
        <f>SUMIFS(Table14[Debit], Table14[Date], Table5[[#This Row],[Date]], Table14[Party], "Rashan")</f>
        <v>0</v>
      </c>
      <c r="H10" s="1">
        <v>45923</v>
      </c>
      <c r="J10">
        <f>SUMIFS(Table14[Debit], Table14[Date], Table15[[#This Row],[Date]], Table14[Party], "Parts")</f>
        <v>0</v>
      </c>
    </row>
    <row r="11" spans="2:10" x14ac:dyDescent="0.3">
      <c r="B11" s="1">
        <v>45924</v>
      </c>
      <c r="C11" t="s">
        <v>116</v>
      </c>
      <c r="D11">
        <f>SUMIFS(Table14[Debit], Table14[Date], Table5[[#This Row],[Date]], Table14[Party], "Rashan")</f>
        <v>0</v>
      </c>
      <c r="H11" s="1">
        <v>45924</v>
      </c>
      <c r="J11">
        <f>SUMIFS(Table14[Debit], Table14[Date], Table15[[#This Row],[Date]], Table14[Party], "Parts")</f>
        <v>0</v>
      </c>
    </row>
    <row r="12" spans="2:10" x14ac:dyDescent="0.3">
      <c r="B12" s="1">
        <v>45925</v>
      </c>
      <c r="C12" t="s">
        <v>116</v>
      </c>
      <c r="D12">
        <f>SUMIFS(Table14[Debit], Table14[Date], Table5[[#This Row],[Date]], Table14[Party], "Rashan")</f>
        <v>0</v>
      </c>
      <c r="H12" s="1">
        <v>45925</v>
      </c>
      <c r="J12">
        <f>SUMIFS(Table14[Debit], Table14[Date], Table15[[#This Row],[Date]], Table14[Party], "Parts")</f>
        <v>0</v>
      </c>
    </row>
    <row r="13" spans="2:10" x14ac:dyDescent="0.3">
      <c r="B13" s="1">
        <v>45926</v>
      </c>
      <c r="C13" t="s">
        <v>116</v>
      </c>
      <c r="D13">
        <f>SUMIFS(Table14[Debit], Table14[Date], Table5[[#This Row],[Date]], Table14[Party], "Rashan")</f>
        <v>0</v>
      </c>
      <c r="H13" s="1">
        <v>45926</v>
      </c>
      <c r="J13">
        <f>SUMIFS(Table14[Debit], Table14[Date], Table15[[#This Row],[Date]], Table14[Party], "Parts")</f>
        <v>0</v>
      </c>
    </row>
    <row r="14" spans="2:10" x14ac:dyDescent="0.3">
      <c r="B14" s="1">
        <v>45927</v>
      </c>
      <c r="C14" t="s">
        <v>116</v>
      </c>
      <c r="D14">
        <f>SUMIFS(Table14[Debit], Table14[Date], Table5[[#This Row],[Date]], Table14[Party], "Rashan")</f>
        <v>0</v>
      </c>
      <c r="H14" s="1">
        <v>45927</v>
      </c>
      <c r="J14">
        <f>SUMIFS(Table14[Debit], Table14[Date], Table15[[#This Row],[Date]], Table14[Party], "Parts")</f>
        <v>0</v>
      </c>
    </row>
    <row r="15" spans="2:10" x14ac:dyDescent="0.3">
      <c r="B15" s="1">
        <v>45928</v>
      </c>
      <c r="C15" t="s">
        <v>116</v>
      </c>
      <c r="D15">
        <f>SUMIFS(Table14[Debit], Table14[Date], Table5[[#This Row],[Date]], Table14[Party], "Rashan")</f>
        <v>0</v>
      </c>
      <c r="H15" s="1">
        <v>45928</v>
      </c>
      <c r="J15">
        <f>SUMIFS(Table14[Debit], Table14[Date], Table15[[#This Row],[Date]], Table14[Party], "Parts")</f>
        <v>0</v>
      </c>
    </row>
    <row r="16" spans="2:10" x14ac:dyDescent="0.3">
      <c r="B16" s="1">
        <v>45929</v>
      </c>
      <c r="C16" t="s">
        <v>116</v>
      </c>
      <c r="D16">
        <f>SUMIFS(Table14[Debit], Table14[Date], Table5[[#This Row],[Date]], Table14[Party], "Rashan")</f>
        <v>0</v>
      </c>
      <c r="H16" s="1">
        <v>45929</v>
      </c>
      <c r="J16">
        <f>SUMIFS(Table14[Debit], Table14[Date], Table15[[#This Row],[Date]], Table14[Party], "Parts")</f>
        <v>0</v>
      </c>
    </row>
    <row r="17" spans="2:10" x14ac:dyDescent="0.3">
      <c r="B17" s="1">
        <v>45930</v>
      </c>
      <c r="C17" t="s">
        <v>116</v>
      </c>
      <c r="D17">
        <f>SUMIFS(Table14[Debit], Table14[Date], Table5[[#This Row],[Date]], Table14[Party], "Rashan")</f>
        <v>0</v>
      </c>
      <c r="H17" s="1">
        <v>45930</v>
      </c>
      <c r="J17">
        <f>SUMIFS(Table14[Debit], Table14[Date], Table15[[#This Row],[Date]], Table14[Party], "Parts")</f>
        <v>0</v>
      </c>
    </row>
    <row r="18" spans="2:10" x14ac:dyDescent="0.3">
      <c r="B18" s="1">
        <v>45931</v>
      </c>
      <c r="C18" t="s">
        <v>116</v>
      </c>
      <c r="D18">
        <f>SUMIFS(Table14[Debit], Table14[Date], Table5[[#This Row],[Date]], Table14[Party], "Rashan")</f>
        <v>0</v>
      </c>
      <c r="H18" s="1">
        <v>45931</v>
      </c>
      <c r="J18">
        <f>SUMIFS(Table14[Debit], Table14[Date], Table15[[#This Row],[Date]], Table14[Party], "Parts")</f>
        <v>0</v>
      </c>
    </row>
    <row r="19" spans="2:10" x14ac:dyDescent="0.3">
      <c r="B19" s="1">
        <v>45932</v>
      </c>
      <c r="C19" t="s">
        <v>116</v>
      </c>
      <c r="D19">
        <f>SUMIFS(Table14[Debit], Table14[Date], Table5[[#This Row],[Date]], Table14[Party], "Rashan")</f>
        <v>0</v>
      </c>
      <c r="H19" s="1">
        <v>45932</v>
      </c>
      <c r="J19">
        <f>SUMIFS(Table14[Debit], Table14[Date], Table15[[#This Row],[Date]], Table14[Party], "Parts")</f>
        <v>0</v>
      </c>
    </row>
    <row r="20" spans="2:10" x14ac:dyDescent="0.3">
      <c r="B20" s="1">
        <v>45933</v>
      </c>
      <c r="C20" t="s">
        <v>116</v>
      </c>
      <c r="D20">
        <f>SUMIFS(Table14[Debit], Table14[Date], Table5[[#This Row],[Date]], Table14[Party], "Rashan")</f>
        <v>0</v>
      </c>
      <c r="H20" s="1">
        <v>45933</v>
      </c>
      <c r="J20">
        <f>SUMIFS(Table14[Debit], Table14[Date], Table15[[#This Row],[Date]], Table14[Party], "Parts")</f>
        <v>0</v>
      </c>
    </row>
    <row r="21" spans="2:10" x14ac:dyDescent="0.3">
      <c r="B21" s="1">
        <v>45934</v>
      </c>
      <c r="C21" t="s">
        <v>116</v>
      </c>
      <c r="D21">
        <f>SUMIFS(Table14[Debit], Table14[Date], Table5[[#This Row],[Date]], Table14[Party], "Rashan")</f>
        <v>0</v>
      </c>
      <c r="H21" s="1">
        <v>45934</v>
      </c>
      <c r="J21">
        <f>SUMIFS(Table14[Debit], Table14[Date], Table15[[#This Row],[Date]], Table14[Party], "Parts")</f>
        <v>0</v>
      </c>
    </row>
    <row r="22" spans="2:10" x14ac:dyDescent="0.3">
      <c r="B22" s="1">
        <v>45935</v>
      </c>
      <c r="C22" t="s">
        <v>116</v>
      </c>
      <c r="D22">
        <f>SUMIFS(Table14[Debit], Table14[Date], Table5[[#This Row],[Date]], Table14[Party], "Rashan")</f>
        <v>0</v>
      </c>
      <c r="H22" s="1">
        <v>45935</v>
      </c>
      <c r="J22">
        <f>SUMIFS(Table14[Debit], Table14[Date], Table15[[#This Row],[Date]], Table14[Party], "Parts")</f>
        <v>0</v>
      </c>
    </row>
    <row r="23" spans="2:10" x14ac:dyDescent="0.3">
      <c r="B23" s="1">
        <v>45936</v>
      </c>
      <c r="C23" t="s">
        <v>116</v>
      </c>
      <c r="D23">
        <f>SUMIFS(Table14[Debit], Table14[Date], Table5[[#This Row],[Date]], Table14[Party], "Rashan")</f>
        <v>0</v>
      </c>
      <c r="H23" s="1">
        <v>45936</v>
      </c>
      <c r="J23">
        <f>SUMIFS(Table14[Debit], Table14[Date], Table15[[#This Row],[Date]], Table14[Party], "Parts")</f>
        <v>0</v>
      </c>
    </row>
    <row r="24" spans="2:10" x14ac:dyDescent="0.3">
      <c r="B24" s="1">
        <v>45937</v>
      </c>
      <c r="C24" t="s">
        <v>116</v>
      </c>
      <c r="D24">
        <f>SUMIFS(Table14[Debit], Table14[Date], Table5[[#This Row],[Date]], Table14[Party], "Rashan")</f>
        <v>0</v>
      </c>
      <c r="H24" s="1">
        <v>45937</v>
      </c>
      <c r="J24">
        <f>SUMIFS(Table14[Debit], Table14[Date], Table15[[#This Row],[Date]], Table14[Party], "Parts")</f>
        <v>0</v>
      </c>
    </row>
    <row r="25" spans="2:10" x14ac:dyDescent="0.3">
      <c r="B25" s="1">
        <v>45938</v>
      </c>
      <c r="C25" t="s">
        <v>116</v>
      </c>
      <c r="D25">
        <f>SUMIFS(Table14[Debit], Table14[Date], Table5[[#This Row],[Date]], Table14[Party], "Rashan")</f>
        <v>0</v>
      </c>
      <c r="H25" s="1">
        <v>45938</v>
      </c>
      <c r="J25">
        <f>SUMIFS(Table14[Debit], Table14[Date], Table15[[#This Row],[Date]], Table14[Party], "Parts")</f>
        <v>0</v>
      </c>
    </row>
    <row r="26" spans="2:10" x14ac:dyDescent="0.3">
      <c r="B26" s="1">
        <v>45939</v>
      </c>
      <c r="C26" t="s">
        <v>116</v>
      </c>
      <c r="D26">
        <f>SUMIFS(Table14[Debit], Table14[Date], Table5[[#This Row],[Date]], Table14[Party], "Rashan")</f>
        <v>0</v>
      </c>
      <c r="H26" s="1">
        <v>45939</v>
      </c>
      <c r="J26">
        <f>SUMIFS(Table14[Debit], Table14[Date], Table15[[#This Row],[Date]], Table14[Party], "Parts")</f>
        <v>0</v>
      </c>
    </row>
    <row r="27" spans="2:10" x14ac:dyDescent="0.3">
      <c r="B27" s="1">
        <v>45940</v>
      </c>
      <c r="C27" t="s">
        <v>116</v>
      </c>
      <c r="D27">
        <f>SUMIFS(Table14[Debit], Table14[Date], Table5[[#This Row],[Date]], Table14[Party], "Rashan")</f>
        <v>0</v>
      </c>
      <c r="H27" s="1">
        <v>45940</v>
      </c>
      <c r="J27">
        <f>SUMIFS(Table14[Debit], Table14[Date], Table15[[#This Row],[Date]], Table14[Party], "Parts")</f>
        <v>0</v>
      </c>
    </row>
    <row r="28" spans="2:10" x14ac:dyDescent="0.3">
      <c r="B28" s="1">
        <v>45941</v>
      </c>
      <c r="C28" t="s">
        <v>116</v>
      </c>
      <c r="D28">
        <f>SUMIFS(Table14[Debit], Table14[Date], Table5[[#This Row],[Date]], Table14[Party], "Rashan")</f>
        <v>0</v>
      </c>
      <c r="H28" s="1">
        <v>45941</v>
      </c>
      <c r="J28">
        <f>SUMIFS(Table14[Debit], Table14[Date], Table15[[#This Row],[Date]], Table14[Party], "Parts")</f>
        <v>0</v>
      </c>
    </row>
    <row r="29" spans="2:10" x14ac:dyDescent="0.3">
      <c r="B29" s="1">
        <v>45942</v>
      </c>
      <c r="C29" t="s">
        <v>116</v>
      </c>
      <c r="D29">
        <f>SUMIFS(Table14[Debit], Table14[Date], Table5[[#This Row],[Date]], Table14[Party], "Rashan")</f>
        <v>0</v>
      </c>
      <c r="H29" s="1">
        <v>45942</v>
      </c>
      <c r="J29">
        <f>SUMIFS(Table14[Debit], Table14[Date], Table15[[#This Row],[Date]], Table14[Party], "Parts")</f>
        <v>0</v>
      </c>
    </row>
    <row r="30" spans="2:10" x14ac:dyDescent="0.3">
      <c r="B30" s="1">
        <v>45943</v>
      </c>
      <c r="C30" t="s">
        <v>116</v>
      </c>
      <c r="D30">
        <f>SUMIFS(Table14[Debit], Table14[Date], Table5[[#This Row],[Date]], Table14[Party], "Rashan")</f>
        <v>0</v>
      </c>
      <c r="H30" s="1">
        <v>45943</v>
      </c>
      <c r="J30">
        <f>SUMIFS(Table14[Debit], Table14[Date], Table15[[#This Row],[Date]], Table14[Party], "Parts")</f>
        <v>0</v>
      </c>
    </row>
    <row r="31" spans="2:10" x14ac:dyDescent="0.3">
      <c r="B31" s="1">
        <v>45944</v>
      </c>
      <c r="C31" t="s">
        <v>116</v>
      </c>
      <c r="D31">
        <f>SUMIFS(Table14[Debit], Table14[Date], Table5[[#This Row],[Date]], Table14[Party], "Rashan")</f>
        <v>0</v>
      </c>
      <c r="H31" s="1">
        <v>45944</v>
      </c>
      <c r="J31">
        <f>SUMIFS(Table14[Debit], Table14[Date], Table15[[#This Row],[Date]], Table14[Party], "Parts")</f>
        <v>0</v>
      </c>
    </row>
    <row r="32" spans="2:10" x14ac:dyDescent="0.3">
      <c r="B32" s="1">
        <v>45945</v>
      </c>
      <c r="C32" t="s">
        <v>116</v>
      </c>
      <c r="D32">
        <f>SUMIFS(Table14[Debit], Table14[Date], Table5[[#This Row],[Date]], Table14[Party], "Rashan")</f>
        <v>0</v>
      </c>
      <c r="H32" s="1">
        <v>45945</v>
      </c>
      <c r="J32">
        <f>SUMIFS(Table14[Debit], Table14[Date], Table15[[#This Row],[Date]], Table14[Party], "Parts")</f>
        <v>0</v>
      </c>
    </row>
    <row r="33" spans="2:10" x14ac:dyDescent="0.3">
      <c r="B33" s="1">
        <v>45946</v>
      </c>
      <c r="C33" t="s">
        <v>116</v>
      </c>
      <c r="D33">
        <f>SUMIFS(Table14[Debit], Table14[Date], Table5[[#This Row],[Date]], Table14[Party], "Rashan")</f>
        <v>0</v>
      </c>
      <c r="H33" s="1">
        <v>45946</v>
      </c>
      <c r="J33">
        <f>SUMIFS(Table14[Debit], Table14[Date], Table15[[#This Row],[Date]], Table14[Party], "Parts")</f>
        <v>0</v>
      </c>
    </row>
    <row r="34" spans="2:10" x14ac:dyDescent="0.3">
      <c r="B34" s="1">
        <v>45947</v>
      </c>
      <c r="C34" t="s">
        <v>116</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abSelected="1"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7" t="str">
        <f>Billing!O5</f>
        <v>BSC</v>
      </c>
      <c r="B2" s="14">
        <f>Billing!W5</f>
        <v>12854653</v>
      </c>
      <c r="C2" s="103">
        <f>Billing!X5</f>
        <v>2439163.7520117071</v>
      </c>
    </row>
    <row r="3" spans="1:3" ht="18" x14ac:dyDescent="0.35">
      <c r="A3" s="87" t="str">
        <f>Billing!O6</f>
        <v>Ejaz Sahab</v>
      </c>
      <c r="B3" s="14">
        <f>Billing!W6</f>
        <v>859904</v>
      </c>
      <c r="C3" s="103">
        <f>Billing!X6</f>
        <v>624463.22750548646</v>
      </c>
    </row>
    <row r="4" spans="1:3" ht="18" x14ac:dyDescent="0.35">
      <c r="A4" s="87" t="str">
        <f>Billing!O7</f>
        <v>Arshad</v>
      </c>
      <c r="B4" s="14">
        <f>Billing!W7</f>
        <v>2306701</v>
      </c>
      <c r="C4" s="104">
        <f>Billing!X7</f>
        <v>98052.10899780551</v>
      </c>
    </row>
    <row r="5" spans="1:3" ht="18" x14ac:dyDescent="0.35">
      <c r="A5" s="87" t="str">
        <f>Billing!O8</f>
        <v>Shehzad Kamoki</v>
      </c>
      <c r="B5" s="14">
        <f>Billing!W8</f>
        <v>1268740</v>
      </c>
      <c r="C5" s="104">
        <f>Billing!X8</f>
        <v>530.34403803967871</v>
      </c>
    </row>
    <row r="6" spans="1:3" ht="18" x14ac:dyDescent="0.35">
      <c r="A6" s="87" t="str">
        <f>Billing!O9</f>
        <v>Sufi Nawaz Sahab</v>
      </c>
      <c r="B6" s="14">
        <f>Billing!W9</f>
        <v>8629100</v>
      </c>
      <c r="C6" s="103">
        <f>Billing!X9</f>
        <v>2609704.4725676663</v>
      </c>
    </row>
    <row r="7" spans="1:3" ht="18" x14ac:dyDescent="0.35">
      <c r="A7" s="87" t="str">
        <f>Billing!O10</f>
        <v>Sajad Khan</v>
      </c>
      <c r="B7" s="14">
        <f>Billing!W10</f>
        <v>3751266</v>
      </c>
      <c r="C7" s="103">
        <f>Billing!X10</f>
        <v>653086.59692757856</v>
      </c>
    </row>
    <row r="8" spans="1:3" ht="18" x14ac:dyDescent="0.35">
      <c r="A8" s="87" t="str">
        <f>Billing!O11</f>
        <v>Raaz Fabrics</v>
      </c>
      <c r="B8" s="14">
        <f>Billing!W11</f>
        <v>600000</v>
      </c>
      <c r="C8" s="103">
        <f>Billing!X11</f>
        <v>90919.89758595475</v>
      </c>
    </row>
    <row r="9" spans="1:3" ht="18" x14ac:dyDescent="0.35">
      <c r="A9" s="87" t="str">
        <f>Billing!O12</f>
        <v>Azam</v>
      </c>
      <c r="B9" s="14">
        <f>Billing!W12</f>
        <v>1617620</v>
      </c>
      <c r="C9" s="103">
        <f>Billing!X12</f>
        <v>467.05193855194375</v>
      </c>
    </row>
    <row r="10" spans="1:3" ht="18" x14ac:dyDescent="0.35">
      <c r="A10" s="87" t="str">
        <f>Billing!O13</f>
        <v>Ubaidullah</v>
      </c>
      <c r="B10" s="14">
        <f>Billing!W13</f>
        <v>451150</v>
      </c>
      <c r="C10" s="104">
        <f>Billing!X13</f>
        <v>180084.45501097303</v>
      </c>
    </row>
    <row r="11" spans="1:3" ht="18" x14ac:dyDescent="0.35">
      <c r="A11" s="87" t="str">
        <f>Billing!O14</f>
        <v>Ashraf Zia</v>
      </c>
      <c r="B11" s="14">
        <f>Billing!W14</f>
        <v>0</v>
      </c>
      <c r="C11" s="103">
        <f>Billing!X14</f>
        <v>255724.21360643749</v>
      </c>
    </row>
    <row r="12" spans="1:3" ht="18" x14ac:dyDescent="0.35">
      <c r="A12" s="87" t="str">
        <f>Billing!O15</f>
        <v>Hafiz Qureshi</v>
      </c>
      <c r="B12" s="14">
        <f>Billing!W15</f>
        <v>400000</v>
      </c>
      <c r="C12" s="103">
        <f>Billing!X15</f>
        <v>46881.858083394356</v>
      </c>
    </row>
    <row r="13" spans="1:3" ht="18" x14ac:dyDescent="0.35">
      <c r="A13" s="87" t="str">
        <f>Billing!O16</f>
        <v>Badshah Fabrics</v>
      </c>
      <c r="B13" s="14">
        <f>Billing!W16</f>
        <v>1370000</v>
      </c>
      <c r="C13" s="103">
        <f>Billing!X16</f>
        <v>1285543.1602048283</v>
      </c>
    </row>
    <row r="14" spans="1:3" ht="18" x14ac:dyDescent="0.35">
      <c r="A14" t="str">
        <f>Billing!O17</f>
        <v>Reject</v>
      </c>
      <c r="B14" s="14">
        <f>Billing!W17</f>
        <v>0</v>
      </c>
      <c r="C14" s="103">
        <f>Billing!X17</f>
        <v>0</v>
      </c>
    </row>
    <row r="15" spans="1:3" ht="18" x14ac:dyDescent="0.35">
      <c r="A15" t="str">
        <f>Billing!O18</f>
        <v>Amjad 7up</v>
      </c>
      <c r="B15" s="14">
        <f>Billing!W18</f>
        <v>0</v>
      </c>
      <c r="C15" s="103">
        <f>Billing!X18</f>
        <v>483851.49963423557</v>
      </c>
    </row>
    <row r="16" spans="1:3" ht="18" x14ac:dyDescent="0.35">
      <c r="A16" t="str">
        <f>Billing!O19</f>
        <v>Hazrat Khan</v>
      </c>
      <c r="B16" s="14">
        <f>Billing!W19</f>
        <v>0</v>
      </c>
      <c r="C16" s="103">
        <f>Billing!X19</f>
        <v>89155.084125822978</v>
      </c>
    </row>
    <row r="17" spans="1:3" ht="18" x14ac:dyDescent="0.35">
      <c r="A17" t="str">
        <f>Billing!O20</f>
        <v>Haseeb Shamsi</v>
      </c>
      <c r="B17" s="14">
        <f>Billing!W20</f>
        <v>0</v>
      </c>
      <c r="C17" s="103">
        <f>Billing!X20</f>
        <v>256272.86027798103</v>
      </c>
    </row>
    <row r="18" spans="1:3" ht="18" x14ac:dyDescent="0.35">
      <c r="A18">
        <f>Billing!O21</f>
        <v>0</v>
      </c>
      <c r="B18" s="14">
        <f>Billing!W21</f>
        <v>0</v>
      </c>
      <c r="C18" s="103">
        <f>Billing!X21</f>
        <v>0</v>
      </c>
    </row>
    <row r="19" spans="1:3" ht="18" x14ac:dyDescent="0.35">
      <c r="A19">
        <f>Billing!O22</f>
        <v>0</v>
      </c>
      <c r="B19" s="14">
        <f>Billing!W22</f>
        <v>0</v>
      </c>
      <c r="C19" s="103">
        <f>Billing!X22</f>
        <v>0</v>
      </c>
    </row>
    <row r="20" spans="1:3" ht="18" x14ac:dyDescent="0.35">
      <c r="A20">
        <f>Billing!O23</f>
        <v>0</v>
      </c>
      <c r="B20" s="14">
        <f>Billing!W23</f>
        <v>0</v>
      </c>
      <c r="C20" s="103">
        <f>Billing!X23</f>
        <v>0</v>
      </c>
    </row>
    <row r="21" spans="1:3" ht="18" x14ac:dyDescent="0.35">
      <c r="A21">
        <f>Billing!O24</f>
        <v>0</v>
      </c>
      <c r="B21" s="14">
        <f>Billing!W24</f>
        <v>0</v>
      </c>
      <c r="C21" s="103">
        <f>Billing!X24</f>
        <v>0</v>
      </c>
    </row>
    <row r="22" spans="1:3" ht="18" x14ac:dyDescent="0.35">
      <c r="A22">
        <f>Billing!O25</f>
        <v>0</v>
      </c>
      <c r="B22" s="14">
        <f>Billing!W25</f>
        <v>0</v>
      </c>
      <c r="C22" s="103">
        <f>Billing!X25</f>
        <v>0</v>
      </c>
    </row>
    <row r="23" spans="1:3" ht="18" x14ac:dyDescent="0.35">
      <c r="A23">
        <f>Billing!O26</f>
        <v>0</v>
      </c>
      <c r="B23" s="14">
        <f>Billing!W26</f>
        <v>0</v>
      </c>
      <c r="C23" s="103">
        <f>Billing!X26</f>
        <v>0</v>
      </c>
    </row>
    <row r="24" spans="1:3" ht="18" x14ac:dyDescent="0.35">
      <c r="A24">
        <f>Billing!O27</f>
        <v>0</v>
      </c>
      <c r="B24" s="14">
        <f>Billing!W27</f>
        <v>0</v>
      </c>
      <c r="C24" s="103">
        <f>Billing!X27</f>
        <v>0</v>
      </c>
    </row>
    <row r="25" spans="1:3" ht="18" x14ac:dyDescent="0.35">
      <c r="A25">
        <f>Billing!O28</f>
        <v>0</v>
      </c>
      <c r="B25" s="14">
        <f>Billing!W28</f>
        <v>0</v>
      </c>
      <c r="C25" s="103">
        <f>Billing!X28</f>
        <v>0</v>
      </c>
    </row>
    <row r="26" spans="1:3" ht="18" x14ac:dyDescent="0.35">
      <c r="A26">
        <f>Billing!O29</f>
        <v>0</v>
      </c>
      <c r="B26" s="14">
        <f>Billing!W29</f>
        <v>0</v>
      </c>
      <c r="C26" s="103">
        <f>Billing!X29</f>
        <v>0</v>
      </c>
    </row>
    <row r="27" spans="1:3" ht="18" x14ac:dyDescent="0.35">
      <c r="A27">
        <f>Billing!O30</f>
        <v>0</v>
      </c>
      <c r="B27" s="14">
        <f>Billing!W30</f>
        <v>0</v>
      </c>
      <c r="C27" s="103">
        <f>Billing!X30</f>
        <v>0</v>
      </c>
    </row>
    <row r="28" spans="1:3" ht="18" x14ac:dyDescent="0.35">
      <c r="A28">
        <f>Billing!O31</f>
        <v>0</v>
      </c>
      <c r="B28" s="14">
        <f>Billing!W31</f>
        <v>0</v>
      </c>
      <c r="C28" s="103">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181</v>
      </c>
      <c r="B1" t="s">
        <v>69</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2025-10-17T20:27:30Z</dcterms:modified>
  <cp:category/>
  <cp:contentStatus/>
</cp:coreProperties>
</file>