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800" documentId="8_{4224AC12-CADB-4490-A83D-F531F0CDC7D0}" xr6:coauthVersionLast="47" xr6:coauthVersionMax="47" xr10:uidLastSave="{4E5FD4F5-742C-44C1-BD03-F23C38BFD640}"/>
  <bookViews>
    <workbookView xWindow="-108" yWindow="-108" windowWidth="23256" windowHeight="12456" activeTab="8"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39" r:id="rId18"/>
    <pivotCache cacheId="43" r:id="rId19"/>
    <pivotCache cacheId="48" r:id="rId20"/>
    <pivotCache cacheId="54"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7" l="1"/>
  <c r="H19" i="7" s="1"/>
  <c r="H44" i="6"/>
  <c r="I44" i="6" s="1"/>
  <c r="H20" i="7"/>
  <c r="I88" i="1"/>
  <c r="J88" i="1" a="1"/>
  <c r="J88" i="1" s="1"/>
  <c r="I89" i="1"/>
  <c r="J89" i="1" s="1" a="1"/>
  <c r="J89" i="1" s="1"/>
  <c r="I90" i="1"/>
  <c r="J90" i="1" a="1"/>
  <c r="J90" i="1" s="1"/>
  <c r="I91" i="1"/>
  <c r="J91" i="1" a="1"/>
  <c r="J91" i="1"/>
  <c r="I92" i="1"/>
  <c r="J92" i="1" a="1"/>
  <c r="J92" i="1" s="1"/>
  <c r="I93" i="1"/>
  <c r="J93" i="1" s="1" a="1"/>
  <c r="J93" i="1" s="1"/>
  <c r="H45" i="6"/>
  <c r="I45" i="6" s="1"/>
  <c r="G46" i="6"/>
  <c r="I46" i="6"/>
  <c r="G45" i="6"/>
  <c r="G44" i="6"/>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H41" i="6"/>
  <c r="I41" i="6" s="1"/>
  <c r="G41" i="6"/>
  <c r="G43" i="6"/>
  <c r="I43" i="6"/>
  <c r="I73" i="1"/>
  <c r="J73" i="1" a="1"/>
  <c r="J73" i="1" s="1"/>
  <c r="I74" i="1"/>
  <c r="J74" i="1" a="1"/>
  <c r="J74" i="1" s="1"/>
  <c r="I75" i="1"/>
  <c r="J75" i="1" s="1" a="1"/>
  <c r="J75" i="1" s="1"/>
  <c r="I76" i="1"/>
  <c r="J76" i="1" s="1" a="1"/>
  <c r="J76" i="1" s="1"/>
  <c r="I77" i="1"/>
  <c r="J77" i="1" a="1"/>
  <c r="J77" i="1" s="1"/>
  <c r="I78" i="1"/>
  <c r="J78" i="1" s="1" a="1"/>
  <c r="J78" i="1" s="1"/>
  <c r="I79" i="1"/>
  <c r="J79" i="1" s="1" a="1"/>
  <c r="J79" i="1" s="1"/>
  <c r="I80" i="1"/>
  <c r="J80" i="1" s="1" a="1"/>
  <c r="J80" i="1" s="1"/>
  <c r="I81" i="1"/>
  <c r="J81" i="1" s="1" a="1"/>
  <c r="J81" i="1" s="1"/>
  <c r="I82" i="1"/>
  <c r="J82" i="1" a="1"/>
  <c r="J82" i="1" s="1"/>
  <c r="I83" i="1"/>
  <c r="J83" i="1" s="1" a="1"/>
  <c r="J83" i="1" s="1"/>
  <c r="I84" i="1"/>
  <c r="J84" i="1" a="1"/>
  <c r="J84" i="1" s="1"/>
  <c r="I85" i="1"/>
  <c r="J85" i="1" a="1"/>
  <c r="J85" i="1" s="1"/>
  <c r="I86" i="1"/>
  <c r="J86" i="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a="1"/>
  <c r="J65" i="1" s="1"/>
  <c r="I66" i="1"/>
  <c r="J66" i="1" a="1"/>
  <c r="J66" i="1" s="1"/>
  <c r="I67" i="1"/>
  <c r="J67" i="1" a="1"/>
  <c r="J67" i="1" s="1"/>
  <c r="I68" i="1"/>
  <c r="J68" i="1" s="1" a="1"/>
  <c r="J68" i="1" s="1"/>
  <c r="I11" i="1"/>
  <c r="J11" i="1" a="1"/>
  <c r="J11" i="1" s="1"/>
  <c r="I12" i="1"/>
  <c r="J12" i="1" s="1" a="1"/>
  <c r="J12" i="1" s="1"/>
  <c r="I13" i="1"/>
  <c r="J13" i="1" s="1" a="1"/>
  <c r="J13" i="1" s="1"/>
  <c r="I14" i="1"/>
  <c r="J14" i="1" a="1"/>
  <c r="J14" i="1" s="1"/>
  <c r="I15" i="1"/>
  <c r="J15" i="1" s="1" a="1"/>
  <c r="J15" i="1" s="1"/>
  <c r="I16" i="1"/>
  <c r="J16" i="1" a="1"/>
  <c r="J16" i="1" s="1"/>
  <c r="I17" i="1"/>
  <c r="J17" i="1" s="1" a="1"/>
  <c r="J17" i="1" s="1"/>
  <c r="I18" i="1"/>
  <c r="J18" i="1" s="1" a="1"/>
  <c r="J18" i="1" s="1"/>
  <c r="I19" i="1"/>
  <c r="J19" i="1" a="1"/>
  <c r="J19" i="1" s="1"/>
  <c r="I20" i="1"/>
  <c r="J20" i="1" s="1" a="1"/>
  <c r="J20" i="1" s="1"/>
  <c r="I21" i="1"/>
  <c r="J21" i="1" s="1" a="1"/>
  <c r="J21" i="1" s="1"/>
  <c r="I22" i="1"/>
  <c r="J22" i="1" s="1" a="1"/>
  <c r="J22" i="1" s="1"/>
  <c r="I23" i="1"/>
  <c r="J23" i="1" s="1" a="1"/>
  <c r="J23" i="1" s="1"/>
  <c r="I24" i="1"/>
  <c r="J24" i="1" s="1" a="1"/>
  <c r="J24" i="1" s="1"/>
  <c r="I25" i="1"/>
  <c r="J25" i="1" s="1" a="1"/>
  <c r="J25" i="1" s="1"/>
  <c r="I26" i="1"/>
  <c r="J26" i="1" a="1"/>
  <c r="J26" i="1" s="1"/>
  <c r="I27" i="1"/>
  <c r="J27" i="1" s="1" a="1"/>
  <c r="J27" i="1" s="1"/>
  <c r="I28" i="1"/>
  <c r="J28" i="1" s="1" a="1"/>
  <c r="J28" i="1" s="1"/>
  <c r="I29" i="1"/>
  <c r="J29" i="1" a="1"/>
  <c r="J29" i="1" s="1"/>
  <c r="I30" i="1"/>
  <c r="J30" i="1" s="1" a="1"/>
  <c r="J30" i="1" s="1"/>
  <c r="I31" i="1"/>
  <c r="J31" i="1" s="1" a="1"/>
  <c r="J31" i="1" s="1"/>
  <c r="I32" i="1"/>
  <c r="J32" i="1" s="1" a="1"/>
  <c r="J32" i="1" s="1"/>
  <c r="I33" i="1"/>
  <c r="J33" i="1" s="1" a="1"/>
  <c r="J33" i="1" s="1"/>
  <c r="I34" i="1"/>
  <c r="J34" i="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a="1"/>
  <c r="J42" i="1" s="1"/>
  <c r="I43" i="1"/>
  <c r="J43" i="1" s="1" a="1"/>
  <c r="J43" i="1" s="1"/>
  <c r="I44" i="1"/>
  <c r="J44" i="1" s="1" a="1"/>
  <c r="J44" i="1" s="1"/>
  <c r="I45" i="1"/>
  <c r="J45" i="1" a="1"/>
  <c r="J45" i="1" s="1"/>
  <c r="I46" i="1"/>
  <c r="J46" i="1" s="1" a="1"/>
  <c r="J46" i="1" s="1"/>
  <c r="I47" i="1"/>
  <c r="J47" i="1" s="1" a="1"/>
  <c r="J47" i="1" s="1"/>
  <c r="I48" i="1"/>
  <c r="J48" i="1" s="1" a="1"/>
  <c r="J48" i="1" s="1"/>
  <c r="I49" i="1"/>
  <c r="J49" i="1" s="1"/>
  <c r="I50" i="1"/>
  <c r="J50" i="1" a="1"/>
  <c r="J50" i="1" s="1"/>
  <c r="I51" i="1"/>
  <c r="J51" i="1" s="1" a="1"/>
  <c r="J51" i="1" s="1"/>
  <c r="I52" i="1"/>
  <c r="J52" i="1" s="1" a="1"/>
  <c r="J52" i="1" s="1"/>
  <c r="I53" i="1"/>
  <c r="J53" i="1" a="1"/>
  <c r="J53" i="1" s="1"/>
  <c r="I54" i="1"/>
  <c r="J54" i="1" s="1" a="1"/>
  <c r="J54" i="1" s="1"/>
  <c r="I55" i="1"/>
  <c r="J55" i="1" s="1" a="1"/>
  <c r="J55" i="1" s="1"/>
  <c r="I56" i="1"/>
  <c r="J56" i="1" s="1" a="1"/>
  <c r="J56" i="1" s="1"/>
  <c r="I57" i="1"/>
  <c r="J57" i="1" s="1" a="1"/>
  <c r="J57" i="1" s="1"/>
  <c r="I58" i="1"/>
  <c r="J58" i="1" a="1"/>
  <c r="J58" i="1" s="1"/>
  <c r="I59" i="1"/>
  <c r="J59" i="1" s="1" a="1"/>
  <c r="J59" i="1" s="1"/>
  <c r="I61" i="1"/>
  <c r="J61" i="1" s="1" a="1"/>
  <c r="J61" i="1" s="1"/>
  <c r="I62" i="1"/>
  <c r="J62" i="1" a="1"/>
  <c r="J62" i="1" s="1"/>
  <c r="I60" i="1"/>
  <c r="J60" i="1" s="1" a="1"/>
  <c r="J60" i="1" s="1"/>
  <c r="F61" i="1"/>
  <c r="G30" i="6"/>
  <c r="G31" i="6"/>
  <c r="G32" i="6"/>
  <c r="I30" i="6"/>
  <c r="I32" i="6"/>
  <c r="G28" i="6"/>
  <c r="G29" i="6"/>
  <c r="I29" i="6"/>
  <c r="B26" i="9" a="1"/>
  <c r="F57" i="1"/>
  <c r="F56" i="1"/>
  <c r="F29" i="1"/>
  <c r="F26" i="1"/>
  <c r="F19" i="1"/>
  <c r="F17" i="1"/>
  <c r="G11" i="15"/>
  <c r="H11" i="15" s="1"/>
  <c r="G12" i="15"/>
  <c r="H12" i="15" s="1"/>
  <c r="H27" i="6"/>
  <c r="I27" i="6" s="1"/>
  <c r="G26" i="6"/>
  <c r="G27" i="6"/>
  <c r="I26" i="6"/>
  <c r="O5" i="9" a="1"/>
  <c r="W15" i="9" s="1"/>
  <c r="P17" i="9" a="1"/>
  <c r="P17" i="9" s="1"/>
  <c r="P18" i="9" a="1"/>
  <c r="P18" i="9" s="1"/>
  <c r="P19" i="9" a="1"/>
  <c r="P19" i="9" s="1"/>
  <c r="H38" i="9" a="1"/>
  <c r="H38" i="9" s="1"/>
  <c r="G38" i="9" a="1"/>
  <c r="G38" i="9" s="1"/>
  <c r="W18" i="9"/>
  <c r="W19" i="9"/>
  <c r="W17" i="9"/>
  <c r="S17" i="9" a="1"/>
  <c r="S17" i="9" s="1"/>
  <c r="T17" i="9" a="1"/>
  <c r="T17" i="9" s="1"/>
  <c r="U17" i="9" a="1"/>
  <c r="U17" i="9" s="1"/>
  <c r="S18" i="9" a="1"/>
  <c r="S18" i="9" s="1"/>
  <c r="T18" i="9" a="1"/>
  <c r="T18" i="9" s="1"/>
  <c r="U18" i="9" a="1"/>
  <c r="U18" i="9" s="1"/>
  <c r="S19" i="9" a="1"/>
  <c r="S19" i="9" s="1"/>
  <c r="T19" i="9" a="1"/>
  <c r="T19" i="9" s="1"/>
  <c r="U19" i="9" a="1"/>
  <c r="U19" i="9" s="1"/>
  <c r="R17" i="9" a="1"/>
  <c r="R17" i="9" s="1"/>
  <c r="R18" i="9" a="1"/>
  <c r="R18" i="9" s="1"/>
  <c r="R19" i="9" a="1"/>
  <c r="R19" i="9" s="1"/>
  <c r="Q17" i="9" a="1"/>
  <c r="Q17" i="9" s="1"/>
  <c r="Q18" i="9" a="1"/>
  <c r="Q18" i="9" s="1"/>
  <c r="Q19" i="9" a="1"/>
  <c r="Q19" i="9" s="1"/>
  <c r="H25" i="6"/>
  <c r="I25" i="6" s="1"/>
  <c r="G25" i="6"/>
  <c r="H23" i="6"/>
  <c r="I23" i="6" s="1"/>
  <c r="H24" i="6"/>
  <c r="I24" i="6" s="1"/>
  <c r="G23" i="6"/>
  <c r="G24" i="6"/>
  <c r="D201" i="17"/>
  <c r="D2" i="17"/>
  <c r="C186" i="17"/>
  <c r="J15" i="14"/>
  <c r="H22" i="6"/>
  <c r="I22" i="6" s="1"/>
  <c r="H21" i="6"/>
  <c r="I21" i="6" s="1"/>
  <c r="G22" i="6"/>
  <c r="G10" i="15"/>
  <c r="H10" i="15" s="1"/>
  <c r="G9" i="15"/>
  <c r="H9" i="15" s="1"/>
  <c r="D3" i="17"/>
  <c r="C6" i="8"/>
  <c r="E7" i="7"/>
  <c r="C5" i="8" s="1"/>
  <c r="E8" i="7"/>
  <c r="E9" i="7"/>
  <c r="H9" i="7" s="1"/>
  <c r="E10" i="7"/>
  <c r="H10" i="7" s="1"/>
  <c r="E11" i="7"/>
  <c r="H11" i="7" s="1"/>
  <c r="E12" i="7"/>
  <c r="H12" i="7" s="1"/>
  <c r="E13" i="7"/>
  <c r="H13" i="7" s="1"/>
  <c r="E14" i="7"/>
  <c r="H14" i="7" s="1"/>
  <c r="E15" i="7"/>
  <c r="H15" i="7" s="1"/>
  <c r="E17" i="7"/>
  <c r="H17" i="7" s="1"/>
  <c r="E18" i="7"/>
  <c r="H18" i="7" s="1"/>
  <c r="E21"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H8" i="7"/>
  <c r="I14" i="6"/>
  <c r="G13" i="6"/>
  <c r="G14" i="6"/>
  <c r="C73" i="17"/>
  <c r="C7" i="8" s="1"/>
  <c r="C72" i="17"/>
  <c r="C16" i="10" s="1"/>
  <c r="D46" i="17"/>
  <c r="H11" i="6"/>
  <c r="I11" i="6" s="1"/>
  <c r="H12" i="6"/>
  <c r="I12" i="6" s="1"/>
  <c r="H8" i="6"/>
  <c r="I8" i="6" s="1"/>
  <c r="G9" i="6"/>
  <c r="G11" i="6"/>
  <c r="G12" i="6"/>
  <c r="I9" i="6"/>
  <c r="G6" i="7"/>
  <c r="H6" i="7" s="1"/>
  <c r="G5" i="7"/>
  <c r="H5" i="7" s="1"/>
  <c r="G4" i="7"/>
  <c r="H4" i="7" s="1"/>
  <c r="H6" i="15"/>
  <c r="D18" i="17"/>
  <c r="D345" i="17" s="1"/>
  <c r="K5" i="17" s="1"/>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H33" i="2" s="1"/>
  <c r="I33" i="2" s="1"/>
  <c r="D33" i="2" s="1"/>
  <c r="E34" i="2"/>
  <c r="F34" i="2"/>
  <c r="H34" i="2"/>
  <c r="I34" i="2"/>
  <c r="D34" i="2" s="1"/>
  <c r="E35" i="2"/>
  <c r="F35" i="2"/>
  <c r="G35" i="2" s="1"/>
  <c r="H75" i="1" s="1"/>
  <c r="E36" i="2"/>
  <c r="G36" i="2" s="1"/>
  <c r="H77" i="1" s="1"/>
  <c r="F36" i="2"/>
  <c r="H36" i="2" s="1"/>
  <c r="I36" i="2" s="1"/>
  <c r="D36" i="2" s="1"/>
  <c r="E37" i="2"/>
  <c r="G37" i="2"/>
  <c r="H78" i="1" s="1"/>
  <c r="F37" i="2"/>
  <c r="H6" i="6"/>
  <c r="I6" i="6" s="1"/>
  <c r="G6" i="6"/>
  <c r="E39" i="2"/>
  <c r="F39" i="2"/>
  <c r="H39" i="2" s="1"/>
  <c r="I39" i="2" s="1"/>
  <c r="D39" i="2" s="1"/>
  <c r="E40" i="2"/>
  <c r="F40" i="2"/>
  <c r="H40" i="2" s="1"/>
  <c r="I40" i="2" s="1"/>
  <c r="D40" i="2" s="1"/>
  <c r="E41" i="2"/>
  <c r="F41" i="2"/>
  <c r="H41" i="2" s="1"/>
  <c r="I41" i="2" s="1"/>
  <c r="D41" i="2" s="1"/>
  <c r="E42" i="2"/>
  <c r="F42" i="2"/>
  <c r="H42" i="2" s="1"/>
  <c r="I42" i="2" s="1"/>
  <c r="D42" i="2" s="1"/>
  <c r="E43" i="2"/>
  <c r="F43" i="2"/>
  <c r="G43" i="2" s="1"/>
  <c r="E44" i="2"/>
  <c r="F44" i="2"/>
  <c r="G44" i="2" s="1"/>
  <c r="E45" i="2"/>
  <c r="F45" i="2"/>
  <c r="H45" i="2" s="1"/>
  <c r="I45" i="2" s="1"/>
  <c r="D45" i="2" s="1"/>
  <c r="E46" i="2"/>
  <c r="G46" i="2" s="1"/>
  <c r="H93" i="1" s="1"/>
  <c r="F46" i="2"/>
  <c r="H46" i="2" s="1"/>
  <c r="I46" i="2" s="1"/>
  <c r="D46" i="2" s="1"/>
  <c r="F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8" i="9"/>
  <c r="J4" i="19" a="1"/>
  <c r="J4" i="19" s="1"/>
  <c r="E8" i="18"/>
  <c r="E3" i="18"/>
  <c r="E4" i="18"/>
  <c r="E5" i="18"/>
  <c r="E6" i="18"/>
  <c r="E7" i="18"/>
  <c r="E9" i="18"/>
  <c r="E10" i="18"/>
  <c r="E11" i="18"/>
  <c r="E12" i="18"/>
  <c r="E13" i="18"/>
  <c r="E14" i="18"/>
  <c r="E15" i="18"/>
  <c r="E16" i="18"/>
  <c r="E17" i="18"/>
  <c r="E18" i="18"/>
  <c r="E19" i="18"/>
  <c r="E20" i="18"/>
  <c r="F21" i="2"/>
  <c r="F22" i="2"/>
  <c r="H22" i="2" s="1"/>
  <c r="I22" i="2" s="1"/>
  <c r="D22" i="2" s="1"/>
  <c r="F23" i="2"/>
  <c r="H23" i="2" s="1"/>
  <c r="I23" i="2" s="1"/>
  <c r="D23" i="2" s="1"/>
  <c r="F24" i="2"/>
  <c r="H24" i="2"/>
  <c r="I24" i="2" s="1"/>
  <c r="D24" i="2" s="1"/>
  <c r="F25" i="2"/>
  <c r="H25" i="2" s="1"/>
  <c r="I25" i="2" s="1"/>
  <c r="D25" i="2" s="1"/>
  <c r="F26" i="2"/>
  <c r="H26" i="2" s="1"/>
  <c r="I26" i="2" s="1"/>
  <c r="D26" i="2" s="1"/>
  <c r="F27" i="2"/>
  <c r="G27" i="2" s="1"/>
  <c r="H52" i="1" s="1"/>
  <c r="H27" i="2"/>
  <c r="I27" i="2" s="1"/>
  <c r="D27" i="2" s="1"/>
  <c r="F28" i="2"/>
  <c r="H28" i="2" s="1"/>
  <c r="I28" i="2" s="1"/>
  <c r="D28" i="2" s="1"/>
  <c r="F29" i="2"/>
  <c r="H29" i="2" s="1"/>
  <c r="I29" i="2" s="1"/>
  <c r="D29" i="2" s="1"/>
  <c r="F30" i="2"/>
  <c r="H30" i="2" s="1"/>
  <c r="I30" i="2" s="1"/>
  <c r="D30" i="2" s="1"/>
  <c r="F31" i="2"/>
  <c r="G31" i="2" s="1"/>
  <c r="H31" i="2"/>
  <c r="I31" i="2" s="1"/>
  <c r="D31" i="2" s="1"/>
  <c r="F32" i="2"/>
  <c r="H32" i="2" s="1"/>
  <c r="I32" i="2" s="1"/>
  <c r="D32" i="2" s="1"/>
  <c r="E22" i="2"/>
  <c r="E23" i="2"/>
  <c r="E24" i="2"/>
  <c r="G24" i="2"/>
  <c r="H47" i="1" s="1"/>
  <c r="E25" i="2"/>
  <c r="E26" i="2"/>
  <c r="E27" i="2"/>
  <c r="E28" i="2"/>
  <c r="E29" i="2"/>
  <c r="G29" i="2" s="1"/>
  <c r="H58" i="1" s="1"/>
  <c r="E30" i="2"/>
  <c r="G30" i="2" s="1"/>
  <c r="H59" i="1" s="1"/>
  <c r="E31" i="2"/>
  <c r="E32" i="2"/>
  <c r="E20" i="2"/>
  <c r="G20" i="2" s="1"/>
  <c r="E21" i="2"/>
  <c r="N4" i="17"/>
  <c r="F20" i="2"/>
  <c r="E15" i="2"/>
  <c r="E16" i="2"/>
  <c r="E17" i="2"/>
  <c r="E18" i="2"/>
  <c r="G18" i="2" s="1"/>
  <c r="E19" i="2"/>
  <c r="E7" i="2"/>
  <c r="E8" i="2"/>
  <c r="E9" i="2"/>
  <c r="E10" i="2"/>
  <c r="E11" i="2"/>
  <c r="E12" i="2"/>
  <c r="E13" i="2"/>
  <c r="E14" i="2"/>
  <c r="E5" i="2"/>
  <c r="E6" i="2"/>
  <c r="E4" i="2"/>
  <c r="F13" i="2"/>
  <c r="H13" i="2" s="1"/>
  <c r="I13" i="2" s="1"/>
  <c r="D13" i="2" s="1"/>
  <c r="F14" i="2"/>
  <c r="G14" i="2" s="1"/>
  <c r="F15" i="2"/>
  <c r="H15" i="2"/>
  <c r="I15" i="2" s="1"/>
  <c r="D15" i="2" s="1"/>
  <c r="F16" i="2"/>
  <c r="G16" i="2" s="1"/>
  <c r="H28" i="1" s="1"/>
  <c r="F17" i="2"/>
  <c r="H17" i="2" s="1"/>
  <c r="I17" i="2" s="1"/>
  <c r="D17" i="2" s="1"/>
  <c r="F18" i="2"/>
  <c r="F19" i="2"/>
  <c r="C8" i="8"/>
  <c r="F11" i="2"/>
  <c r="H11" i="2" s="1"/>
  <c r="I11" i="2" s="1"/>
  <c r="F10" i="2"/>
  <c r="G10" i="2" s="1"/>
  <c r="H16" i="1" s="1"/>
  <c r="H10" i="2"/>
  <c r="I10" i="2" s="1"/>
  <c r="D10" i="2" s="1"/>
  <c r="F6" i="2"/>
  <c r="H6" i="2" s="1"/>
  <c r="I6" i="2" s="1"/>
  <c r="D6" i="2" s="1"/>
  <c r="F7" i="2"/>
  <c r="F8" i="2"/>
  <c r="H8" i="2"/>
  <c r="I8" i="2"/>
  <c r="D8" i="2"/>
  <c r="F9" i="2"/>
  <c r="G9" i="2" s="1"/>
  <c r="N3" i="7"/>
  <c r="N5" i="7" s="1"/>
  <c r="E6" i="11"/>
  <c r="D6" i="11"/>
  <c r="F12" i="2"/>
  <c r="H12" i="2" s="1"/>
  <c r="I12" i="2" s="1"/>
  <c r="D12" i="2" s="1"/>
  <c r="G12" i="2"/>
  <c r="H18" i="1" s="1"/>
  <c r="F5" i="2"/>
  <c r="H5" i="2"/>
  <c r="I5" i="2"/>
  <c r="D5" i="2" s="1"/>
  <c r="F3" i="2"/>
  <c r="F4" i="2"/>
  <c r="G4" i="2" s="1"/>
  <c r="F13" i="15"/>
  <c r="H37" i="2"/>
  <c r="I37" i="2" s="1"/>
  <c r="D37" i="2" s="1"/>
  <c r="B2" i="2"/>
  <c r="H3" i="1"/>
  <c r="H10" i="1"/>
  <c r="H4" i="1"/>
  <c r="H7" i="1"/>
  <c r="H5" i="1"/>
  <c r="H6" i="1"/>
  <c r="H9" i="1"/>
  <c r="H2" i="1"/>
  <c r="H8" i="1"/>
  <c r="H18" i="2"/>
  <c r="I18" i="2"/>
  <c r="D18" i="2"/>
  <c r="G8" i="2"/>
  <c r="H13" i="1" s="1"/>
  <c r="G38" i="2"/>
  <c r="H79" i="1" s="1"/>
  <c r="G34" i="2"/>
  <c r="H71" i="1" s="1"/>
  <c r="H44" i="2"/>
  <c r="I44" i="2" s="1"/>
  <c r="D44" i="2" s="1"/>
  <c r="H20" i="2"/>
  <c r="I20" i="2" s="1"/>
  <c r="D20" i="2" s="1"/>
  <c r="H7" i="2"/>
  <c r="I7" i="2" s="1"/>
  <c r="D7" i="2" s="1"/>
  <c r="G5" i="2"/>
  <c r="H38" i="2"/>
  <c r="I38" i="2" s="1"/>
  <c r="D38" i="2" s="1"/>
  <c r="N5" i="17"/>
  <c r="C12" i="10"/>
  <c r="C345" i="17"/>
  <c r="I10" i="1"/>
  <c r="J10" i="1" s="1" a="1"/>
  <c r="J10" i="1" s="1"/>
  <c r="I2" i="1"/>
  <c r="I3" i="1"/>
  <c r="J3" i="1" s="1" a="1"/>
  <c r="J3" i="1" s="1"/>
  <c r="I4" i="1"/>
  <c r="J4" i="1" s="1" a="1"/>
  <c r="J4" i="1" s="1"/>
  <c r="I5" i="1"/>
  <c r="J5" i="1" s="1" a="1"/>
  <c r="J5" i="1" s="1"/>
  <c r="I6" i="1"/>
  <c r="J6" i="1" s="1" a="1"/>
  <c r="J6" i="1" s="1"/>
  <c r="I7" i="1"/>
  <c r="J7" i="1" s="1" a="1"/>
  <c r="J7" i="1" s="1"/>
  <c r="I8" i="1"/>
  <c r="J8" i="1" s="1" a="1"/>
  <c r="J8" i="1" s="1"/>
  <c r="I9" i="1"/>
  <c r="J9" i="1" s="1" a="1"/>
  <c r="J9" i="1" s="1"/>
  <c r="C2" i="2"/>
  <c r="H62" i="1" l="1"/>
  <c r="H60" i="1"/>
  <c r="H88" i="1"/>
  <c r="H89" i="1"/>
  <c r="H43" i="2"/>
  <c r="I43" i="2" s="1"/>
  <c r="D43" i="2" s="1"/>
  <c r="G6" i="2"/>
  <c r="G45" i="2"/>
  <c r="H91" i="1" s="1"/>
  <c r="G41" i="2"/>
  <c r="H84" i="1" s="1"/>
  <c r="G7" i="2"/>
  <c r="H25" i="1" s="1"/>
  <c r="G15" i="2"/>
  <c r="H27" i="1" s="1"/>
  <c r="G42" i="2"/>
  <c r="H85" i="1" s="1"/>
  <c r="G19" i="2"/>
  <c r="H68" i="1" s="1"/>
  <c r="G11" i="2"/>
  <c r="G17" i="2"/>
  <c r="H30" i="1" s="1"/>
  <c r="G39" i="2"/>
  <c r="H82" i="1" s="1"/>
  <c r="G33" i="2"/>
  <c r="G26" i="2"/>
  <c r="H49" i="1" s="1"/>
  <c r="G32" i="2"/>
  <c r="H64" i="1" s="1"/>
  <c r="G23" i="2"/>
  <c r="H50" i="1" s="1"/>
  <c r="G21" i="2"/>
  <c r="H40" i="1" s="1"/>
  <c r="H19" i="2"/>
  <c r="I19" i="2" s="1"/>
  <c r="D19" i="2" s="1"/>
  <c r="H4" i="2"/>
  <c r="I4" i="2" s="1"/>
  <c r="D4" i="2" s="1"/>
  <c r="H14" i="2"/>
  <c r="I14" i="2" s="1"/>
  <c r="D14" i="2" s="1"/>
  <c r="G28" i="2"/>
  <c r="H54" i="1" s="1"/>
  <c r="G40" i="2"/>
  <c r="H83" i="1" s="1"/>
  <c r="H7" i="7"/>
  <c r="H72" i="1"/>
  <c r="H11" i="1"/>
  <c r="H24" i="1"/>
  <c r="H76" i="1"/>
  <c r="H65" i="1"/>
  <c r="H21" i="1"/>
  <c r="H15" i="1"/>
  <c r="H38" i="1"/>
  <c r="H39" i="1"/>
  <c r="H23" i="1"/>
  <c r="H46" i="1"/>
  <c r="H33" i="1"/>
  <c r="H32" i="1"/>
  <c r="H90" i="1"/>
  <c r="H87" i="1"/>
  <c r="H36" i="1"/>
  <c r="H35" i="1"/>
  <c r="H63" i="1"/>
  <c r="H41" i="1"/>
  <c r="H21" i="2"/>
  <c r="I21" i="2" s="1"/>
  <c r="D21" i="2" s="1"/>
  <c r="H73" i="1"/>
  <c r="H57" i="1"/>
  <c r="H16" i="2"/>
  <c r="I16" i="2" s="1"/>
  <c r="D16" i="2" s="1"/>
  <c r="H19" i="1"/>
  <c r="H35" i="2"/>
  <c r="I35" i="2" s="1"/>
  <c r="D35" i="2" s="1"/>
  <c r="G25" i="2"/>
  <c r="H48" i="1" s="1"/>
  <c r="G22" i="2"/>
  <c r="H45" i="1" s="1"/>
  <c r="H92" i="1"/>
  <c r="H26" i="1"/>
  <c r="H61" i="1"/>
  <c r="H9" i="2"/>
  <c r="I9" i="2" s="1"/>
  <c r="D9" i="2" s="1"/>
  <c r="G13" i="2"/>
  <c r="H66" i="1"/>
  <c r="H70" i="1"/>
  <c r="H56" i="1"/>
  <c r="H36" i="9" a="1"/>
  <c r="H36" i="9" s="1"/>
  <c r="P16" i="9" a="1"/>
  <c r="P16" i="9" s="1"/>
  <c r="B15" i="9"/>
  <c r="R16" i="9" a="1"/>
  <c r="R16" i="9" s="1"/>
  <c r="J37" i="9"/>
  <c r="G37" i="9" a="1"/>
  <c r="G37" i="9" s="1"/>
  <c r="I37" i="9" s="1"/>
  <c r="W16" i="9"/>
  <c r="H37" i="9" a="1"/>
  <c r="H37" i="9" s="1"/>
  <c r="Q16" i="9" a="1"/>
  <c r="Q16" i="9" s="1"/>
  <c r="I38" i="9"/>
  <c r="K38" i="9" s="1"/>
  <c r="V17" i="9"/>
  <c r="X17" i="9" s="1"/>
  <c r="V19" i="9"/>
  <c r="X19" i="9" s="1"/>
  <c r="G36" i="9" a="1"/>
  <c r="G36" i="9" s="1"/>
  <c r="I36" i="9" s="1"/>
  <c r="P15" i="9" a="1"/>
  <c r="P15" i="9" s="1"/>
  <c r="R15" i="9" a="1"/>
  <c r="R15" i="9" s="1"/>
  <c r="V18" i="9"/>
  <c r="X18" i="9" s="1"/>
  <c r="J36" i="9"/>
  <c r="Q15" i="9" a="1"/>
  <c r="Q15" i="9" s="1"/>
  <c r="B14" i="9"/>
  <c r="J30" i="9"/>
  <c r="B9" i="9"/>
  <c r="J34" i="9"/>
  <c r="E50" i="9"/>
  <c r="R11" i="9" s="1" a="1"/>
  <c r="R11" i="9" s="1"/>
  <c r="J29" i="9"/>
  <c r="A3" i="20"/>
  <c r="A10" i="20"/>
  <c r="A7" i="20"/>
  <c r="C47" i="9"/>
  <c r="P8" i="9" s="1" a="1"/>
  <c r="P8" i="9" s="1"/>
  <c r="E46" i="9"/>
  <c r="R7" i="9" s="1" a="1"/>
  <c r="R7" i="9" s="1"/>
  <c r="J46" i="9"/>
  <c r="W7" i="9" s="1"/>
  <c r="B4" i="20" s="1"/>
  <c r="D52" i="9"/>
  <c r="Q13" i="9" s="1" a="1"/>
  <c r="Q13" i="9" s="1"/>
  <c r="C52" i="9"/>
  <c r="P13" i="9" s="1" a="1"/>
  <c r="P13" i="9" s="1"/>
  <c r="J35" i="9"/>
  <c r="B5" i="9"/>
  <c r="C45" i="9"/>
  <c r="P6" i="9" s="1" a="1"/>
  <c r="P6" i="9" s="1"/>
  <c r="H29" i="9" a="1"/>
  <c r="H29" i="9" s="1"/>
  <c r="D49" i="9"/>
  <c r="Q10" i="9" s="1" a="1"/>
  <c r="Q10" i="9" s="1"/>
  <c r="D48" i="9"/>
  <c r="Q9" i="9" s="1" a="1"/>
  <c r="Q9" i="9" s="1"/>
  <c r="D45" i="9"/>
  <c r="Q6" i="9" s="1" a="1"/>
  <c r="Q6" i="9" s="1"/>
  <c r="H27" i="9" a="1"/>
  <c r="H27" i="9" s="1"/>
  <c r="J27" i="9"/>
  <c r="J32" i="9"/>
  <c r="H32" i="9" a="1"/>
  <c r="H32" i="9" s="1"/>
  <c r="G30" i="9" a="1"/>
  <c r="G30" i="9" s="1"/>
  <c r="E49" i="9"/>
  <c r="R10" i="9" s="1" a="1"/>
  <c r="R10" i="9" s="1"/>
  <c r="C46" i="9"/>
  <c r="P7" i="9" s="1" a="1"/>
  <c r="P7" i="9" s="1"/>
  <c r="J49" i="9"/>
  <c r="W10" i="9" s="1"/>
  <c r="B7" i="20" s="1"/>
  <c r="J33" i="9"/>
  <c r="B13" i="9"/>
  <c r="G33" i="9" a="1"/>
  <c r="G33" i="9" s="1"/>
  <c r="J28" i="9"/>
  <c r="G27" i="9" a="1"/>
  <c r="G27" i="9" s="1"/>
  <c r="J47" i="9"/>
  <c r="W8" i="9" s="1"/>
  <c r="B5" i="20" s="1"/>
  <c r="H34" i="9" a="1"/>
  <c r="H34" i="9" s="1"/>
  <c r="H35" i="9" a="1"/>
  <c r="H35" i="9" s="1"/>
  <c r="E47" i="9"/>
  <c r="R8" i="9" s="1" a="1"/>
  <c r="R8" i="9" s="1"/>
  <c r="R14" i="9" a="1"/>
  <c r="R14" i="9" s="1"/>
  <c r="B26" i="9"/>
  <c r="B6" i="9"/>
  <c r="B10" i="9"/>
  <c r="I94" i="1" a="1"/>
  <c r="I94" i="1" s="1"/>
  <c r="A4" i="20"/>
  <c r="Q14" i="9" a="1"/>
  <c r="Q14" i="9" s="1"/>
  <c r="C50" i="9"/>
  <c r="P11" i="9" s="1" a="1"/>
  <c r="P11" i="9" s="1"/>
  <c r="D47" i="9"/>
  <c r="Q8" i="9" s="1" a="1"/>
  <c r="Q8" i="9" s="1"/>
  <c r="J50" i="9"/>
  <c r="W11" i="9" s="1"/>
  <c r="B8" i="20" s="1"/>
  <c r="H33" i="9" a="1"/>
  <c r="H33" i="9" s="1"/>
  <c r="C51" i="9"/>
  <c r="P12" i="9" s="1" a="1"/>
  <c r="P12" i="9" s="1"/>
  <c r="J51" i="9"/>
  <c r="W12" i="9" s="1"/>
  <c r="B9" i="20" s="1"/>
  <c r="H28" i="9" a="1"/>
  <c r="H28" i="9" s="1"/>
  <c r="J45" i="9"/>
  <c r="W6" i="9" s="1"/>
  <c r="B3" i="20" s="1"/>
  <c r="J2" i="1" a="1"/>
  <c r="J2" i="1" s="1"/>
  <c r="J94" i="1" s="1" a="1"/>
  <c r="J94" i="1" s="1"/>
  <c r="B12" i="9"/>
  <c r="C48" i="9"/>
  <c r="P9" i="9" s="1" a="1"/>
  <c r="P9" i="9" s="1"/>
  <c r="C49" i="9"/>
  <c r="P10" i="9" s="1" a="1"/>
  <c r="P10" i="9" s="1"/>
  <c r="A11" i="20"/>
  <c r="H31" i="9" a="1"/>
  <c r="H31" i="9" s="1"/>
  <c r="B11" i="9"/>
  <c r="A5" i="20"/>
  <c r="O5" i="9"/>
  <c r="A2" i="20" s="1"/>
  <c r="E48" i="9"/>
  <c r="R9" i="9" s="1" a="1"/>
  <c r="R9" i="9" s="1"/>
  <c r="D12" i="19" s="1" a="1"/>
  <c r="D12" i="19" s="1"/>
  <c r="J52" i="9"/>
  <c r="W13" i="9" s="1"/>
  <c r="B10" i="20" s="1"/>
  <c r="G29" i="9" a="1"/>
  <c r="G29" i="9" s="1"/>
  <c r="E45" i="9"/>
  <c r="R6" i="9" s="1" a="1"/>
  <c r="R6" i="9" s="1"/>
  <c r="J48" i="9"/>
  <c r="W9" i="9" s="1"/>
  <c r="A8" i="20"/>
  <c r="A6" i="20"/>
  <c r="B7" i="9"/>
  <c r="G35" i="9" a="1"/>
  <c r="G35" i="9" s="1"/>
  <c r="I35" i="9" s="1"/>
  <c r="H30" i="9" a="1"/>
  <c r="H30" i="9" s="1"/>
  <c r="B8" i="9"/>
  <c r="D51" i="9"/>
  <c r="Q12" i="9" s="1" a="1"/>
  <c r="Q12" i="9" s="1"/>
  <c r="D50" i="9"/>
  <c r="Q11" i="9" s="1" a="1"/>
  <c r="Q11" i="9" s="1"/>
  <c r="D46" i="9"/>
  <c r="Q7" i="9" s="1" a="1"/>
  <c r="Q7" i="9" s="1"/>
  <c r="G28" i="9" a="1"/>
  <c r="G28" i="9" s="1"/>
  <c r="A9" i="20"/>
  <c r="G31" i="9" a="1"/>
  <c r="G31" i="9" s="1"/>
  <c r="J31" i="9"/>
  <c r="E51" i="9"/>
  <c r="R12" i="9" s="1" a="1"/>
  <c r="R12" i="9" s="1"/>
  <c r="E52" i="9"/>
  <c r="R13" i="9" s="1" a="1"/>
  <c r="R13" i="9" s="1"/>
  <c r="W14" i="9"/>
  <c r="B11" i="20" s="1"/>
  <c r="P14" i="9" a="1"/>
  <c r="P14" i="9" s="1"/>
  <c r="G34" i="9" a="1"/>
  <c r="G34" i="9" s="1"/>
  <c r="G32" i="9" a="1"/>
  <c r="G32" i="9" s="1"/>
  <c r="F345" i="17"/>
  <c r="D35" i="14"/>
  <c r="C10" i="8" s="1"/>
  <c r="N6" i="17"/>
  <c r="N7" i="17" s="1"/>
  <c r="C35" i="12"/>
  <c r="N14" i="6"/>
  <c r="C4" i="8" s="1"/>
  <c r="G47" i="6"/>
  <c r="H13" i="15"/>
  <c r="E35" i="18"/>
  <c r="D35" i="18"/>
  <c r="C11" i="8" s="1"/>
  <c r="H21" i="7"/>
  <c r="I35" i="12"/>
  <c r="J35" i="14"/>
  <c r="C12" i="8" s="1"/>
  <c r="G13" i="15"/>
  <c r="I47" i="6"/>
  <c r="H47" i="6"/>
  <c r="K4" i="17"/>
  <c r="K6" i="17" s="1"/>
  <c r="D2" i="2"/>
  <c r="K94" i="1"/>
  <c r="H55" i="1" l="1"/>
  <c r="H53" i="1"/>
  <c r="H34" i="1"/>
  <c r="H43" i="1"/>
  <c r="H42" i="1"/>
  <c r="H80" i="1"/>
  <c r="H44" i="1"/>
  <c r="H37" i="1"/>
  <c r="H31" i="1"/>
  <c r="H51" i="1"/>
  <c r="H81" i="1"/>
  <c r="H86" i="1"/>
  <c r="H74" i="1"/>
  <c r="H14" i="1"/>
  <c r="H69" i="1"/>
  <c r="H67" i="1"/>
  <c r="H17" i="1"/>
  <c r="H29" i="1"/>
  <c r="K37" i="9"/>
  <c r="H20" i="1"/>
  <c r="H22" i="1"/>
  <c r="E18" i="19" a="1"/>
  <c r="E18" i="19" s="1"/>
  <c r="C15" i="9"/>
  <c r="E15" i="9"/>
  <c r="I33" i="9"/>
  <c r="I29" i="9"/>
  <c r="K29" i="9" s="1"/>
  <c r="K36" i="9"/>
  <c r="I32" i="9"/>
  <c r="K32" i="9" s="1"/>
  <c r="C14" i="9"/>
  <c r="E14" i="9"/>
  <c r="D10" i="19" a="1"/>
  <c r="D10" i="19" s="1"/>
  <c r="I34" i="9"/>
  <c r="K34" i="9" s="1"/>
  <c r="I30" i="9"/>
  <c r="K30" i="9" s="1"/>
  <c r="D8" i="19" a="1"/>
  <c r="D8" i="19" s="1"/>
  <c r="I27" i="9"/>
  <c r="K27" i="9" s="1"/>
  <c r="G26" i="9" a="1"/>
  <c r="G26" i="9" s="1"/>
  <c r="J44" i="9"/>
  <c r="W5" i="9" s="1"/>
  <c r="B2" i="20" s="1"/>
  <c r="H26" i="9" a="1"/>
  <c r="H26" i="9" s="1"/>
  <c r="C44" i="9"/>
  <c r="P5" i="9" s="1" a="1"/>
  <c r="P5" i="9" s="1"/>
  <c r="G44" i="9" a="1"/>
  <c r="F26" i="9" a="1"/>
  <c r="F26" i="9" s="1"/>
  <c r="B4" i="9"/>
  <c r="C14" i="19" a="1"/>
  <c r="C14" i="19" s="1"/>
  <c r="D44" i="9"/>
  <c r="Q5" i="9" s="1" a="1"/>
  <c r="Q5" i="9" s="1"/>
  <c r="E26" i="9" a="1"/>
  <c r="E26" i="9" s="1"/>
  <c r="H44" i="9" a="1"/>
  <c r="D26" i="9" a="1"/>
  <c r="D26" i="9" s="1"/>
  <c r="C12" i="19" a="1"/>
  <c r="C12" i="19" s="1"/>
  <c r="E12" i="19" s="1"/>
  <c r="E44" i="9"/>
  <c r="R5" i="9" s="1" a="1"/>
  <c r="R5" i="9" s="1"/>
  <c r="C26" i="9" a="1"/>
  <c r="C26" i="9" s="1"/>
  <c r="F44" i="9" a="1"/>
  <c r="I28" i="9"/>
  <c r="K28" i="9" s="1"/>
  <c r="C13" i="9"/>
  <c r="E13" i="9"/>
  <c r="I31" i="9"/>
  <c r="K31" i="9" s="1"/>
  <c r="E7" i="9"/>
  <c r="C7" i="9"/>
  <c r="K33" i="9"/>
  <c r="B6" i="20"/>
  <c r="C12" i="9"/>
  <c r="E12" i="9"/>
  <c r="C8" i="9"/>
  <c r="E8" i="9"/>
  <c r="C5" i="9"/>
  <c r="E5" i="9"/>
  <c r="C10" i="9"/>
  <c r="E10" i="9"/>
  <c r="C11" i="9"/>
  <c r="E11" i="9"/>
  <c r="C9" i="9"/>
  <c r="E9" i="9" a="1"/>
  <c r="E9" i="9" s="1"/>
  <c r="K35" i="9"/>
  <c r="E6" i="9"/>
  <c r="C6" i="9"/>
  <c r="J26" i="9"/>
  <c r="P7" i="17"/>
  <c r="C19" i="10"/>
  <c r="C9" i="8"/>
  <c r="C14" i="8" s="1"/>
  <c r="C4" i="10" s="1"/>
  <c r="C15" i="10" s="1"/>
  <c r="C17" i="10" s="1"/>
  <c r="F35" i="18"/>
  <c r="U15" i="9" l="1" a="1"/>
  <c r="U15" i="9" s="1"/>
  <c r="U16" i="9" a="1"/>
  <c r="U16" i="9" s="1"/>
  <c r="T15" i="9" a="1"/>
  <c r="T15" i="9" s="1"/>
  <c r="V15" i="9" s="1"/>
  <c r="X15" i="9" s="1"/>
  <c r="T16" i="9" a="1"/>
  <c r="T16" i="9" s="1"/>
  <c r="V16" i="9" s="1"/>
  <c r="X16" i="9" s="1"/>
  <c r="S15" i="9" a="1"/>
  <c r="S15" i="9" s="1"/>
  <c r="S16" i="9" a="1"/>
  <c r="S16" i="9" s="1"/>
  <c r="S12" i="9" a="1"/>
  <c r="S12" i="9" s="1"/>
  <c r="F44" i="9"/>
  <c r="S5" i="9" s="1" a="1"/>
  <c r="S5" i="9" s="1"/>
  <c r="S14" i="9" a="1"/>
  <c r="S14" i="9" s="1"/>
  <c r="S10" i="9" a="1"/>
  <c r="S10" i="9" s="1"/>
  <c r="S7" i="9" a="1"/>
  <c r="S7" i="9" s="1"/>
  <c r="S6" i="9" a="1"/>
  <c r="S6" i="9" s="1"/>
  <c r="S13" i="9" a="1"/>
  <c r="S13" i="9" s="1"/>
  <c r="S11" i="9" a="1"/>
  <c r="S11" i="9" s="1"/>
  <c r="S8" i="9" a="1"/>
  <c r="S8" i="9" s="1"/>
  <c r="S9" i="9" a="1"/>
  <c r="S9" i="9" s="1"/>
  <c r="D14" i="19" s="1" a="1"/>
  <c r="D14" i="19" s="1"/>
  <c r="E14" i="19" s="1"/>
  <c r="E16" i="19" s="1"/>
  <c r="G44" i="9"/>
  <c r="I47" i="9"/>
  <c r="K47" i="9" s="1"/>
  <c r="I49" i="9"/>
  <c r="K49" i="9" s="1"/>
  <c r="I46" i="9"/>
  <c r="K46" i="9" s="1"/>
  <c r="I48" i="9"/>
  <c r="K48" i="9" s="1"/>
  <c r="I51" i="9"/>
  <c r="K51" i="9" s="1"/>
  <c r="I45" i="9"/>
  <c r="K45" i="9" s="1"/>
  <c r="I50" i="9"/>
  <c r="K50" i="9" s="1"/>
  <c r="T7" i="9" a="1"/>
  <c r="T7" i="9" s="1"/>
  <c r="T14" i="9" a="1"/>
  <c r="T14" i="9" s="1"/>
  <c r="T9" i="9" a="1"/>
  <c r="T9" i="9" s="1"/>
  <c r="T6" i="9" a="1"/>
  <c r="T6" i="9" s="1"/>
  <c r="T8" i="9" a="1"/>
  <c r="T8" i="9" s="1"/>
  <c r="T10" i="9" a="1"/>
  <c r="T10" i="9" s="1"/>
  <c r="T12" i="9" a="1"/>
  <c r="T12" i="9" s="1"/>
  <c r="T13" i="9" a="1"/>
  <c r="T13" i="9" s="1"/>
  <c r="T11" i="9" a="1"/>
  <c r="T11" i="9" s="1"/>
  <c r="H44" i="9"/>
  <c r="U5" i="9" s="1" a="1"/>
  <c r="U5" i="9" s="1"/>
  <c r="U14" i="9" a="1"/>
  <c r="U14" i="9" s="1"/>
  <c r="U11" i="9" a="1"/>
  <c r="U11" i="9" s="1"/>
  <c r="U8" i="9" a="1"/>
  <c r="U8" i="9" s="1"/>
  <c r="U7" i="9" a="1"/>
  <c r="U7" i="9" s="1"/>
  <c r="U12" i="9" a="1"/>
  <c r="U12" i="9" s="1"/>
  <c r="U6" i="9" a="1"/>
  <c r="U6" i="9" s="1"/>
  <c r="U9" i="9" a="1"/>
  <c r="U9" i="9" s="1"/>
  <c r="U13" i="9" a="1"/>
  <c r="U13" i="9" s="1"/>
  <c r="U10" i="9" a="1"/>
  <c r="U10" i="9" s="1"/>
  <c r="E4" i="9"/>
  <c r="C4" i="9"/>
  <c r="C16" i="9"/>
  <c r="I26" i="9"/>
  <c r="K26" i="9" s="1"/>
  <c r="V8" i="9" l="1"/>
  <c r="X8" i="9" s="1"/>
  <c r="V12" i="9"/>
  <c r="X12" i="9" s="1"/>
  <c r="V6" i="9"/>
  <c r="X6" i="9" s="1"/>
  <c r="V13" i="9"/>
  <c r="X13" i="9" s="1"/>
  <c r="V9" i="9"/>
  <c r="X9" i="9" s="1"/>
  <c r="E20" i="19" s="1" a="1"/>
  <c r="E20" i="19" s="1"/>
  <c r="V14" i="9"/>
  <c r="X14" i="9" s="1"/>
  <c r="V7" i="9"/>
  <c r="X7" i="9" s="1"/>
  <c r="T5" i="9" a="1"/>
  <c r="T5" i="9" s="1"/>
  <c r="V5" i="9" s="1"/>
  <c r="X5" i="9" s="1"/>
  <c r="I44" i="9"/>
  <c r="K44" i="9" s="1"/>
  <c r="V11" i="9"/>
  <c r="X11" i="9" s="1"/>
  <c r="V10" i="9"/>
  <c r="X10" i="9" s="1"/>
  <c r="C18" i="9" l="1"/>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<sst xmlns="http://schemas.openxmlformats.org/spreadsheetml/2006/main" count="1615" uniqueCount="325">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</sst>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62">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5</xdr:col>
      <xdr:colOff>1114887</xdr:colOff>
      <xdr:row>95</xdr:row>
      <xdr:rowOff>164821</xdr:rowOff>
    </xdr:from>
    <xdr:to>
      <xdr:col>10</xdr:col>
      <xdr:colOff>181102</xdr:colOff>
      <xdr:row>103</xdr:row>
      <xdr:rowOff>69568</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6765825" y="17461547"/>
              <a:ext cx="4521595" cy="136131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426925</xdr:colOff>
      <xdr:row>95</xdr:row>
      <xdr:rowOff>61915</xdr:rowOff>
    </xdr:from>
    <xdr:to>
      <xdr:col>2</xdr:col>
      <xdr:colOff>62142</xdr:colOff>
      <xdr:row>103</xdr:row>
      <xdr:rowOff>120315</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26925" y="17358641"/>
              <a:ext cx="1874013" cy="151496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10</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0.926787268516" createdVersion="8" refreshedVersion="8" minRefreshableVersion="3" recordCount="343" xr:uid="{B5BDFB73-D93A-4A7A-8149-666BC190B09B}">
  <cacheSource type="worksheet">
    <worksheetSource name="Table14"/>
  </cacheSource>
  <cacheFields count="7">
    <cacheField name="Date" numFmtId="14">
      <sharedItems containsNonDate="0" containsDate="1" containsString="0" containsBlank="1" minDate="2025-08-17T00:00:00" maxDate="2025-09-11T00:00:00"/>
    </cacheField>
    <cacheField name="Party" numFmtId="0">
      <sharedItems containsBlank="1" count="36">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0.92678761573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469624.17702999274"/>
    </cacheField>
    <cacheField name="Rate" numFmtId="0">
      <sharedItems containsString="0" containsBlank="1" containsNumber="1" minValue="10" maxValue="10.5"/>
    </cacheField>
    <cacheField name="Total" numFmtId="164">
      <sharedItems containsSemiMixedTypes="0" containsString="0" containsNumber="1" minValue="0" maxValue="4626865.398683248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0.926787731485" createdVersion="8" refreshedVersion="8" minRefreshableVersion="3" recordCount="19" xr:uid="{AC867DCC-CE64-4D1A-827D-F1F3EE10EE4E}">
  <cacheSource type="worksheet">
    <worksheetSource name="Table8"/>
  </cacheSource>
  <cacheFields count="9">
    <cacheField name="Date" numFmtId="0">
      <sharedItems containsNonDate="0" containsDate="1" containsString="0" containsBlank="1" minDate="2025-05-16T00:00:00" maxDate="2025-09-11T00:00:00" count="19">
        <d v="2025-08-16T00:00:00"/>
        <d v="2025-08-19T00:00:00"/>
        <d v="2025-08-20T00:00:00"/>
        <d v="2025-08-23T00:00:00"/>
        <d v="2025-09-10T00:00:00"/>
        <m/>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0.926788194447" createdVersion="8" refreshedVersion="8" minRefreshableVersion="3" recordCount="45" xr:uid="{3E5C2981-ACF5-44A9-8567-B1D65DB3A8D2}">
  <cacheSource type="worksheet">
    <worksheetSource name="Table3"/>
  </cacheSource>
  <cacheFields count="9">
    <cacheField name="Date" numFmtId="14">
      <sharedItems containsSemiMixedTypes="0" containsNonDate="0" containsDate="1" containsString="0" minDate="2025-05-02T00:00:00" maxDate="2025-09-11T00:00:00" count="46">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52" maxValue="9940" count="40">
        <s v="Closing Balance CF"/>
        <n v="6691"/>
        <n v="1055"/>
        <n v="8395"/>
        <n v="3229"/>
        <m/>
        <n v="4649"/>
        <n v="52"/>
        <n v="739"/>
        <n v="1288"/>
        <n v="5045"/>
        <s v="-"/>
        <n v="561"/>
        <n v="447"/>
        <n v="5946"/>
        <n v="1910"/>
        <n v="7286"/>
        <n v="1961"/>
        <n v="8141"/>
        <n v="3220"/>
        <n v="5679"/>
        <n v="9373"/>
        <n v="160"/>
        <n v="1973"/>
        <n v="9940"/>
        <n v="685"/>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0.92678854167" createdVersion="8" refreshedVersion="8" minRefreshableVersion="3" recordCount="92" xr:uid="{46CBB50D-3613-4E5B-8212-DD0313DCD05A}">
  <cacheSource type="worksheet">
    <worksheetSource name="Table1"/>
  </cacheSource>
  <cacheFields count="14">
    <cacheField name="Date" numFmtId="14">
      <sharedItems containsSemiMixedTypes="0" containsNonDate="0" containsDate="1" containsString="0" minDate="2025-07-25T00:00:00" maxDate="2025-09-11T00:00:00" count="37">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u="1"/>
        <s v="YING" u="1"/>
        <s v="Meow" u="1"/>
        <s v="Umer Sb" u="1"/>
        <s v="-" u="1"/>
        <s v="Sajjad" u="1"/>
        <s v="Haji Ejaz" u="1"/>
      </sharedItems>
    </cacheField>
    <cacheField name="Bill Number" numFmtId="0">
      <sharedItems containsMixedTypes="1" containsNumber="1" containsInteger="1" minValue="604" maxValue="803" count="19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96">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511"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0.926789120371" createdVersion="8" refreshedVersion="8" minRefreshableVersion="3" recordCount="8" xr:uid="{376A650C-1F79-4049-BC45-E34989F046B2}">
  <cacheSource type="worksheet">
    <worksheetSource name="Table2"/>
  </cacheSource>
  <cacheFields count="8">
    <cacheField name="Date" numFmtId="14">
      <sharedItems containsSemiMixedTypes="0" containsNonDate="0" containsDate="1" containsString="0" minDate="2025-08-16T00:00:00" maxDate="2025-09-10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Cash"/>
    <m/>
  </r>
  <r>
    <d v="2025-09-10T00:00:00"/>
    <x v="25"/>
    <n v="5000"/>
    <m/>
    <s v="Master Akbar"/>
    <s v="Cash"/>
    <m/>
  </r>
  <r>
    <d v="2025-09-10T00:00:00"/>
    <x v="9"/>
    <n v="7692"/>
    <m/>
    <m/>
    <s v="Bank"/>
    <m/>
  </r>
  <r>
    <d v="2025-09-10T00:00:00"/>
    <x v="4"/>
    <n v="3900"/>
    <m/>
    <s v="nozzle"/>
    <s v="Bank"/>
    <m/>
  </r>
  <r>
    <d v="2025-09-10T00:00:00"/>
    <x v="24"/>
    <m/>
    <n v="97000"/>
    <s v="billing"/>
    <s v="Bank"/>
    <m/>
  </r>
  <r>
    <d v="2025-09-10T00:00:00"/>
    <x v="2"/>
    <n v="201450"/>
    <m/>
    <s v="wood"/>
    <s v="Bank"/>
    <m/>
  </r>
  <r>
    <d v="2025-09-10T00:00:00"/>
    <x v="5"/>
    <n v="5335"/>
    <m/>
    <s v="petrol"/>
    <s v="Bank"/>
    <m/>
  </r>
  <r>
    <m/>
    <x v="30"/>
    <m/>
    <m/>
    <m/>
    <m/>
    <m/>
  </r>
  <r>
    <m/>
    <x v="30"/>
    <m/>
    <m/>
    <m/>
    <m/>
    <m/>
  </r>
  <r>
    <m/>
    <x v="30"/>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69624.17702999274"/>
    <n v="10"/>
    <n v="4626865.3986832481"/>
  </r>
  <r>
    <x v="1"/>
    <n v="24754.937820043895"/>
    <n v="10"/>
    <n v="247549.37820043895"/>
  </r>
  <r>
    <x v="2"/>
    <n v="55363.935625457212"/>
    <n v="10"/>
    <n v="553639.35625457217"/>
  </r>
  <r>
    <x v="3"/>
    <n v="0"/>
    <n v="10.5"/>
    <n v="0"/>
  </r>
  <r>
    <x v="4"/>
    <n v="307038.22238478425"/>
    <n v="10"/>
    <n v="3076097.2933430872"/>
  </r>
  <r>
    <x v="5"/>
    <n v="94636.06437454281"/>
    <n v="10"/>
    <n v="946360.64374542807"/>
  </r>
  <r>
    <x v="6"/>
    <n v="23730.797366495979"/>
    <n v="10"/>
    <n v="237307.97366495978"/>
  </r>
  <r>
    <x v="7"/>
    <n v="0"/>
    <n v="10"/>
    <n v="0"/>
  </r>
  <r>
    <x v="8"/>
    <n v="29529.078273591811"/>
    <n v="10"/>
    <n v="295290.78273591812"/>
  </r>
  <r>
    <x v="9"/>
    <n v="21310.35113386979"/>
    <m/>
    <n v="213103.51133869789"/>
  </r>
  <r>
    <x v="10"/>
    <n v="22580.468178493051"/>
    <m/>
    <n v="225804.68178493052"/>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5"/>
    <m/>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x v="0"/>
    <x v="0"/>
    <x v="0"/>
    <s v="Chamki"/>
    <x v="0"/>
    <m/>
    <m/>
    <n v="0"/>
    <n v="414267.55669348943"/>
    <n v="4142675.5669348943"/>
    <m/>
  </r>
  <r>
    <x v="0"/>
    <x v="1"/>
    <x v="0"/>
    <s v="Chamki"/>
    <x v="0"/>
    <m/>
    <m/>
    <n v="0"/>
    <n v="61235.369422092175"/>
    <n v="612353.69422092172"/>
    <m/>
  </r>
  <r>
    <x v="0"/>
    <x v="2"/>
    <x v="0"/>
    <s v="Chamki"/>
    <x v="0"/>
    <m/>
    <m/>
    <n v="0"/>
    <n v="76517.922457937093"/>
    <n v="765179.22457937093"/>
    <m/>
  </r>
  <r>
    <x v="0"/>
    <x v="3"/>
    <x v="0"/>
    <s v="Chamki"/>
    <x v="0"/>
    <m/>
    <m/>
    <n v="0"/>
    <n v="83155.632772494515"/>
    <n v="850000.04411119246"/>
    <m/>
  </r>
  <r>
    <x v="0"/>
    <x v="4"/>
    <x v="0"/>
    <s v="Chamki"/>
    <x v="0"/>
    <m/>
    <m/>
    <n v="0"/>
    <n v="119396.48866130214"/>
    <n v="1074568.3979517194"/>
    <m/>
  </r>
  <r>
    <x v="0"/>
    <x v="5"/>
    <x v="0"/>
    <s v="Chamki"/>
    <x v="0"/>
    <m/>
    <m/>
    <n v="0"/>
    <n v="156420.99487929774"/>
    <n v="1564209.9487929773"/>
    <m/>
  </r>
  <r>
    <x v="0"/>
    <x v="6"/>
    <x v="0"/>
    <s v="Crinkle"/>
    <x v="0"/>
    <m/>
    <m/>
    <n v="0"/>
    <n v="21851.682516459401"/>
    <n v="218516.82516459402"/>
    <m/>
  </r>
  <r>
    <x v="0"/>
    <x v="7"/>
    <x v="0"/>
    <s v="Chamki"/>
    <x v="0"/>
    <m/>
    <m/>
    <n v="0"/>
    <n v="19940.563277249454"/>
    <n v="199405.63277249454"/>
    <m/>
  </r>
  <r>
    <x v="0"/>
    <x v="4"/>
    <x v="0"/>
    <s v="Silky"/>
    <x v="0"/>
    <m/>
    <m/>
    <n 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0.160415110617578"/>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14.057744620183243"/>
    <n v="22580.468178493051"/>
    <n v="225804.6817849305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61">
      <pivotArea field="0" grandRow="1" outline="0" collapsedLevelsAreSubtotals="1" axis="axisRow" fieldPosition="0">
        <references count="1">
          <reference field="4294967294" count="1" selected="0">
            <x v="1"/>
          </reference>
        </references>
      </pivotArea>
    </format>
    <format dxfId="160">
      <pivotArea field="0" grandRow="1" outline="0" collapsedLevelsAreSubtotals="1" axis="axisRow" fieldPosition="0">
        <references count="1">
          <reference field="4294967294" count="1" selected="0">
            <x v="0"/>
          </reference>
        </references>
      </pivotArea>
    </format>
    <format dxfId="159">
      <pivotArea collapsedLevelsAreSubtotals="1" fieldPosition="0">
        <references count="2">
          <reference field="4294967294" count="1" selected="0">
            <x v="1"/>
          </reference>
          <reference field="0" count="0"/>
        </references>
      </pivotArea>
    </format>
    <format dxfId="15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10:K132" firstHeaderRow="0" firstDataRow="1" firstDataCol="1"/>
  <pivotFields count="14">
    <pivotField axis="axisRow" numFmtId="14" showAll="0">
      <items count="38">
        <item m="1" x="21"/>
        <item m="1" x="22"/>
        <item m="1" x="23"/>
        <item m="1" x="24"/>
        <item m="1" x="25"/>
        <item m="1" x="26"/>
        <item m="1" x="36"/>
        <item m="1" x="27"/>
        <item m="1" x="28"/>
        <item m="1" x="29"/>
        <item m="1" x="30"/>
        <item m="1" x="31"/>
        <item m="1" x="32"/>
        <item m="1" x="33"/>
        <item m="1" x="34"/>
        <item m="1" x="35"/>
        <item x="2"/>
        <item x="0"/>
        <item x="1"/>
        <item x="3"/>
        <item x="4"/>
        <item x="5"/>
        <item x="6"/>
        <item x="7"/>
        <item x="8"/>
        <item x="9"/>
        <item x="10"/>
        <item x="11"/>
        <item x="12"/>
        <item x="13"/>
        <item x="14"/>
        <item x="15"/>
        <item x="16"/>
        <item x="17"/>
        <item x="18"/>
        <item x="19"/>
        <item x="2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2">
    <i>
      <x v="16"/>
    </i>
    <i>
      <x v="17"/>
    </i>
    <i>
      <x v="18"/>
    </i>
    <i>
      <x v="19"/>
    </i>
    <i>
      <x v="20"/>
    </i>
    <i>
      <x v="21"/>
    </i>
    <i>
      <x v="22"/>
    </i>
    <i>
      <x v="23"/>
    </i>
    <i>
      <x v="24"/>
    </i>
    <i>
      <x v="25"/>
    </i>
    <i>
      <x v="26"/>
    </i>
    <i>
      <x v="27"/>
    </i>
    <i>
      <x v="28"/>
    </i>
    <i>
      <x v="29"/>
    </i>
    <i>
      <x v="30"/>
    </i>
    <i>
      <x v="31"/>
    </i>
    <i>
      <x v="32"/>
    </i>
    <i>
      <x v="33"/>
    </i>
    <i>
      <x v="34"/>
    </i>
    <i>
      <x v="35"/>
    </i>
    <i>
      <x v="3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10:G195" firstHeaderRow="0" firstDataRow="1" firstDataCol="1" rowPageCount="3" colPageCount="1"/>
  <pivotFields count="14">
    <pivotField axis="axisPage" showAll="0">
      <items count="38">
        <item m="1" x="21"/>
        <item m="1" x="22"/>
        <item m="1" x="23"/>
        <item m="1" x="24"/>
        <item m="1" x="25"/>
        <item m="1" x="26"/>
        <item m="1" x="36"/>
        <item m="1" x="27"/>
        <item m="1" x="28"/>
        <item m="1" x="29"/>
        <item m="1" x="30"/>
        <item m="1" x="31"/>
        <item m="1" x="32"/>
        <item m="1" x="33"/>
        <item m="1" x="34"/>
        <item m="1" x="35"/>
        <item x="2"/>
        <item x="0"/>
        <item x="1"/>
        <item x="3"/>
        <item x="4"/>
        <item x="5"/>
        <item x="6"/>
        <item x="7"/>
        <item x="8"/>
        <item x="9"/>
        <item x="10"/>
        <item x="11"/>
        <item x="12"/>
        <item x="13"/>
        <item x="14"/>
        <item x="15"/>
        <item x="16"/>
        <item x="17"/>
        <item x="18"/>
        <item x="19"/>
        <item x="20"/>
        <item t="default"/>
      </items>
    </pivotField>
    <pivotField axis="axisPage" multipleItemSelectionAllowed="1" showAll="0">
      <items count="19">
        <item x="2"/>
        <item x="0"/>
        <item m="1" x="17"/>
        <item x="6"/>
        <item m="1" x="16"/>
        <item m="1" x="15"/>
        <item m="1" x="14"/>
        <item x="1"/>
        <item x="3"/>
        <item m="1" x="13"/>
        <item x="4"/>
        <item m="1" x="12"/>
        <item m="1" x="11"/>
        <item x="5"/>
        <item x="7"/>
        <item x="8"/>
        <item x="9"/>
        <item x="10"/>
        <item t="default"/>
      </items>
    </pivotField>
    <pivotField axis="axisRow" numFmtId="164" showAll="0">
      <items count="19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84"/>
        <item m="1" x="85"/>
        <item m="1" x="86"/>
        <item m="1" x="87"/>
        <item m="1" x="88"/>
        <item m="1" x="89"/>
        <item m="1" x="90"/>
        <item m="1" x="91"/>
        <item m="1" x="92"/>
        <item m="1" x="93"/>
        <item m="1" x="94"/>
        <item m="1" x="95"/>
        <item m="1" x="96"/>
        <item m="1" x="97"/>
        <item m="1" x="98"/>
        <item m="1" x="99"/>
        <item m="1" x="100"/>
        <item m="1" x="101"/>
        <item m="1" x="130"/>
        <item m="1" x="102"/>
        <item m="1" x="103"/>
        <item m="1" x="104"/>
        <item m="1" x="105"/>
        <item m="1" x="106"/>
        <item m="1" x="107"/>
        <item m="1" x="119"/>
        <item m="1" x="108"/>
        <item m="1" x="109"/>
        <item m="1" x="110"/>
        <item m="1" x="111"/>
        <item m="1" x="112"/>
        <item m="1" x="113"/>
        <item m="1" x="114"/>
        <item m="1" x="115"/>
        <item m="1" x="116"/>
        <item m="1" x="117"/>
        <item m="1" x="118"/>
        <item m="1" x="120"/>
        <item m="1" x="121"/>
        <item m="1" x="122"/>
        <item m="1" x="123"/>
        <item m="1" x="124"/>
        <item m="1" x="125"/>
        <item m="1" x="126"/>
        <item m="1" x="127"/>
        <item m="1" x="128"/>
        <item m="1" x="129"/>
        <item m="1" x="131"/>
        <item m="1" x="132"/>
        <item m="1" x="133"/>
        <item m="1" x="134"/>
        <item m="1" x="135"/>
        <item m="1" x="136"/>
        <item m="1" x="137"/>
        <item m="1" x="138"/>
        <item m="1" x="139"/>
        <item m="1" x="140"/>
        <item m="1" x="141"/>
        <item m="1" x="142"/>
        <item m="1" x="143"/>
        <item m="1" x="144"/>
        <item m="1" x="14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showAll="0"/>
    <pivotField axis="axisPage" multipleItemSelectionAllowed="1" showAll="0">
      <items count="97">
        <item m="1" x="49"/>
        <item m="1" x="79"/>
        <item m="1" x="80"/>
        <item m="1" x="88"/>
        <item m="1" x="78"/>
        <item m="1" x="77"/>
        <item m="1" x="81"/>
        <item m="1" x="92"/>
        <item m="1" x="84"/>
        <item m="1" x="85"/>
        <item m="1" x="82"/>
        <item m="1" x="83"/>
        <item m="1" x="93"/>
        <item m="1" x="86"/>
        <item m="1" x="87"/>
        <item m="1" x="90"/>
        <item m="1" x="91"/>
        <item m="1" x="89"/>
        <item m="1" x="44"/>
        <item m="1" x="95"/>
        <item m="1" x="43"/>
        <item m="1" x="94"/>
        <item m="1" x="46"/>
        <item m="1" x="45"/>
        <item m="1" x="47"/>
        <item m="1" x="53"/>
        <item m="1" x="48"/>
        <item m="1" x="50"/>
        <item m="1" x="54"/>
        <item m="1" x="55"/>
        <item m="1" x="74"/>
        <item m="1" x="51"/>
        <item m="1" x="52"/>
        <item x="28"/>
        <item m="1" x="76"/>
        <item m="1" x="75"/>
        <item m="1" x="56"/>
        <item m="1" x="57"/>
        <item m="1" x="58"/>
        <item m="1" x="59"/>
        <item m="1" x="60"/>
        <item x="2"/>
        <item m="1" x="61"/>
        <item m="1" x="62"/>
        <item m="1" x="63"/>
        <item m="1" x="64"/>
        <item m="1" x="65"/>
        <item m="1" x="66"/>
        <item m="1" x="67"/>
        <item m="1" x="68"/>
        <item m="1" x="69"/>
        <item m="1" x="70"/>
        <item m="1" x="71"/>
        <item m="1" x="72"/>
        <item m="1" x="7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85">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9:I126" firstHeaderRow="0" firstDataRow="1" firstDataCol="1" rowPageCount="1" colPageCount="1"/>
  <pivotFields count="9">
    <pivotField axis="axisRow" numFmtId="14" showAll="0">
      <items count="47">
        <item m="1" x="30"/>
        <item m="1" x="31"/>
        <item m="1" x="32"/>
        <item m="1" x="33"/>
        <item m="1" x="34"/>
        <item m="1" x="35"/>
        <item m="1" x="36"/>
        <item m="1" x="45"/>
        <item m="1" x="26"/>
        <item m="1" x="37"/>
        <item m="1" x="38"/>
        <item m="1" x="39"/>
        <item m="1" x="40"/>
        <item m="1" x="41"/>
        <item m="1" x="42"/>
        <item m="1" x="43"/>
        <item x="1"/>
        <item x="2"/>
        <item m="1" x="44"/>
        <item x="3"/>
        <item x="0"/>
        <item x="4"/>
        <item x="6"/>
        <item x="7"/>
        <item x="8"/>
        <item x="10"/>
        <item x="11"/>
        <item x="12"/>
        <item x="5"/>
        <item x="9"/>
        <item x="13"/>
        <item x="14"/>
        <item x="15"/>
        <item x="16"/>
        <item x="17"/>
        <item x="18"/>
        <item m="1" x="27"/>
        <item m="1" x="28"/>
        <item m="1" x="29"/>
        <item x="19"/>
        <item x="20"/>
        <item x="21"/>
        <item x="22"/>
        <item x="23"/>
        <item x="24"/>
        <item x="25"/>
        <item t="default"/>
      </items>
    </pivotField>
    <pivotField axis="axisPage" showAll="0">
      <items count="6">
        <item x="1"/>
        <item x="0"/>
        <item m="1" x="3"/>
        <item m="1" x="4"/>
        <item x="2"/>
        <item t="default"/>
      </items>
    </pivotField>
    <pivotField axis="axisRow" showAll="0">
      <items count="41">
        <item m="1" x="30"/>
        <item x="15"/>
        <item m="1" x="26"/>
        <item x="4"/>
        <item m="1" x="31"/>
        <item m="1" x="32"/>
        <item m="1" x="27"/>
        <item m="1" x="28"/>
        <item m="1" x="29"/>
        <item x="5"/>
        <item x="7"/>
        <item m="1" x="33"/>
        <item m="1" x="34"/>
        <item m="1" x="35"/>
        <item m="1" x="36"/>
        <item m="1" x="37"/>
        <item m="1" x="38"/>
        <item x="1"/>
        <item x="2"/>
        <item m="1" x="39"/>
        <item x="3"/>
        <item x="0"/>
        <item x="6"/>
        <item x="8"/>
        <item x="9"/>
        <item x="10"/>
        <item x="11"/>
        <item x="12"/>
        <item x="13"/>
        <item x="14"/>
        <item x="16"/>
        <item x="17"/>
        <item x="18"/>
        <item x="19"/>
        <item x="20"/>
        <item x="21"/>
        <item x="22"/>
        <item x="23"/>
        <item x="24"/>
        <item x="2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7">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34">
      <pivotArea dataOnly="0" labelOnly="1" outline="0" fieldPosition="0">
        <references count="1">
          <reference field="1" count="1">
            <x v="1"/>
          </reference>
        </references>
      </pivotArea>
    </format>
    <format dxfId="133">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5" firstHeaderRow="0" firstDataRow="1" firstDataCol="1"/>
  <pivotFields count="7">
    <pivotField numFmtId="14" showAll="0"/>
    <pivotField axis="axisRow" showAll="0">
      <items count="37">
        <item x="14"/>
        <item x="16"/>
        <item x="1"/>
        <item x="17"/>
        <item x="10"/>
        <item x="21"/>
        <item x="2"/>
        <item x="6"/>
        <item x="4"/>
        <item x="9"/>
        <item m="1" x="32"/>
        <item m="1" x="33"/>
        <item x="28"/>
        <item x="5"/>
        <item x="15"/>
        <item x="26"/>
        <item x="11"/>
        <item x="22"/>
        <item x="3"/>
        <item x="8"/>
        <item x="30"/>
        <item x="7"/>
        <item m="1" x="34"/>
        <item x="20"/>
        <item m="1" x="35"/>
        <item m="1" x="31"/>
        <item x="0"/>
        <item x="12"/>
        <item x="13"/>
        <item x="18"/>
        <item x="19"/>
        <item x="23"/>
        <item x="24"/>
        <item x="25"/>
        <item x="27"/>
        <item x="29"/>
        <item t="default"/>
      </items>
    </pivotField>
    <pivotField dataField="1" showAll="0"/>
    <pivotField dataField="1" showAll="0"/>
    <pivotField showAll="0"/>
    <pivotField showAll="0"/>
    <pivotField showAll="0"/>
  </pivotFields>
  <rowFields count="1">
    <field x="1"/>
  </rowFields>
  <rowItems count="32">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t="grand">
      <x/>
    </i>
  </rowItems>
  <colFields count="1">
    <field x="-2"/>
  </colFields>
  <colItems count="2">
    <i>
      <x/>
    </i>
    <i i="1">
      <x v="1"/>
    </i>
  </colItems>
  <dataFields count="2">
    <dataField name="Sum of Credit" fld="3" baseField="0" baseItem="0"/>
    <dataField name="Sum of Debit" fld="2" baseField="0" baseItem="0"/>
  </dataFields>
  <formats count="1">
    <format dxfId="1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7"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7"/>
        <item x="8"/>
        <item x="9"/>
        <item x="10"/>
        <item t="default"/>
      </items>
    </pivotField>
    <pivotField showAll="0"/>
    <pivotField showAll="0"/>
    <pivotField axis="axisRow" showAll="0">
      <items count="97">
        <item m="1" x="79"/>
        <item m="1" x="80"/>
        <item m="1" x="78"/>
        <item m="1" x="77"/>
        <item m="1" x="81"/>
        <item m="1" x="83"/>
        <item m="1" x="82"/>
        <item m="1" x="84"/>
        <item m="1" x="85"/>
        <item m="1" x="86"/>
        <item m="1" x="87"/>
        <item m="1" x="88"/>
        <item m="1" x="89"/>
        <item m="1" x="90"/>
        <item x="28"/>
        <item m="1" x="76"/>
        <item m="1" x="91"/>
        <item m="1" x="92"/>
        <item m="1" x="93"/>
        <item m="1" x="44"/>
        <item m="1" x="43"/>
        <item m="1" x="94"/>
        <item m="1" x="95"/>
        <item m="1" x="53"/>
        <item m="1" x="45"/>
        <item m="1" x="46"/>
        <item m="1" x="47"/>
        <item m="1" x="48"/>
        <item m="1" x="49"/>
        <item m="1" x="50"/>
        <item m="1" x="51"/>
        <item m="1" x="52"/>
        <item m="1" x="54"/>
        <item m="1" x="74"/>
        <item m="1" x="55"/>
        <item m="1" x="75"/>
        <item m="1" x="56"/>
        <item m="1" x="57"/>
        <item m="1" x="58"/>
        <item m="1" x="59"/>
        <item m="1" x="60"/>
        <item x="2"/>
        <item m="1" x="61"/>
        <item m="1" x="62"/>
        <item m="1" x="63"/>
        <item m="1" x="64"/>
        <item m="1" x="65"/>
        <item m="1" x="66"/>
        <item m="1" x="67"/>
        <item m="1" x="68"/>
        <item m="1" x="69"/>
        <item m="1" x="70"/>
        <item m="1" x="71"/>
        <item m="1" x="72"/>
        <item m="1" x="7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4">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84">
      <pivotArea type="all" dataOnly="0" outline="0" fieldPosition="0"/>
    </format>
    <format dxfId="83">
      <pivotArea outline="0" collapsedLevelsAreSubtotals="1" fieldPosition="0"/>
    </format>
    <format dxfId="82">
      <pivotArea field="4" type="button" dataOnly="0" labelOnly="1" outline="0" axis="axisRow" fieldPosition="0"/>
    </format>
    <format dxfId="81">
      <pivotArea dataOnly="0" labelOnly="1" fieldPosition="0">
        <references count="1">
          <reference field="4" count="0"/>
        </references>
      </pivotArea>
    </format>
    <format dxfId="80">
      <pivotArea dataOnly="0" labelOnly="1" grandRow="1" outline="0" fieldPosition="0"/>
    </format>
    <format dxfId="79">
      <pivotArea dataOnly="0" labelOnly="1" outline="0" fieldPosition="0">
        <references count="1">
          <reference field="4294967294" count="2">
            <x v="0"/>
            <x v="1"/>
          </reference>
        </references>
      </pivotArea>
    </format>
    <format dxfId="78">
      <pivotArea grandRow="1" outline="0" collapsedLevelsAreSubtotals="1" fieldPosition="0"/>
    </format>
    <format dxfId="77">
      <pivotArea field="4" type="button" dataOnly="0" labelOnly="1" outline="0" axis="axisRow" fieldPosition="0"/>
    </format>
    <format dxfId="7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96">
        <i x="21" s="1"/>
        <i x="1" s="1"/>
        <i x="6" s="1"/>
        <i x="2" s="1"/>
        <i x="18" s="1"/>
        <i x="4" s="1"/>
        <i x="12" s="1"/>
        <i x="8" s="1"/>
        <i x="10" s="1"/>
        <i x="3" s="1"/>
        <i x="7" s="1"/>
        <i x="5" s="1"/>
        <i x="15" s="1"/>
        <i x="11" s="1"/>
        <i x="13" s="1"/>
        <i x="16" s="1"/>
        <i x="25" s="1"/>
        <i x="14" s="1"/>
        <i x="24" s="1"/>
        <i x="29" s="1"/>
        <i x="23" s="1"/>
        <i x="26" s="1"/>
        <i x="36" s="1"/>
        <i x="22" s="1"/>
        <i x="19" s="1"/>
        <i x="20" s="1"/>
        <i x="35" s="1"/>
        <i x="28" s="1"/>
        <i x="39" s="1"/>
        <i x="34" s="1"/>
        <i x="27" s="1"/>
        <i x="32" s="1"/>
        <i x="42" s="1"/>
        <i x="40" s="1"/>
        <i x="30" s="1"/>
        <i x="38" s="1"/>
        <i x="37" s="1"/>
        <i x="33" s="1"/>
        <i x="41" s="1"/>
        <i x="31" s="1"/>
        <i x="17" s="1"/>
        <i x="9" s="1"/>
        <i x="49" s="1" nd="1"/>
        <i x="79" s="1" nd="1"/>
        <i x="80" s="1" nd="1"/>
        <i x="88" s="1" nd="1"/>
        <i x="78" s="1" nd="1"/>
        <i x="77" s="1" nd="1"/>
        <i x="81" s="1" nd="1"/>
        <i x="92" s="1" nd="1"/>
        <i x="84" s="1" nd="1"/>
        <i x="85" s="1" nd="1"/>
        <i x="82" s="1" nd="1"/>
        <i x="83" s="1" nd="1"/>
        <i x="93" s="1" nd="1"/>
        <i x="86" s="1" nd="1"/>
        <i x="87" s="1" nd="1"/>
        <i x="90" s="1" nd="1"/>
        <i x="91" s="1" nd="1"/>
        <i x="89" s="1" nd="1"/>
        <i x="44" s="1" nd="1"/>
        <i x="95" s="1" nd="1"/>
        <i x="43" s="1" nd="1"/>
        <i x="94" s="1" nd="1"/>
        <i x="46" s="1" nd="1"/>
        <i x="45" s="1" nd="1"/>
        <i x="47" s="1" nd="1"/>
        <i x="53" s="1" nd="1"/>
        <i x="48" s="1" nd="1"/>
        <i x="50" s="1" nd="1"/>
        <i x="66" s="1" nd="1"/>
        <i x="54" s="1" nd="1"/>
        <i x="60" s="1" nd="1"/>
        <i x="55" s="1" nd="1"/>
        <i x="58" s="1" nd="1"/>
        <i x="63" s="1" nd="1"/>
        <i x="74" s="1" nd="1"/>
        <i x="56" s="1" nd="1"/>
        <i x="68" s="1" nd="1"/>
        <i x="71" s="1" nd="1"/>
        <i x="62" s="1" nd="1"/>
        <i x="51" s="1" nd="1"/>
        <i x="59" s="1" nd="1"/>
        <i x="52" s="1" nd="1"/>
        <i x="57" s="1" nd="1"/>
        <i x="61" s="1" nd="1"/>
        <i x="67" s="1" nd="1"/>
        <i x="64" s="1" nd="1"/>
        <i x="69" s="1" nd="1"/>
        <i x="65" s="1" nd="1"/>
        <i x="70" s="1" nd="1"/>
        <i x="72" s="1" nd="1"/>
        <i x="73" s="1" nd="1"/>
        <i x="76" s="1" nd="1"/>
        <i x="7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7">
      <calculatedColumnFormula>B26</calculatedColumnFormula>
    </tableColumn>
    <tableColumn id="2" xr3:uid="{7EDCC2ED-0339-42B3-9633-FFEA7A3DD9F3}" name="Tiyaar" dataDxfId="156">
      <calculatedColumnFormula>SUMIFS(ledger!G:G, ledger!B:B, B4, ledger!E:E, "&lt;&gt;*RD*") / 1.0936</calculatedColumnFormula>
    </tableColumn>
    <tableColumn id="3" xr3:uid="{CC1535DD-3FE7-4F55-8040-E7643388A78E}" name="Rate"/>
    <tableColumn id="4" xr3:uid="{059CB70B-ADAD-4985-84AA-0D530BAC5567}" name="Total" dataDxfId="15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4" dataDxfId="153">
  <autoFilter ref="B7:E20" xr:uid="{449E5D32-DF9C-4018-96AB-CA98E118D910}"/>
  <tableColumns count="4">
    <tableColumn id="1" xr3:uid="{F663704C-91DD-4BB9-B7EB-EEB0C5EDED6C}" name="Description" dataDxfId="152"/>
    <tableColumn id="2" xr3:uid="{6D94D495-CD0B-4FD3-9771-81D731982A97}" name="Rate" dataDxfId="151" dataCellStyle="Comma"/>
    <tableColumn id="3" xr3:uid="{2D14CEAD-3602-40E7-A488-3584EBC9141E}" name="gazana" dataDxfId="150" dataCellStyle="Comma"/>
    <tableColumn id="4" xr3:uid="{06FEE63C-6480-4079-8426-51BC26B38B34}" name="sum" dataDxfId="14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8" totalsRowDxfId="14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6" dataDxfId="145" headerRowCellStyle="Comma" dataCellStyle="Comma">
  <autoFilter ref="B2:C5" xr:uid="{136E8F7F-D03F-4198-8335-91A003EA9E45}"/>
  <tableColumns count="2">
    <tableColumn id="1" xr3:uid="{279FA697-9952-479A-AC05-0D4992B41374}" name="Column1" dataDxfId="144" dataCellStyle="Comma"/>
    <tableColumn id="2" xr3:uid="{8A64998B-65EF-41CD-BCB0-3DDB7B359C54}" name="Column2" dataDxfId="14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2"/>
    <tableColumn id="2" xr3:uid="{51D27FA2-8DDF-4369-BAF7-7D1FE90E16A0}" name="Column2" dataDxfId="14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0" totalsRowDxfId="13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94" totalsRowCount="1" headerRowDxfId="136" dataDxfId="135" headerRowCellStyle="Comma" dataCellStyle="Comma">
  <autoFilter ref="A1:K93" xr:uid="{11DACEC6-751B-4B1D-817F-5C5BCD38EF6D}"/>
  <tableColumns count="11">
    <tableColumn id="1" xr3:uid="{2FCE3FA8-A48C-4685-8919-AE44C6C71FD9}" name="Date" dataDxfId="61" dataCellStyle="Comma"/>
    <tableColumn id="2" xr3:uid="{5780FD5F-0890-44E6-B59C-8E37A559FE36}" name="Party Name" dataDxfId="60" dataCellStyle="Comma"/>
    <tableColumn id="3" xr3:uid="{5B3ECD85-9174-40AC-BFBD-49CAC97A83D3}" name="Bill Number" dataDxfId="59" dataCellStyle="Comma"/>
    <tableColumn id="4" xr3:uid="{11B50761-04B6-4262-AD4D-7182450037D1}" name="Quality" dataDxfId="58" dataCellStyle="Comma"/>
    <tableColumn id="5" xr3:uid="{2C556969-B713-4967-BD24-466AACCBE5F5}" name="Shipment Number" dataDxfId="57" totalsRowDxfId="50" dataCellStyle="Comma"/>
    <tableColumn id="6" xr3:uid="{F4E1FD2B-9017-4DEB-B772-BF447ECE56F7}" name="Kora/metre" dataDxfId="56" totalsRowDxfId="49" dataCellStyle="Comma"/>
    <tableColumn id="7" xr3:uid="{52ACC1DA-7A76-4A90-B809-3A1AE728E7EA}" name="Tiyaar/gaz" dataDxfId="55" totalsRowDxfId="48" dataCellStyle="Comma"/>
    <tableColumn id="8" xr3:uid="{31A0FF5E-56F0-44D1-9865-73256B964660}" name="shortage %" dataDxfId="54" totalsRowDxfId="47" dataCellStyle="Comma">
      <calculatedColumnFormula>_xlfn.XLOOKUP(Table1[[#This Row],[Shipment Number]], 'pivot '!A:A,'pivot '!G:G, "NF")</calculatedColumnFormula>
    </tableColumn>
    <tableColumn id="9" xr3:uid="{F99075E0-AC8E-094D-BB85-272AD2C6C568}" name="tiyar/meters" totalsRowFunction="custom" dataDxfId="53" totalsRowDxfId="46"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52" totalsRowDxfId="4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51" totalsRowDxfId="26"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7" totalsRowCount="1" headerRowDxfId="132" headerRowBorderDxfId="131" tableBorderDxfId="130">
  <autoFilter ref="A1:I46" xr:uid="{F8E8C957-ABE7-4E4F-8D4E-7D44E26B334F}">
    <filterColumn colId="1">
      <filters>
        <filter val="Malik Zaheer"/>
      </filters>
    </filterColumn>
  </autoFilter>
  <tableColumns count="9">
    <tableColumn id="1" xr3:uid="{C2E817D6-AB98-4DDD-8890-736B27F261CD}" name="Date" totalsRowLabel="." dataDxfId="129" totalsRowDxfId="23"/>
    <tableColumn id="2" xr3:uid="{CFB51890-CCDC-463C-81C9-3F8BD7469CB9}" name="Party Name"/>
    <tableColumn id="3" xr3:uid="{A113D971-1C9D-4733-99C4-BD0CC4333209}" name="Vehicle Number"/>
    <tableColumn id="4" xr3:uid="{49780304-3DD1-4AE9-98EE-2BC7EB8F3B57}" name="Weight" dataDxfId="128" totalsRowDxfId="22" dataCellStyle="Comma"/>
    <tableColumn id="5" xr3:uid="{FCAF1BC6-1D8C-42AD-8BBC-F924BF2DC7FE}" name="Rate" dataDxfId="127" totalsRowDxfId="21" dataCellStyle="Comma"/>
    <tableColumn id="6" xr3:uid="{8C70A624-4134-410C-9C45-9FDEB51D51BF}" name="Rent" dataDxfId="126" totalsRowDxfId="20" dataCellStyle="Comma"/>
    <tableColumn id="7" xr3:uid="{EBCE10AE-9634-4982-9C95-37ABC8A7078C}" name="Total" totalsRowFunction="sum" dataDxfId="125" totalsRowDxfId="19" dataCellStyle="Comma">
      <calculatedColumnFormula>D2*E2</calculatedColumnFormula>
    </tableColumn>
    <tableColumn id="9" xr3:uid="{D4788559-C94A-44D9-B9AE-E72B214355AC}" name="Paid" totalsRowFunction="sum" dataDxfId="124" totalsRowDxfId="18" dataCellStyle="Comma"/>
    <tableColumn id="8" xr3:uid="{E26F5BF0-1875-4FC6-994D-49F202ED562B}" name="balance" totalsRowFunction="sum" dataDxfId="123" totalsRowDxfId="17"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45" totalsRowCount="1">
  <autoFilter ref="A1:G344" xr:uid="{CB032221-B416-47A8-9A76-693DE76CFD04}"/>
  <tableColumns count="7">
    <tableColumn id="1" xr3:uid="{554B1EED-65B6-4E9A-B646-82727FAC40DE}" name="Date" dataDxfId="69" totalsRowDxfId="65"/>
    <tableColumn id="2" xr3:uid="{32259059-42CF-4947-83DE-115AA430BE2B}" name="Party"/>
    <tableColumn id="3" xr3:uid="{A1320223-D55D-483C-91C3-AB19B95CC9D8}" name="Debit" totalsRowFunction="sum" dataDxfId="68" totalsRowDxfId="64" dataCellStyle="Comma"/>
    <tableColumn id="4" xr3:uid="{E9745767-9FF0-4B1C-9052-FF335D1D7588}" name="Credit" totalsRowFunction="sum" dataDxfId="67" totalsRowDxfId="63" dataCellStyle="Comma"/>
    <tableColumn id="5" xr3:uid="{5C88A48E-2467-4E6D-B626-2442B7FD0BE4}" name="Description"/>
    <tableColumn id="6" xr3:uid="{63CA4666-144E-4BE6-8B7C-7CB992BD3041}" name="Mode" totalsRowFunction="custom" dataDxfId="66" totalsRowDxfId="6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21" tableBorderDxfId="120" totalsRowBorderDxfId="119">
  <autoFilter ref="J3:K6" xr:uid="{DCE01694-23ED-48BF-8B92-4186B9ED10A8}"/>
  <tableColumns count="2">
    <tableColumn id="1" xr3:uid="{C8484DAF-2989-4C2F-9AEC-A6917E1C57F6}" name="Type" dataDxfId="118"/>
    <tableColumn id="2" xr3:uid="{B07B7A2A-4D4E-4654-BED6-FE2F0A7BEC34}" name="Amount" dataDxfId="11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16" headerRowBorderDxfId="115" tableBorderDxfId="114" totalsRowBorderDxfId="113">
  <autoFilter ref="M3:O6" xr:uid="{D166BDD1-ACD7-45D7-8AE9-7350373F8CEB}"/>
  <tableColumns count="3">
    <tableColumn id="1" xr3:uid="{64F0205E-DEA7-4571-BA86-E4374A5FEE28}" name="Type" totalsRowLabel="Total" dataDxfId="112" totalsRowDxfId="111"/>
    <tableColumn id="2" xr3:uid="{15FA05F9-789C-4459-9BE0-5C1EC84D3365}" name="amount" totalsRowFunction="custom" dataDxfId="110" totalsRowDxfId="109">
      <totalsRowFormula>SUM(N5:N6)</totalsRowFormula>
    </tableColumn>
    <tableColumn id="3" xr3:uid="{3681D409-90C6-44D0-BDE2-4B5943A516F0}" name="Actual" totalsRowFunction="custom" totalsRowDxfId="10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07" totalsRowDxfId="106"/>
    <tableColumn id="2" xr3:uid="{5B9D0FEE-4304-4C5C-A05C-5B27CF7841D3}" name="Type"/>
    <tableColumn id="3" xr3:uid="{6A91CA0D-C802-4C6F-9F39-CA53687E8EDE}" name="Description"/>
    <tableColumn id="4" xr3:uid="{A251D40C-AB87-4BB4-85F8-444B20E32FDF}" name="Total" totalsRowFunction="custom" dataDxfId="105" totalsRowDxfId="10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1" totalsRowCount="1" headerRowDxfId="103" headerRowBorderDxfId="102">
  <autoFilter ref="A1:I20"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0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0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99" headerRowBorderDxfId="98">
  <autoFilter ref="A4:H12" xr:uid="{A4C80688-A8BA-4BA7-90B4-791CD99446B4}"/>
  <sortState xmlns:xlrd2="http://schemas.microsoft.com/office/spreadsheetml/2017/richdata2" ref="A5:H5">
    <sortCondition ref="A4:A5"/>
  </sortState>
  <tableColumns count="8">
    <tableColumn id="1" xr3:uid="{4A818912-918E-4111-ACFC-BC93FEF7C1AD}" name="Date" dataDxfId="97" totalsRowDxfId="96"/>
    <tableColumn id="8" xr3:uid="{477ACFD5-62AF-4F69-974B-E9B974C11D7D}" name="Party Name" dataDxfId="9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94">
      <calculatedColumnFormula>SUMIFS(Table14[Debit], Table14[Date], Table2[[#This Row],[Date]], Table14[Party], Table2[[#This Row],[Party Name]])</calculatedColumnFormula>
    </tableColumn>
    <tableColumn id="7" xr3:uid="{BB689DF2-5D1E-436D-84C4-9745D88E8F3D}" name="Balance" totalsRowFunction="sum" dataDxfId="93">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92" totalsRowDxfId="91"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90" totalsRowDxfId="89"/>
    <tableColumn id="2" xr3:uid="{053BFC14-4828-417C-9F9F-95B6E232A945}" name="Amount" totalsRowFunction="custom" dataDxfId="88" totalsRowDxfId="8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filterColumn colId="2">
      <filters blank="1">
        <filter val="Ali Ahmad"/>
        <filter val="Azam Operator"/>
        <filter val="Kamran"/>
        <filter val="Khalid Sahab"/>
        <filter val="Master Arshad"/>
        <filter val="Naeem driver OSF"/>
        <filter val="Naeem Electric"/>
        <filter val="Qadeer Driver"/>
        <filter val="Sabir Chakki"/>
        <filter val="Sajid Operator"/>
      </filters>
    </filterColumn>
  </autoFilter>
  <tableColumns count="3">
    <tableColumn id="1" xr3:uid="{B4CDCF07-E9DA-48C6-997D-76B3FCF36D4E}" name="Date" dataDxfId="86" totalsRowDxfId="8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75" totalsRowDxfId="7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3" totalsRowDxfId="7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71">
      <calculatedColumnFormula>Billing!O5</calculatedColumnFormula>
    </tableColumn>
    <tableColumn id="2" xr3:uid="{7093A59E-B58F-487D-888A-9AA8156B5F9A}" name="Amount Paid" dataDxfId="70">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469624.17702999274</v>
      </c>
      <c r="D4">
        <v>10</v>
      </c>
      <c r="E4" s="14">
        <f>(SUMIFS(ledger!G:G, ledger!B:B, B4, ledger!E:E, "&lt;&gt;*RD*",ledger!D:D, "Silky") / 1.0936)*12 + (SUMIFS(ledger!G:G, ledger!B:B, B4, ledger!E:E, "&lt;&gt;*RD*",ledger!D:D, "Chamki") / 1.0936)*10</f>
        <v>4626865.3986832481</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469624.17702999274</v>
      </c>
      <c r="K5" s="18">
        <v>4626865.3986832481</v>
      </c>
      <c r="O5" s="25" t="str" cm="1">
        <f t="array" ref="O5:O15">_xlfn.UNIQUE(Table1[Party Name])</f>
        <v>BSC</v>
      </c>
      <c r="P5" s="23" cm="1">
        <f t="array" ref="P5">_xlfn.BYROW(B26,_xlfn.LAMBDA(_xlpm.party,SUMIFS(ledger!G:G,ledger!B:B,_xlpm.party,ledger!E:E,"&lt;&gt;*RD*")))+_xlfn.IFNA(C44,0)</f>
        <v>966624</v>
      </c>
      <c r="Q5" s="23" cm="1">
        <f t="array" ref="Q5">_xlfn.BYROW(B26, _xlfn.LAMBDA(_xlpm.party, SUMIFS(ledger!G:G, ledger!B:B, _xlpm.party, ledger!E:E, "&lt;&gt;*RD*") / 1.0936 ))+_xlfn.IFNA(D44,0)</f>
        <v>883891.73372348212</v>
      </c>
      <c r="R5" s="23" cm="1">
        <f t="array" ref="R5">(_xlfn.BYROW(B26,_xlfn.LAMBDA(_xlpm.party,SUMIFS(ledger!G:G,ledger!B:B,_xlpm.party,ledger!E:E,"&lt;&gt;*RD*",ledger!D:D,"Chamki")+SUMIFS(ledger!G:G, ledger!B:B, _xlpm.party, ledger!E:E, "&lt;&gt;*RD*", ledger!D:D, "Crinkle")))/1.0936)+_xlfn.IFNA(E44,0)</f>
        <v>883891.73372348212</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8838917.3372348212</v>
      </c>
      <c r="U5" s="23" cm="1">
        <f t="array" ref="U5">(_xlfn.BYROW(B26,_xlfn.LAMBDA(_xlpm.party,SUMIFS(ledger!G:G,ledger!B:B,_xlpm.party,ledger!E:E,"&lt;&gt;*RD*",ledger!D:D, "Silky")/1.0936))* 12)+_xlfn.IFNA(H44,0)</f>
        <v>0</v>
      </c>
      <c r="V5" s="44">
        <f>T5+U5</f>
        <v>8838917.3372348212</v>
      </c>
      <c r="W5" s="23">
        <f>(SUMIF(Table14[Party],O5,Table14[Credit]))+_xlfn.IFNA(J44,0)</f>
        <v>6902983</v>
      </c>
      <c r="X5" s="98">
        <f>V5-W5</f>
        <v>1935934.3372348212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307038.22238478425</v>
      </c>
      <c r="D8">
        <v>10</v>
      </c>
      <c r="E8" s="14">
        <f>((SUMIFS(ledger!G:G, ledger!B:B, B8, ledger!E:E, "&lt;&gt;*RD*",ledger!D:D, "Silky") / 1.0936) *12) + ((SUMIFS(ledger!G:G, ledger!B:B, B8, ledger!E:E, "&lt;&gt;*RD*",ledger!D:D, "Chamki") / 1.0936)* 9)</f>
        <v>3076097.2933430872</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850000.04411119246</v>
      </c>
      <c r="U8" s="23" cm="1">
        <f t="array" ref="U8">(_xlfn.BYROW(B29,_xlfn.LAMBDA(_xlpm.party,SUMIFS(ledger!G:G,ledger!B:B,_xlpm.party,ledger!E:E,"&lt;&gt;*RD*",ledger!D:D, "Silky")/1.0936))* 12)+_xlfn.IFNA(H47,0)</f>
        <v>0</v>
      </c>
      <c r="V8" s="44">
        <f t="shared" si="1"/>
        <v>850000.04411119246</v>
      </c>
      <c r="W8" s="23">
        <f>(SUMIF(Table14[Party],O8,Table14[Credit]))+_xlfn.IFNA(J47,0)</f>
        <v>850000</v>
      </c>
      <c r="X8" s="98">
        <f t="shared" ref="X8:X17" si="2">V8-W8</f>
        <v>4.4111192459240556E-2</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307038.22238478425</v>
      </c>
      <c r="K9" s="18">
        <v>3076097.2933430872</v>
      </c>
      <c r="O9" s="25" t="str">
        <v>Sufi Nawaz Sahab</v>
      </c>
      <c r="P9" s="23" cm="1">
        <f t="array" ref="P9">_xlfn.BYROW(B30,_xlfn.LAMBDA(_xlpm.party,SUMIFS(ledger!G:G,ledger!B:B,_xlpm.party,ledger!E:E,"&lt;&gt;*RD*")))+_xlfn.IFNA(C48,0)</f>
        <v>488312</v>
      </c>
      <c r="Q9" s="23" cm="1">
        <f t="array" ref="Q9">_xlfn.BYROW(B30, _xlfn.LAMBDA(_xlpm.party, SUMIFS(ledger!G:G, ledger!B:B, _xlpm.party, ledger!E:E, "&lt;&gt;*RD*") / 1.0936 ))+_xlfn.IFNA(D48,0)</f>
        <v>446517.92245793715</v>
      </c>
      <c r="R9" s="23" cm="1">
        <f t="array" ref="R9">(_xlfn.BYROW(B30,_xlfn.LAMBDA(_xlpm.party,SUMIFS(ledger!G:G,ledger!B:B,_xlpm.party,ledger!E:E,"&lt;&gt;*RD*",ledger!D:D,"Chamki")+SUMIFS(ledger!G:G, ledger!B:B, _xlpm.party, ledger!E:E, "&lt;&gt;*RD*", ledger!D:D, "Crinkle")))/1.0936)+_xlfn.IFNA(E48,0)</f>
        <v>322183.61375274323</v>
      </c>
      <c r="S9" s="78" cm="1">
        <f t="array" ref="S9">(_xlfn.BYROW(B30,_xlfn.LAMBDA(_xlpm.party,SUMIFS(ledger!G:G,ledger!B:B,_xlpm.party,ledger!E:E,"&lt;&gt;*RD*",ledger!D:D,"Silky")))/1.0936)+_xlfn.IFNA(F48,0)</f>
        <v>124334.30870519386</v>
      </c>
      <c r="T9" s="23" cm="1">
        <f t="array" ref="T9">(_xlfn.BYROW(B30,_xlfn.LAMBDA(_xlpm.party,(SUMIFS(ledger!G:G,ledger!B:B,_xlpm.party,ledger!E:E,"&lt;&gt;*RD*",ledger!D:D, "Chamki")+SUMIFS(ledger!G:G, ledger!B:B, _xlpm.party, ledger!E:E, "&lt;&gt;*RD*", ledger!D:D, "Crinkle"))/1.0936))*L30)+_xlfn.IFNA(G48,0)</f>
        <v>2899652.5237746895</v>
      </c>
      <c r="U9" s="23" cm="1">
        <f t="array" ref="U9">(_xlfn.BYROW(B30,_xlfn.LAMBDA(_xlpm.party,SUMIFS(ledger!G:G,ledger!B:B,_xlpm.party,ledger!E:E,"&lt;&gt;*RD*",ledger!D:D, "Silky")/1.0936))* 12)+_xlfn.IFNA(H48,0)</f>
        <v>1492011.7044623261</v>
      </c>
      <c r="V9" s="44">
        <f t="shared" si="1"/>
        <v>4391664.2282370161</v>
      </c>
      <c r="W9" s="23">
        <f>(SUMIF(Table14[Party],O9,Table14[Credit]))+_xlfn.IFNA(J48,0)</f>
        <v>3079100</v>
      </c>
      <c r="X9" s="98">
        <f t="shared" si="2"/>
        <v>1312564.2282370161</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22580.468178493051</v>
      </c>
      <c r="E14" s="14">
        <f>(SUMIFS(ledger!G:G, ledger!B:B, B14, ledger!E:E, "&lt;&gt;*RD*",ledger!D:D, "Silky") / 1.0936)*12 + (SUMIFS(ledger!G:G, ledger!B:B, B14, ledger!E:E, "&lt;&gt;*RD*",ledger!D:D, "Chamki") / 1.0936)*10</f>
        <v>225804.68178493052</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22580.468178493051</v>
      </c>
      <c r="K15" s="18">
        <v>225804.68178493052</v>
      </c>
      <c r="O15" s="25" t="str">
        <v>Azam</v>
      </c>
      <c r="P15" s="23" cm="1">
        <f t="array" ref="P15">_xlfn.BYROW(B36,_xlfn.LAMBDA(_xlpm.party,SUMIFS(ledger!G:G,ledger!B:B,_xlpm.party,ledger!E:E,"&lt;&gt;*RD*")))+_xlfn.IFNA(C54,0)</f>
        <v>24694</v>
      </c>
      <c r="Q15" s="23" cm="1">
        <f t="array" ref="Q15">_xlfn.BYROW(B36, _xlfn.LAMBDA(_xlpm.party, SUMIFS(ledger!G:G, ledger!B:B, _xlpm.party, ledger!E:E, "&lt;&gt;*RD*") / 1.0936 ))+_xlfn.IFNA(D54,0)</f>
        <v>22580.468178493051</v>
      </c>
      <c r="R15" s="23" cm="1">
        <f t="array" ref="R15">(_xlfn.BYROW(B36,_xlfn.LAMBDA(_xlpm.party,SUMIFS(ledger!G:G,ledger!B:B,_xlpm.party,ledger!E:E,"&lt;&gt;*RD*",ledger!D:D,"Chamki")+SUMIFS(ledger!G:G, ledger!B:B, _xlpm.party, ledger!E:E, "&lt;&gt;*RD*", ledger!D:D, "Crinkle")))/1.0936)+_xlfn.IFNA(E54,0)</f>
        <v>22580.468178493051</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225804.68178493052</v>
      </c>
      <c r="U15" s="23" cm="1">
        <f t="array" ref="U15">(_xlfn.BYROW(B36,_xlfn.LAMBDA(_xlpm.party,SUMIFS(ledger!G:G,ledger!B:B,_xlpm.party,ledger!E:E,"&lt;&gt;*RD*",ledger!D:D, "Silky")/1.0936))* 12)+_xlfn.IFNA(H54,0)</f>
        <v>0</v>
      </c>
      <c r="V15" s="44">
        <f t="shared" si="4"/>
        <v>225804.68178493052</v>
      </c>
      <c r="W15" s="23">
        <f>(SUMIF(Table14[Party],O15,Table14[Credit]))+_xlfn.IFNA(J54,0)</f>
        <v>0</v>
      </c>
      <c r="X15" s="42">
        <f t="shared" si="2"/>
        <v>225804.68178493052</v>
      </c>
      <c r="Y15" s="22">
        <v>10</v>
      </c>
      <c r="Z15" s="22">
        <v>12</v>
      </c>
    </row>
    <row r="16" spans="2:26" x14ac:dyDescent="0.3">
      <c r="B16" s="45" t="s">
        <v>29</v>
      </c>
      <c r="C16" s="46">
        <f>SUM(G26:G38)+SUM(H26:H38)</f>
        <v>10534016.093635699</v>
      </c>
      <c r="D16" t="s">
        <v>30</v>
      </c>
      <c r="I16" s="4" t="s">
        <v>28</v>
      </c>
      <c r="J16" s="14">
        <v>1048568.0321872716</v>
      </c>
      <c r="K16" s="14">
        <v>10422019.019751279</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10534016.093635699</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6">_xlfn.UNIQUE(Table1[Party Name])</f>
        <v>BSC</v>
      </c>
      <c r="C26" s="23" cm="1">
        <f t="array" ref="C26:C36">_xlfn.BYROW(_xlfn.ANCHORARRAY(B26),_xlfn.LAMBDA(_xlpm.party,SUMIFS(ledger!G:G,ledger!B:B,_xlpm.party,ledger!E:E,"&lt;&gt;*RD*")))</f>
        <v>513581</v>
      </c>
      <c r="D26" s="23" cm="1">
        <f t="array" ref="D26:D36">_xlfn.BYROW(_xlfn.ANCHORARRAY(B26), _xlfn.LAMBDA(_xlpm.party, SUMIFS(ledger!G:G, ledger!B:B, _xlpm.party, ledger!E:E, "&lt;&gt;*RD*") / 1.0936 ))</f>
        <v>469624.17702999274</v>
      </c>
      <c r="E26" s="71" cm="1">
        <f t="array" ref="E26:E36">(_xlfn.BYROW(_xlfn.ANCHORARRAY(B26),_xlfn.LAMBDA(_xlpm.party,SUMIFS(ledger!G:G,ledger!B:B,_xlpm.party,ledger!E:E,"&lt;&gt;*RD*",ledger!D:D,"Chamki")+SUMIFS(ledger!G:G, ledger!B:B, _xlpm.party, ledger!E:E, "&lt;&gt;*RD*", ledger!D:D, "Crinkle")))/1.0936)</f>
        <v>469624.17702999274</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4696241.7702999273</v>
      </c>
      <c r="H26" s="23" cm="1">
        <f t="array" ref="H26">(_xlfn.BYROW(B26,_xlfn.LAMBDA(_xlpm.party,SUMIFS(ledger!G:G,ledger!B:B,_xlpm.party,ledger!E:E,"&lt;&gt;*RD*",ledger!D:D, "Silky")/1.0936))* M26)</f>
        <v>0</v>
      </c>
      <c r="I26" s="44">
        <f t="shared" ref="I26:I34" si="7">G26+H26</f>
        <v>4696241.7702999273</v>
      </c>
      <c r="J26" s="23">
        <f>(SUMIF(Table14[Party],B26,Table14[Credit]))</f>
        <v>3074145</v>
      </c>
      <c r="K26" s="42">
        <f>I26-J26</f>
        <v>1622096.7702999273</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500000</v>
      </c>
      <c r="K29" s="42">
        <f t="shared" ref="K29:K32" si="8">I29-J29</f>
        <v>-500000</v>
      </c>
      <c r="L29" s="22">
        <v>10.5</v>
      </c>
      <c r="M29" s="22">
        <v>13</v>
      </c>
    </row>
    <row r="30" spans="1:26" x14ac:dyDescent="0.3">
      <c r="B30" s="25" t="str">
        <v>Sufi Nawaz Sahab</v>
      </c>
      <c r="C30" s="23">
        <v>335777</v>
      </c>
      <c r="D30" s="23">
        <v>307038.22238478425</v>
      </c>
      <c r="E30" s="71">
        <v>202787.12509144112</v>
      </c>
      <c r="F30" s="78">
        <v>104251.09729334309</v>
      </c>
      <c r="G30" s="23" cm="1">
        <f t="array" ref="G30">(_xlfn.BYROW(B30,_xlfn.LAMBDA(_xlpm.party,(SUMIFS(ledger!G:G,ledger!B:B,_xlpm.party,ledger!E:E,"&lt;&gt;*RD*",ledger!D:D, "Chamki")+SUMIFS(ledger!G:G, ledger!B:B, _xlpm.party, ledger!E:E, "&lt;&gt;*RD*", ledger!D:D, "Crinkle"))/1.0936))*L30)</f>
        <v>1825084.1258229702</v>
      </c>
      <c r="H30" s="23" cm="1">
        <f t="array" ref="H30">(_xlfn.BYROW(B30,_xlfn.LAMBDA(_xlpm.party,SUMIFS(ledger!G:G,ledger!B:B,_xlpm.party,ledger!E:E,"&lt;&gt;*RD*",ledger!D:D, "Silky")/1.0936))* M30)</f>
        <v>1251013.167520117</v>
      </c>
      <c r="I30" s="44">
        <f t="shared" si="7"/>
        <v>3076097.2933430872</v>
      </c>
      <c r="J30" s="23">
        <f>(SUMIF(Table14[Party],B30,Table14[Credit]))</f>
        <v>2779100</v>
      </c>
      <c r="K30" s="42">
        <f t="shared" si="8"/>
        <v>296997.29334308719</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24694</v>
      </c>
      <c r="D36" s="23">
        <v>22580.468178493051</v>
      </c>
      <c r="E36" s="71">
        <v>22580.468178493051</v>
      </c>
      <c r="F36" s="22">
        <v>0</v>
      </c>
      <c r="G36" s="23" cm="1">
        <f t="array" ref="G36">(_xlfn.BYROW(B36,_xlfn.LAMBDA(_xlpm.party,(SUMIFS(ledger!G:G,ledger!B:B,_xlpm.party,ledger!E:E,"&lt;&gt;*RD*",ledger!D:D, "Chamki")+SUMIFS(ledger!G:G, ledger!B:B, _xlpm.party, ledger!E:E, "&lt;&gt;*RD*", ledger!D:D, "Crinkle"))/1.0936))*L36)</f>
        <v>225804.68178493052</v>
      </c>
      <c r="H36" s="23" cm="1">
        <f t="array" ref="H36">(_xlfn.BYROW(B36,_xlfn.LAMBDA(_xlpm.party,SUMIFS(ledger!G:G,ledger!B:B,_xlpm.party,ledger!E:E,"&lt;&gt;*RD*",ledger!D:D, "Silky")/1.0936))* M36)</f>
        <v>0</v>
      </c>
      <c r="I36" s="44">
        <f t="shared" si="10"/>
        <v>225804.68178493052</v>
      </c>
      <c r="J36" s="23">
        <f>SUMIF(Table14[Party], B36, Table14[Credit])</f>
        <v>0</v>
      </c>
      <c r="K36" s="42">
        <f t="shared" si="9"/>
        <v>225804.68178493052</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4">+_xlfn.XLOOKUP(_xlfn.ANCHORARRAY(B26),[1]Billing!$B$21:$B$29,[1]Billing!$F$21:$F$29)</f>
        <v>0</v>
      </c>
      <c r="G44" s="23" cm="1">
        <f t="array" ref="G44:G54">_xlfn.XLOOKUP(_xlfn.ANCHORARRAY(B26),[1]Billing!$B$21:$B$29,[1]Billing!$G$21:$G$29)</f>
        <v>4142675.5669348943</v>
      </c>
      <c r="H44" s="23" cm="1">
        <f t="array" ref="H44:H54">+_xlfn.XLOOKUP(_xlfn.ANCHORARRAY(B26),[1]Billing!$B$21:$B$29,[1]Billing!$H$21:$H$29)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12" zoomScale="139"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4">_xlfn.UNIQUE(Table1[Party Name])</f>
        <v>BSC</v>
      </c>
    </row>
    <row r="5" spans="2:10" x14ac:dyDescent="0.3">
      <c r="J5" t="str">
        <v>Ejaz Sahab</v>
      </c>
    </row>
    <row r="6" spans="2:10" ht="21" x14ac:dyDescent="0.4">
      <c r="B6" s="72" t="s">
        <v>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488312</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446517.92245793715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9</v>
      </c>
      <c r="D12" s="74" cm="1">
        <f t="array" ref="D12">_xlfn.XLOOKUP($B$6,_xlfn.ANCHORARRAY( Billing!$O$5), INDEX(Billing!R5:R19, _xlfn.SEQUENCE(ROWS(_xlfn.ANCHORARRAY(Billing!$O$5)))), "Not Found")</f>
        <v>322183.61375274323</v>
      </c>
      <c r="E12" s="103">
        <f ca="1">Table21[[#This Row],[gazana]]*Table21[[#This Row],[Rate]]</f>
        <v>2899652.5237746891</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124334.30870519386</v>
      </c>
      <c r="E14" s="74">
        <f ca="1">Table21[[#This Row],[gazana]]*Table21[[#This Row],[Rate]]</f>
        <v>1492011.7044623264</v>
      </c>
      <c r="J14" t="str">
        <v>Azam</v>
      </c>
    </row>
    <row r="15" spans="2:10" ht="18.600000000000001" thickBot="1" x14ac:dyDescent="0.4">
      <c r="B15" s="73"/>
      <c r="C15" s="75"/>
      <c r="D15" s="75"/>
      <c r="E15" s="74"/>
    </row>
    <row r="16" spans="2:10" ht="18.600000000000001" thickBot="1" x14ac:dyDescent="0.4">
      <c r="B16" s="63" t="s">
        <v>43</v>
      </c>
      <c r="C16" s="74"/>
      <c r="D16" s="102"/>
      <c r="E16" s="104">
        <f ca="1">E12+E14</f>
        <v>4391664.2282370152</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3079100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1312564.2282370161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5451915</v>
      </c>
    </row>
    <row r="5" spans="1:4" x14ac:dyDescent="0.3">
      <c r="B5" t="s">
        <v>50</v>
      </c>
      <c r="C5" s="11">
        <f>SUM(Table8[Price])</f>
        <v>1000350</v>
      </c>
    </row>
    <row r="6" spans="1:4" x14ac:dyDescent="0.3">
      <c r="B6" t="s">
        <v>51</v>
      </c>
      <c r="C6" s="11">
        <f>SUM(Table2[Price])</f>
        <v>547900</v>
      </c>
    </row>
    <row r="7" spans="1:4" x14ac:dyDescent="0.3">
      <c r="B7" t="s">
        <v>52</v>
      </c>
      <c r="C7" s="11">
        <f>SUMIFS(Table14[Debit], Table14[Party],Table12[[#This Row],[Type]])</f>
        <v>61185</v>
      </c>
    </row>
    <row r="8" spans="1:4" x14ac:dyDescent="0.3">
      <c r="B8" t="s">
        <v>53</v>
      </c>
      <c r="C8" s="11">
        <f>Electricity!E3</f>
        <v>0</v>
      </c>
    </row>
    <row r="9" spans="1:4" x14ac:dyDescent="0.3">
      <c r="B9" t="s">
        <v>54</v>
      </c>
      <c r="C9" s="11">
        <f>Table11[[#Totals],[Amount]]+'Salary Acc'!I35</f>
        <v>306800</v>
      </c>
    </row>
    <row r="10" spans="1:4" x14ac:dyDescent="0.3">
      <c r="B10" t="s">
        <v>55</v>
      </c>
      <c r="C10" s="11">
        <f>Table5[[#Totals],[Amount]]</f>
        <v>85511</v>
      </c>
    </row>
    <row r="11" spans="1:4" x14ac:dyDescent="0.3">
      <c r="B11" t="s">
        <v>56</v>
      </c>
      <c r="C11" s="11">
        <f>Table13[[#Totals],[Debit]]</f>
        <v>130120</v>
      </c>
    </row>
    <row r="12" spans="1:4" x14ac:dyDescent="0.3">
      <c r="B12" t="s">
        <v>57</v>
      </c>
      <c r="C12" s="11">
        <f>Table15[[#Totals],[Amount]]</f>
        <v>632024</v>
      </c>
    </row>
    <row r="13" spans="1:4" x14ac:dyDescent="0.3">
      <c r="C13" s="11"/>
    </row>
    <row r="14" spans="1:4" x14ac:dyDescent="0.3">
      <c r="C14" s="14">
        <f>SUM(Table12[Amount])</f>
        <v>8215805</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10534016.093635699</v>
      </c>
      <c r="D3" t="s">
        <v>70</v>
      </c>
    </row>
    <row r="4" spans="1:4" x14ac:dyDescent="0.3">
      <c r="B4" s="11" t="s">
        <v>46</v>
      </c>
      <c r="C4" s="11">
        <f>Table12[[#Totals],[Amount]]</f>
        <v>8215805</v>
      </c>
    </row>
    <row r="5" spans="1:4" x14ac:dyDescent="0.3">
      <c r="A5" s="6"/>
      <c r="B5" s="15" t="s">
        <v>71</v>
      </c>
      <c r="C5" s="15">
        <f ca="1">C3-C4</f>
        <v>2318211.0936356988</v>
      </c>
    </row>
    <row r="10" spans="1:4" ht="15" thickBot="1" x14ac:dyDescent="0.35">
      <c r="B10" t="s">
        <v>68</v>
      </c>
      <c r="C10" s="14" t="s">
        <v>69</v>
      </c>
    </row>
    <row r="11" spans="1:4" x14ac:dyDescent="0.3">
      <c r="B11" s="64" t="s">
        <v>0</v>
      </c>
      <c r="C11" s="65">
        <f ca="1">C3</f>
        <v>10534016.093635699</v>
      </c>
    </row>
    <row r="12" spans="1:4" x14ac:dyDescent="0.3">
      <c r="B12" s="66" t="s">
        <v>72</v>
      </c>
      <c r="C12" s="67">
        <f>SUM(Table14[Credit])</f>
        <v>8912586</v>
      </c>
    </row>
    <row r="13" spans="1:4" ht="15" thickBot="1" x14ac:dyDescent="0.35">
      <c r="B13" s="82" t="s">
        <v>101</v>
      </c>
      <c r="C13" s="81">
        <f ca="1">(C11-C12)</f>
        <v>1621430.0936356988</v>
      </c>
    </row>
    <row r="14" spans="1:4" ht="15" thickBot="1" x14ac:dyDescent="0.35">
      <c r="B14" s="66"/>
      <c r="C14" s="67"/>
    </row>
    <row r="15" spans="1:4" x14ac:dyDescent="0.3">
      <c r="B15" s="64" t="s">
        <v>46</v>
      </c>
      <c r="C15" s="65">
        <f>C4</f>
        <v>8215805</v>
      </c>
    </row>
    <row r="16" spans="1:4" x14ac:dyDescent="0.3">
      <c r="B16" s="66" t="s">
        <v>73</v>
      </c>
      <c r="C16" s="67">
        <f>SUM(Table14[Debit])</f>
        <v>8746516</v>
      </c>
    </row>
    <row r="17" spans="2:6" ht="15" thickBot="1" x14ac:dyDescent="0.35">
      <c r="B17" s="82" t="s">
        <v>74</v>
      </c>
      <c r="C17" s="81">
        <f>C15-C16</f>
        <v>-530711</v>
      </c>
    </row>
    <row r="18" spans="2:6" ht="15" thickBot="1" x14ac:dyDescent="0.35">
      <c r="B18" s="66"/>
      <c r="C18" s="67"/>
    </row>
    <row r="19" spans="2:6" ht="15" thickBot="1" x14ac:dyDescent="0.35">
      <c r="B19" s="83" t="s">
        <v>75</v>
      </c>
      <c r="C19" s="84">
        <f>Table18[[#Totals],[amount]]</f>
        <v>166070</v>
      </c>
    </row>
    <row r="20" spans="2:6" ht="15" thickBot="1" x14ac:dyDescent="0.35">
      <c r="B20" s="79"/>
      <c r="C20" s="80"/>
    </row>
    <row r="21" spans="2:6" ht="15" thickBot="1" x14ac:dyDescent="0.35">
      <c r="B21" s="68" t="s">
        <v>76</v>
      </c>
      <c r="C21" s="69">
        <f ca="1">(C13-C17)+C19</f>
        <v>2318211.0936356988</v>
      </c>
      <c r="E21" s="87" t="s">
        <v>77</v>
      </c>
      <c r="F21" s="88">
        <f ca="1">C5*0.05</f>
        <v>115910.55468178494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130120</v>
      </c>
      <c r="E35">
        <f>SUBTOTAL(109,Table13[Credit])</f>
        <v>0</v>
      </c>
      <c r="F35">
        <f>Table13[[#Totals],[Debit]]-Table13[[#Totals],[Credit]]</f>
        <v>130120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95"/>
  <sheetViews>
    <sheetView topLeftCell="A181" zoomScale="113" workbookViewId="0">
      <selection activeCell="K94" sqref="K9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f>_xlfn.XLOOKUP(Table1[[#This Row],[Shipment Number]], 'pivot '!A:A,'pivot '!G:G, "NF")</f>
        <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f>_xlfn.XLOOKUP(Table1[[#This Row],[Shipment Number]], 'pivot '!A:A,'pivot '!G:G, "NF")</f>
        <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f>_xlfn.XLOOKUP(Table1[[#This Row],[Shipment Number]], 'pivot '!A:A,'pivot '!G:G, "NF")</f>
        <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f>_xlfn.XLOOKUP(Table1[[#This Row],[Shipment Number]], 'pivot '!A:A,'pivot '!G:G, "NF")</f>
        <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f>_xlfn.XLOOKUP(Table1[[#This Row],[Shipment Number]], 'pivot '!A:A,'pivot '!G:G, "NF")</f>
        <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f>_xlfn.XLOOKUP(Table1[[#This Row],[Shipment Number]], 'pivot '!A:A,'pivot '!G:G, "NF")</f>
        <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f>_xlfn.XLOOKUP(Table1[[#This Row],[Shipment Number]], 'pivot '!A:A,'pivot '!G:G, "NF")</f>
        <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f>_xlfn.XLOOKUP(Table1[[#This Row],[Shipment Number]], 'pivot '!A:A,'pivot '!G:G, "NF")</f>
        <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f>_xlfn.XLOOKUP(Table1[[#This Row],[Shipment Number]], 'pivot '!A:A,'pivot '!G:G, "NF")</f>
        <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10.160415110617578</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14.057744620183243</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c r="B94"/>
      <c r="C94"/>
      <c r="D94"/>
      <c r="E94" s="14"/>
      <c r="F94" s="14"/>
      <c r="G94" s="14"/>
      <c r="H94" s="50"/>
      <c r="I94" s="50" cm="1">
        <f t="array" aca="1" ref="I94" ca="1">SUMPRODUCT( SUBTOTAL(109, OFFSET(Table1[tiyar/meters], ROW(Table1[tiyar/meters])-MIN(ROW(Table1[tiyar/meters])), 0, 1)), --(Table1[Bill Number]&lt;&gt;"July Closing CF") )</f>
        <v>1048568.0321872714</v>
      </c>
      <c r="J94" s="50" cm="1">
        <f t="array" aca="1" ref="J94" ca="1">SUMPRODUCT( SUBTOTAL(109, OFFSET(Table1[billing], ROW(Table1[billing])-MIN(ROW(Table1[billing])), 0, 1)), --(Table1[Bill Number]&lt;&gt;"July Closing CF") )</f>
        <v>10534016.093635697</v>
      </c>
      <c r="K94" s="14">
        <f>SUMIFS(Table1[billing], Table1[Bill Number], "&lt;&gt;July Closing CF")</f>
        <v>10534016.093635697</v>
      </c>
      <c r="P94"/>
      <c r="Q94"/>
    </row>
    <row r="95" spans="1:17" x14ac:dyDescent="0.3">
      <c r="O95"/>
      <c r="P95"/>
      <c r="Q95"/>
    </row>
    <row r="96" spans="1:17" x14ac:dyDescent="0.3">
      <c r="O96"/>
      <c r="P96"/>
      <c r="Q96"/>
    </row>
    <row r="97" spans="4:17" x14ac:dyDescent="0.3">
      <c r="O97"/>
      <c r="P97"/>
      <c r="Q97"/>
    </row>
    <row r="98" spans="4:17" x14ac:dyDescent="0.3">
      <c r="L98"/>
      <c r="M98"/>
      <c r="O98"/>
      <c r="P98"/>
      <c r="Q98"/>
    </row>
    <row r="99" spans="4:17" x14ac:dyDescent="0.3">
      <c r="L99"/>
      <c r="M99"/>
      <c r="O99"/>
      <c r="P99"/>
      <c r="Q99"/>
    </row>
    <row r="100" spans="4:17" x14ac:dyDescent="0.3">
      <c r="L100"/>
      <c r="M100"/>
      <c r="O100"/>
      <c r="P100"/>
      <c r="Q100"/>
    </row>
    <row r="101" spans="4:17" x14ac:dyDescent="0.3">
      <c r="L101"/>
      <c r="M101"/>
      <c r="N101"/>
      <c r="O101"/>
      <c r="P101"/>
      <c r="Q101"/>
    </row>
    <row r="102" spans="4:17" x14ac:dyDescent="0.3">
      <c r="L102"/>
      <c r="M102"/>
      <c r="N102"/>
      <c r="O102"/>
      <c r="P102"/>
      <c r="Q102"/>
    </row>
    <row r="103" spans="4:17" x14ac:dyDescent="0.3">
      <c r="L103"/>
      <c r="M103"/>
      <c r="N103"/>
      <c r="O103"/>
      <c r="P103"/>
      <c r="Q103"/>
    </row>
    <row r="104" spans="4:17" x14ac:dyDescent="0.3">
      <c r="L104"/>
      <c r="M104"/>
      <c r="N104"/>
      <c r="O104"/>
      <c r="P104"/>
      <c r="Q104"/>
    </row>
    <row r="105" spans="4:17" x14ac:dyDescent="0.3">
      <c r="L105"/>
      <c r="M105"/>
      <c r="N105"/>
      <c r="O105"/>
    </row>
    <row r="106" spans="4:17" x14ac:dyDescent="0.3">
      <c r="D106" s="3" t="s">
        <v>2</v>
      </c>
      <c r="E106" t="s">
        <v>93</v>
      </c>
      <c r="L106"/>
      <c r="M106"/>
      <c r="N106"/>
      <c r="O106"/>
    </row>
    <row r="107" spans="4:17" x14ac:dyDescent="0.3">
      <c r="D107" s="3" t="s">
        <v>78</v>
      </c>
      <c r="E107" t="s">
        <v>93</v>
      </c>
      <c r="L107"/>
      <c r="M107"/>
      <c r="N107"/>
      <c r="O107"/>
    </row>
    <row r="108" spans="4:17" x14ac:dyDescent="0.3">
      <c r="D108" s="3" t="s">
        <v>82</v>
      </c>
      <c r="E108" t="s">
        <v>93</v>
      </c>
      <c r="L108"/>
      <c r="M108"/>
      <c r="N108"/>
      <c r="O108"/>
    </row>
    <row r="109" spans="4:17" x14ac:dyDescent="0.3">
      <c r="L109"/>
      <c r="M109"/>
      <c r="N109"/>
      <c r="O109"/>
    </row>
    <row r="110" spans="4:17" x14ac:dyDescent="0.3">
      <c r="D110" s="3" t="s">
        <v>6</v>
      </c>
      <c r="E110" t="s">
        <v>94</v>
      </c>
      <c r="F110" t="s">
        <v>95</v>
      </c>
      <c r="G110" t="s">
        <v>96</v>
      </c>
      <c r="I110" s="3" t="s">
        <v>6</v>
      </c>
      <c r="J110" t="s">
        <v>95</v>
      </c>
      <c r="K110" t="s">
        <v>96</v>
      </c>
      <c r="L110"/>
      <c r="M110"/>
      <c r="N110"/>
      <c r="O110"/>
    </row>
    <row r="111" spans="4:17" x14ac:dyDescent="0.3">
      <c r="D111" s="16" t="s">
        <v>88</v>
      </c>
      <c r="E111" s="110"/>
      <c r="F111" s="33">
        <v>972869.42209217278</v>
      </c>
      <c r="G111" s="110">
        <v>9667907.8714703731</v>
      </c>
      <c r="I111" s="27">
        <v>45885</v>
      </c>
      <c r="J111" s="50">
        <v>2050.1097293343087</v>
      </c>
      <c r="K111" s="14">
        <v>20501.097293343086</v>
      </c>
      <c r="L111"/>
      <c r="M111"/>
      <c r="N111"/>
      <c r="O111"/>
    </row>
    <row r="112" spans="4:17" x14ac:dyDescent="0.3">
      <c r="D112" s="16">
        <v>716</v>
      </c>
      <c r="E112" s="110">
        <v>43689</v>
      </c>
      <c r="F112" s="33">
        <v>39949.70738844185</v>
      </c>
      <c r="G112" s="110">
        <v>399497.07388441847</v>
      </c>
      <c r="I112" s="27">
        <v>45886</v>
      </c>
      <c r="J112" s="50">
        <v>972869.42209217278</v>
      </c>
      <c r="K112" s="14">
        <v>9667907.8714703731</v>
      </c>
      <c r="L112"/>
      <c r="M112"/>
      <c r="N112"/>
      <c r="O112"/>
    </row>
    <row r="113" spans="4:15" x14ac:dyDescent="0.3">
      <c r="D113" s="16">
        <v>722</v>
      </c>
      <c r="E113" s="110">
        <v>25952</v>
      </c>
      <c r="F113" s="33">
        <v>23730.797366495979</v>
      </c>
      <c r="G113" s="110">
        <v>237307.97366495978</v>
      </c>
      <c r="I113" s="27">
        <v>45888</v>
      </c>
      <c r="J113" s="50">
        <v>71674.286759327006</v>
      </c>
      <c r="K113" s="14">
        <v>716742.86759327003</v>
      </c>
      <c r="L113"/>
      <c r="M113"/>
      <c r="N113"/>
      <c r="O113"/>
    </row>
    <row r="114" spans="4:15" x14ac:dyDescent="0.3">
      <c r="D114" s="16">
        <v>723</v>
      </c>
      <c r="E114" s="110">
        <v>8742</v>
      </c>
      <c r="F114" s="33">
        <v>7993.7820043891743</v>
      </c>
      <c r="G114" s="110">
        <v>79937.820043891741</v>
      </c>
      <c r="I114" s="27">
        <v>45890</v>
      </c>
      <c r="J114" s="50">
        <v>50132.589612289696</v>
      </c>
      <c r="K114" s="14">
        <v>501325.89612289687</v>
      </c>
      <c r="L114"/>
      <c r="M114"/>
      <c r="N114"/>
      <c r="O114"/>
    </row>
    <row r="115" spans="4:15" x14ac:dyDescent="0.3">
      <c r="D115" s="16">
        <v>724</v>
      </c>
      <c r="E115" s="110">
        <v>48705</v>
      </c>
      <c r="F115" s="33">
        <v>44536.393562545723</v>
      </c>
      <c r="G115" s="110">
        <v>445363.9356254572</v>
      </c>
      <c r="I115" s="27">
        <v>45891</v>
      </c>
      <c r="J115" s="50">
        <v>37560.351133869786</v>
      </c>
      <c r="K115" s="14">
        <v>375603.51133869792</v>
      </c>
      <c r="L115"/>
      <c r="M115"/>
      <c r="N115"/>
      <c r="O115"/>
    </row>
    <row r="116" spans="4:15" x14ac:dyDescent="0.3">
      <c r="D116" s="16">
        <v>725</v>
      </c>
      <c r="E116" s="110">
        <v>4140</v>
      </c>
      <c r="F116" s="33">
        <v>3785.6620336503297</v>
      </c>
      <c r="G116" s="110">
        <v>37856.6203365033</v>
      </c>
      <c r="I116" s="27">
        <v>45892</v>
      </c>
      <c r="J116" s="50">
        <v>76884.601316752029</v>
      </c>
      <c r="K116" s="14">
        <v>764915.87417703005</v>
      </c>
      <c r="L116"/>
      <c r="M116"/>
      <c r="N116"/>
    </row>
    <row r="117" spans="4:15" x14ac:dyDescent="0.3">
      <c r="D117" s="16">
        <v>726</v>
      </c>
      <c r="E117" s="110">
        <v>1980</v>
      </c>
      <c r="F117" s="33">
        <v>1810.534016093636</v>
      </c>
      <c r="G117" s="110">
        <v>18105.340160936361</v>
      </c>
      <c r="I117" s="27">
        <v>45894</v>
      </c>
      <c r="J117" s="50">
        <v>81706.291148500371</v>
      </c>
      <c r="K117" s="14">
        <v>806219.82443306514</v>
      </c>
      <c r="L117"/>
      <c r="M117"/>
      <c r="N117"/>
    </row>
    <row r="118" spans="4:15" x14ac:dyDescent="0.3">
      <c r="D118" s="16">
        <v>727</v>
      </c>
      <c r="E118" s="110">
        <v>21621</v>
      </c>
      <c r="F118" s="33">
        <v>19770.48280907096</v>
      </c>
      <c r="G118" s="110">
        <v>197704.82809070961</v>
      </c>
      <c r="I118" s="27">
        <v>45895</v>
      </c>
      <c r="J118" s="50">
        <v>17298.829553767377</v>
      </c>
      <c r="K118" s="14">
        <v>155689.46598390638</v>
      </c>
      <c r="L118"/>
      <c r="M118"/>
      <c r="N118"/>
    </row>
    <row r="119" spans="4:15" x14ac:dyDescent="0.3">
      <c r="D119" s="16">
        <v>728</v>
      </c>
      <c r="E119" s="110">
        <v>6406</v>
      </c>
      <c r="F119" s="33">
        <v>5857.7176298463792</v>
      </c>
      <c r="G119" s="110">
        <v>58577.17629846379</v>
      </c>
      <c r="I119" s="27">
        <v>45896</v>
      </c>
      <c r="J119" s="50">
        <v>59752.194586686186</v>
      </c>
      <c r="K119" s="14">
        <v>555856.80321872712</v>
      </c>
      <c r="L119"/>
      <c r="M119"/>
      <c r="N119"/>
    </row>
    <row r="120" spans="4:15" x14ac:dyDescent="0.3">
      <c r="D120" s="16">
        <v>729</v>
      </c>
      <c r="E120" s="110">
        <v>7452</v>
      </c>
      <c r="F120" s="33">
        <v>6814.1916605705928</v>
      </c>
      <c r="G120" s="110">
        <v>68141.916605705934</v>
      </c>
      <c r="I120" s="27">
        <v>45897</v>
      </c>
      <c r="J120" s="50">
        <v>41335.040234089247</v>
      </c>
      <c r="K120" s="14">
        <v>413350.40234089253</v>
      </c>
      <c r="L120"/>
      <c r="M120"/>
      <c r="N120"/>
    </row>
    <row r="121" spans="4:15" x14ac:dyDescent="0.3">
      <c r="D121" s="16">
        <v>731</v>
      </c>
      <c r="E121" s="110">
        <v>5597</v>
      </c>
      <c r="F121" s="33">
        <v>5117.9590343818581</v>
      </c>
      <c r="G121" s="110">
        <v>51179.590343818578</v>
      </c>
      <c r="I121" s="27">
        <v>45898</v>
      </c>
      <c r="J121" s="50">
        <v>40317.300658376014</v>
      </c>
      <c r="K121" s="14">
        <v>393712.50914411119</v>
      </c>
      <c r="L121"/>
      <c r="M121"/>
      <c r="N121"/>
    </row>
    <row r="122" spans="4:15" x14ac:dyDescent="0.3">
      <c r="D122" s="16">
        <v>732</v>
      </c>
      <c r="E122" s="110">
        <v>21167</v>
      </c>
      <c r="F122" s="33">
        <v>19355.340160936357</v>
      </c>
      <c r="G122" s="110">
        <v>193553.40160936356</v>
      </c>
      <c r="I122" s="27">
        <v>45899</v>
      </c>
      <c r="J122" s="50">
        <v>53495.793708851503</v>
      </c>
      <c r="K122" s="14">
        <v>624926.84711046098</v>
      </c>
      <c r="L122"/>
      <c r="M122"/>
      <c r="N122"/>
    </row>
    <row r="123" spans="4:15" x14ac:dyDescent="0.3">
      <c r="D123" s="16">
        <v>733</v>
      </c>
      <c r="E123" s="110">
        <v>2010</v>
      </c>
      <c r="F123" s="33">
        <v>0</v>
      </c>
      <c r="G123" s="110">
        <v>0</v>
      </c>
      <c r="I123" s="27">
        <v>45900</v>
      </c>
      <c r="J123" s="50">
        <v>112115.94732991954</v>
      </c>
      <c r="K123" s="14">
        <v>1113504.0234089247</v>
      </c>
      <c r="L123"/>
      <c r="M123"/>
      <c r="N123"/>
    </row>
    <row r="124" spans="4:15" x14ac:dyDescent="0.3">
      <c r="D124" s="16">
        <v>734</v>
      </c>
      <c r="E124" s="110">
        <v>16253</v>
      </c>
      <c r="F124" s="33">
        <v>14861.923920994881</v>
      </c>
      <c r="G124" s="110">
        <v>148619.23920994881</v>
      </c>
      <c r="I124" s="27">
        <v>45901</v>
      </c>
      <c r="J124" s="50">
        <v>33280.907095830291</v>
      </c>
      <c r="K124" s="14">
        <v>332430.50475493784</v>
      </c>
      <c r="L124"/>
      <c r="M124"/>
      <c r="N124"/>
    </row>
    <row r="125" spans="4:15" x14ac:dyDescent="0.3">
      <c r="D125" s="16">
        <v>735</v>
      </c>
      <c r="E125" s="110">
        <v>33788</v>
      </c>
      <c r="F125" s="33">
        <v>30896.122896854427</v>
      </c>
      <c r="G125" s="110">
        <v>308961.22896854428</v>
      </c>
      <c r="I125" s="27">
        <v>45902</v>
      </c>
      <c r="J125" s="50">
        <v>39340.709583028533</v>
      </c>
      <c r="K125" s="14">
        <v>447311.63130943681</v>
      </c>
      <c r="L125"/>
      <c r="M125"/>
      <c r="N125"/>
    </row>
    <row r="126" spans="4:15" x14ac:dyDescent="0.3">
      <c r="D126" s="16">
        <v>736</v>
      </c>
      <c r="E126" s="110">
        <v>8575</v>
      </c>
      <c r="F126" s="33">
        <v>7841.0753474762259</v>
      </c>
      <c r="G126" s="110">
        <v>78410.753474762256</v>
      </c>
      <c r="I126" s="27">
        <v>45903</v>
      </c>
      <c r="J126" s="50">
        <v>45768.105340160946</v>
      </c>
      <c r="K126" s="14">
        <v>457681.05340160942</v>
      </c>
      <c r="L126"/>
      <c r="M126"/>
      <c r="N126"/>
    </row>
    <row r="127" spans="4:15" x14ac:dyDescent="0.3">
      <c r="D127" s="16">
        <v>737</v>
      </c>
      <c r="E127" s="110">
        <v>4298</v>
      </c>
      <c r="F127" s="33">
        <v>3930.1389904901248</v>
      </c>
      <c r="G127" s="110">
        <v>35371.250914411125</v>
      </c>
      <c r="I127" s="27">
        <v>45905</v>
      </c>
      <c r="J127" s="50">
        <v>42745.062179956112</v>
      </c>
      <c r="K127" s="14">
        <v>427450.62179956108</v>
      </c>
      <c r="L127"/>
      <c r="M127"/>
      <c r="N127"/>
    </row>
    <row r="128" spans="4:15" x14ac:dyDescent="0.3">
      <c r="D128" s="16">
        <v>738</v>
      </c>
      <c r="E128" s="110">
        <v>22478</v>
      </c>
      <c r="F128" s="33">
        <v>20554.133138258963</v>
      </c>
      <c r="G128" s="110">
        <v>205541.33138258965</v>
      </c>
      <c r="I128" s="27">
        <v>45907</v>
      </c>
      <c r="J128" s="50">
        <v>86068.946598390641</v>
      </c>
      <c r="K128" s="14">
        <v>917897.76883686916</v>
      </c>
      <c r="L128"/>
      <c r="M128"/>
      <c r="N128"/>
    </row>
    <row r="129" spans="4:14" x14ac:dyDescent="0.3">
      <c r="D129" s="16">
        <v>739</v>
      </c>
      <c r="E129" s="110">
        <v>8540</v>
      </c>
      <c r="F129" s="33">
        <v>7809.0709583028538</v>
      </c>
      <c r="G129" s="110">
        <v>78090.70958302854</v>
      </c>
      <c r="I129" s="27">
        <v>45908</v>
      </c>
      <c r="J129" s="50">
        <v>63158.376005852238</v>
      </c>
      <c r="K129" s="14">
        <v>584409.29041697143</v>
      </c>
      <c r="L129"/>
      <c r="M129"/>
      <c r="N129"/>
    </row>
    <row r="130" spans="4:14" x14ac:dyDescent="0.3">
      <c r="D130" s="16">
        <v>740</v>
      </c>
      <c r="E130" s="110">
        <v>7214</v>
      </c>
      <c r="F130" s="33">
        <v>6596.5618141916611</v>
      </c>
      <c r="G130" s="110">
        <v>65965.61814191661</v>
      </c>
      <c r="I130" s="27">
        <v>45909</v>
      </c>
      <c r="J130" s="50">
        <v>52877.651792245801</v>
      </c>
      <c r="K130" s="14">
        <v>514436.72275054874</v>
      </c>
      <c r="L130"/>
      <c r="M130"/>
      <c r="N130"/>
    </row>
    <row r="131" spans="4:14" x14ac:dyDescent="0.3">
      <c r="D131" s="16">
        <v>741</v>
      </c>
      <c r="E131" s="110">
        <v>6688</v>
      </c>
      <c r="F131" s="33">
        <v>6115.5815654718363</v>
      </c>
      <c r="G131" s="110">
        <v>61155.815654718361</v>
      </c>
      <c r="I131" s="27">
        <v>45910</v>
      </c>
      <c r="J131" s="50">
        <v>41004.937820043895</v>
      </c>
      <c r="K131" s="14">
        <v>410049.37820043898</v>
      </c>
      <c r="L131"/>
      <c r="M131"/>
      <c r="N131"/>
    </row>
    <row r="132" spans="4:14" x14ac:dyDescent="0.3">
      <c r="D132" s="16">
        <v>742</v>
      </c>
      <c r="E132" s="110">
        <v>1914</v>
      </c>
      <c r="F132" s="33">
        <v>1750.1828822238481</v>
      </c>
      <c r="G132" s="110">
        <v>17501.82882223848</v>
      </c>
      <c r="I132" s="27" t="s">
        <v>28</v>
      </c>
      <c r="J132" s="50">
        <v>2021437.4542794437</v>
      </c>
      <c r="K132" s="14">
        <v>20201923.965106074</v>
      </c>
      <c r="L132"/>
      <c r="M132"/>
      <c r="N132"/>
    </row>
    <row r="133" spans="4:14" x14ac:dyDescent="0.3">
      <c r="D133" s="16">
        <v>743</v>
      </c>
      <c r="E133" s="110">
        <v>9214</v>
      </c>
      <c r="F133" s="33">
        <v>8425.3840526700806</v>
      </c>
      <c r="G133" s="110">
        <v>84253.840526700806</v>
      </c>
    </row>
    <row r="134" spans="4:14" x14ac:dyDescent="0.3">
      <c r="D134" s="16">
        <v>744</v>
      </c>
      <c r="E134" s="110">
        <v>21448</v>
      </c>
      <c r="F134" s="33">
        <v>19612.289685442578</v>
      </c>
      <c r="G134" s="110">
        <v>196122.89685442578</v>
      </c>
    </row>
    <row r="135" spans="4:14" x14ac:dyDescent="0.3">
      <c r="D135" s="16">
        <v>745</v>
      </c>
      <c r="E135" s="110">
        <v>11858</v>
      </c>
      <c r="F135" s="33">
        <v>10843.087051938552</v>
      </c>
      <c r="G135" s="110">
        <v>97587.783467446963</v>
      </c>
    </row>
    <row r="136" spans="4:14" x14ac:dyDescent="0.3">
      <c r="D136" s="16">
        <v>746</v>
      </c>
      <c r="E136" s="110">
        <v>18918</v>
      </c>
      <c r="F136" s="33">
        <v>17298.829553767377</v>
      </c>
      <c r="G136" s="110">
        <v>155689.46598390638</v>
      </c>
    </row>
    <row r="137" spans="4:14" x14ac:dyDescent="0.3">
      <c r="D137" s="16">
        <v>747</v>
      </c>
      <c r="E137" s="110">
        <v>19780</v>
      </c>
      <c r="F137" s="33">
        <v>18087.051938551573</v>
      </c>
      <c r="G137" s="110">
        <v>180870.51938551571</v>
      </c>
    </row>
    <row r="138" spans="4:14" x14ac:dyDescent="0.3">
      <c r="D138" s="16">
        <v>748</v>
      </c>
      <c r="E138" s="110">
        <v>4342</v>
      </c>
      <c r="F138" s="33">
        <v>3970.3730797366497</v>
      </c>
      <c r="G138" s="110">
        <v>35733.35771762985</v>
      </c>
    </row>
    <row r="139" spans="4:14" x14ac:dyDescent="0.3">
      <c r="D139" s="16">
        <v>749</v>
      </c>
      <c r="E139" s="110">
        <v>28098</v>
      </c>
      <c r="F139" s="33">
        <v>25693.123628383324</v>
      </c>
      <c r="G139" s="110">
        <v>231238.11265544992</v>
      </c>
    </row>
    <row r="140" spans="4:14" x14ac:dyDescent="0.3">
      <c r="D140" s="16">
        <v>750</v>
      </c>
      <c r="E140" s="110">
        <v>13125</v>
      </c>
      <c r="F140" s="33">
        <v>12001.645940014632</v>
      </c>
      <c r="G140" s="110">
        <v>108014.81346013169</v>
      </c>
    </row>
    <row r="141" spans="4:14" x14ac:dyDescent="0.3">
      <c r="D141" s="16">
        <v>721</v>
      </c>
      <c r="E141" s="110">
        <v>2242</v>
      </c>
      <c r="F141" s="33">
        <v>2050.1097293343087</v>
      </c>
      <c r="G141" s="110">
        <v>20501.097293343086</v>
      </c>
    </row>
    <row r="142" spans="4:14" x14ac:dyDescent="0.3">
      <c r="D142" s="16">
        <v>751</v>
      </c>
      <c r="E142" s="110">
        <v>33502</v>
      </c>
      <c r="F142" s="33">
        <v>30634.601316752014</v>
      </c>
      <c r="G142" s="110">
        <v>306346.01316752017</v>
      </c>
    </row>
    <row r="143" spans="4:14" x14ac:dyDescent="0.3">
      <c r="D143" s="16">
        <v>752</v>
      </c>
      <c r="E143" s="110">
        <v>11702</v>
      </c>
      <c r="F143" s="33">
        <v>10700.438917337236</v>
      </c>
      <c r="G143" s="110">
        <v>107004.38917337236</v>
      </c>
    </row>
    <row r="144" spans="4:14" x14ac:dyDescent="0.3">
      <c r="D144" s="16">
        <v>753</v>
      </c>
      <c r="E144" s="110">
        <v>26158</v>
      </c>
      <c r="F144" s="33">
        <v>23919.166057059258</v>
      </c>
      <c r="G144" s="110">
        <v>239191.66057059256</v>
      </c>
    </row>
    <row r="145" spans="4:7" x14ac:dyDescent="0.3">
      <c r="D145" s="16">
        <v>754</v>
      </c>
      <c r="E145" s="110">
        <v>10346</v>
      </c>
      <c r="F145" s="33">
        <v>9460.4974396488669</v>
      </c>
      <c r="G145" s="110">
        <v>85144.476956839804</v>
      </c>
    </row>
    <row r="146" spans="4:7" x14ac:dyDescent="0.3">
      <c r="D146" s="16">
        <v>755</v>
      </c>
      <c r="E146" s="110">
        <v>7587</v>
      </c>
      <c r="F146" s="33">
        <v>6937.6371616678862</v>
      </c>
      <c r="G146" s="110">
        <v>69376.371616678865</v>
      </c>
    </row>
    <row r="147" spans="4:7" x14ac:dyDescent="0.3">
      <c r="D147" s="16">
        <v>756</v>
      </c>
      <c r="E147" s="110">
        <v>2244</v>
      </c>
      <c r="F147" s="33">
        <v>0</v>
      </c>
      <c r="G147" s="110">
        <v>0</v>
      </c>
    </row>
    <row r="148" spans="4:7" x14ac:dyDescent="0.3">
      <c r="D148" s="16">
        <v>757</v>
      </c>
      <c r="E148" s="110">
        <v>14872</v>
      </c>
      <c r="F148" s="33">
        <v>13599.122165325531</v>
      </c>
      <c r="G148" s="110">
        <v>163189.46598390635</v>
      </c>
    </row>
    <row r="149" spans="4:7" x14ac:dyDescent="0.3">
      <c r="D149" s="16">
        <v>758</v>
      </c>
      <c r="E149" s="110">
        <v>11018</v>
      </c>
      <c r="F149" s="33">
        <v>10074.981711777617</v>
      </c>
      <c r="G149" s="110">
        <v>120899.78054133139</v>
      </c>
    </row>
    <row r="150" spans="4:7" x14ac:dyDescent="0.3">
      <c r="D150" s="16">
        <v>759</v>
      </c>
      <c r="E150" s="110">
        <v>23305</v>
      </c>
      <c r="F150" s="33">
        <v>21310.35113386979</v>
      </c>
      <c r="G150" s="110">
        <v>255724.21360643749</v>
      </c>
    </row>
    <row r="151" spans="4:7" x14ac:dyDescent="0.3">
      <c r="D151" s="16">
        <v>760</v>
      </c>
      <c r="E151" s="110">
        <v>9308</v>
      </c>
      <c r="F151" s="33">
        <v>8511.3386978785675</v>
      </c>
      <c r="G151" s="110">
        <v>85113.386978785682</v>
      </c>
    </row>
    <row r="152" spans="4:7" x14ac:dyDescent="0.3">
      <c r="D152" s="16">
        <v>761</v>
      </c>
      <c r="E152" s="110">
        <v>20380</v>
      </c>
      <c r="F152" s="33">
        <v>18635.6986100951</v>
      </c>
      <c r="G152" s="110">
        <v>186356.98610095101</v>
      </c>
    </row>
    <row r="153" spans="4:7" x14ac:dyDescent="0.3">
      <c r="D153" s="16">
        <v>762</v>
      </c>
      <c r="E153" s="110">
        <v>7020</v>
      </c>
      <c r="F153" s="33">
        <v>6419.1660570592539</v>
      </c>
      <c r="G153" s="110">
        <v>77029.992684711047</v>
      </c>
    </row>
    <row r="154" spans="4:7" x14ac:dyDescent="0.3">
      <c r="D154" s="16">
        <v>763</v>
      </c>
      <c r="E154" s="110">
        <v>2776</v>
      </c>
      <c r="F154" s="33">
        <v>2538.4052670080468</v>
      </c>
      <c r="G154" s="110">
        <v>25384.052670080469</v>
      </c>
    </row>
    <row r="155" spans="4:7" x14ac:dyDescent="0.3">
      <c r="D155" s="16">
        <v>764</v>
      </c>
      <c r="E155" s="110">
        <v>25394</v>
      </c>
      <c r="F155" s="33">
        <v>23220.555961960501</v>
      </c>
      <c r="G155" s="110">
        <v>232205.55961960502</v>
      </c>
    </row>
    <row r="156" spans="4:7" x14ac:dyDescent="0.3">
      <c r="D156" s="16">
        <v>765</v>
      </c>
      <c r="E156" s="110">
        <v>10496</v>
      </c>
      <c r="F156" s="33">
        <v>9597.6591075347478</v>
      </c>
      <c r="G156" s="110">
        <v>95976.591075347475</v>
      </c>
    </row>
    <row r="157" spans="4:7" x14ac:dyDescent="0.3">
      <c r="D157" s="16">
        <v>766</v>
      </c>
      <c r="E157" s="110">
        <v>9552</v>
      </c>
      <c r="F157" s="33">
        <v>8734.4550109729335</v>
      </c>
      <c r="G157" s="110">
        <v>87344.550109729331</v>
      </c>
    </row>
    <row r="158" spans="4:7" x14ac:dyDescent="0.3">
      <c r="D158" s="16">
        <v>767</v>
      </c>
      <c r="E158" s="110">
        <v>13908</v>
      </c>
      <c r="F158" s="33">
        <v>12717.629846378934</v>
      </c>
      <c r="G158" s="110">
        <v>127176.29846378934</v>
      </c>
    </row>
    <row r="159" spans="4:7" x14ac:dyDescent="0.3">
      <c r="D159" s="16">
        <v>768</v>
      </c>
      <c r="E159" s="110">
        <v>10672</v>
      </c>
      <c r="F159" s="33">
        <v>9758.5954645208494</v>
      </c>
      <c r="G159" s="110">
        <v>97585.954645208491</v>
      </c>
    </row>
    <row r="160" spans="4:7" x14ac:dyDescent="0.3">
      <c r="D160" s="16">
        <v>769</v>
      </c>
      <c r="E160" s="110">
        <v>15800</v>
      </c>
      <c r="F160" s="33">
        <v>14447.695683979518</v>
      </c>
      <c r="G160" s="110">
        <v>130029.26115581566</v>
      </c>
    </row>
    <row r="161" spans="4:7" x14ac:dyDescent="0.3">
      <c r="D161" s="16">
        <v>770</v>
      </c>
      <c r="E161" s="110">
        <v>6612</v>
      </c>
      <c r="F161" s="33">
        <v>6046.0863204096568</v>
      </c>
      <c r="G161" s="110">
        <v>54414.776883686907</v>
      </c>
    </row>
    <row r="162" spans="4:7" x14ac:dyDescent="0.3">
      <c r="D162" s="16">
        <v>771</v>
      </c>
      <c r="E162" s="110">
        <v>10650</v>
      </c>
      <c r="F162" s="33">
        <v>9738.4784198975867</v>
      </c>
      <c r="G162" s="110">
        <v>97384.78419897586</v>
      </c>
    </row>
    <row r="163" spans="4:7" x14ac:dyDescent="0.3">
      <c r="D163" s="16">
        <v>772</v>
      </c>
      <c r="E163" s="110">
        <v>17302</v>
      </c>
      <c r="F163" s="33">
        <v>15821.141185076813</v>
      </c>
      <c r="G163" s="110">
        <v>142390.27066569132</v>
      </c>
    </row>
    <row r="164" spans="4:7" x14ac:dyDescent="0.3">
      <c r="D164" s="16">
        <v>773</v>
      </c>
      <c r="E164" s="110">
        <v>8444</v>
      </c>
      <c r="F164" s="33">
        <v>7721.2874908558897</v>
      </c>
      <c r="G164" s="110">
        <v>92655.449890270684</v>
      </c>
    </row>
    <row r="165" spans="4:7" x14ac:dyDescent="0.3">
      <c r="D165" s="16">
        <v>774</v>
      </c>
      <c r="E165" s="110">
        <v>24391</v>
      </c>
      <c r="F165" s="33">
        <v>22303.401609363573</v>
      </c>
      <c r="G165" s="110">
        <v>267640.81931236287</v>
      </c>
    </row>
    <row r="166" spans="4:7" x14ac:dyDescent="0.3">
      <c r="D166" s="16">
        <v>775</v>
      </c>
      <c r="E166" s="110">
        <v>5084</v>
      </c>
      <c r="F166" s="33">
        <v>4648.8661302121436</v>
      </c>
      <c r="G166" s="110">
        <v>55786.393562545723</v>
      </c>
    </row>
    <row r="167" spans="4:7" x14ac:dyDescent="0.3">
      <c r="D167" s="16">
        <v>776</v>
      </c>
      <c r="E167" s="110">
        <v>4760</v>
      </c>
      <c r="F167" s="33">
        <v>4352.5969275786401</v>
      </c>
      <c r="G167" s="110">
        <v>43525.969275786403</v>
      </c>
    </row>
    <row r="168" spans="4:7" x14ac:dyDescent="0.3">
      <c r="D168" s="16">
        <v>777</v>
      </c>
      <c r="E168" s="110">
        <v>888</v>
      </c>
      <c r="F168" s="33">
        <v>811.99707388441846</v>
      </c>
      <c r="G168" s="110">
        <v>8119.9707388441848</v>
      </c>
    </row>
    <row r="169" spans="4:7" x14ac:dyDescent="0.3">
      <c r="D169" s="16">
        <v>778</v>
      </c>
      <c r="E169" s="110">
        <v>7900</v>
      </c>
      <c r="F169" s="33">
        <v>7223.8478419897592</v>
      </c>
      <c r="G169" s="110">
        <v>72238.478419897598</v>
      </c>
    </row>
    <row r="170" spans="4:7" x14ac:dyDescent="0.3">
      <c r="D170" s="16">
        <v>779</v>
      </c>
      <c r="E170" s="110">
        <v>17788</v>
      </c>
      <c r="F170" s="33">
        <v>16265.544989027068</v>
      </c>
      <c r="G170" s="110">
        <v>162655.44989027068</v>
      </c>
    </row>
    <row r="171" spans="4:7" x14ac:dyDescent="0.3">
      <c r="D171" s="16">
        <v>780</v>
      </c>
      <c r="E171" s="110">
        <v>19577</v>
      </c>
      <c r="F171" s="33">
        <v>17901.426481346014</v>
      </c>
      <c r="G171" s="110">
        <v>179014.26481346015</v>
      </c>
    </row>
    <row r="172" spans="4:7" x14ac:dyDescent="0.3">
      <c r="D172" s="16">
        <v>781</v>
      </c>
      <c r="E172" s="110">
        <v>12687</v>
      </c>
      <c r="F172" s="33">
        <v>11601.133869787858</v>
      </c>
      <c r="G172" s="110">
        <v>116011.33869787859</v>
      </c>
    </row>
    <row r="173" spans="4:7" x14ac:dyDescent="0.3">
      <c r="D173" s="16">
        <v>782</v>
      </c>
      <c r="E173" s="110">
        <v>14207</v>
      </c>
      <c r="F173" s="33">
        <v>12991.038771031457</v>
      </c>
      <c r="G173" s="110">
        <v>129910.38771031456</v>
      </c>
    </row>
    <row r="174" spans="4:7" x14ac:dyDescent="0.3">
      <c r="D174" s="16">
        <v>783</v>
      </c>
      <c r="E174" s="110">
        <v>19240</v>
      </c>
      <c r="F174" s="33">
        <v>17593.269934162399</v>
      </c>
      <c r="G174" s="110">
        <v>175932.69934162399</v>
      </c>
    </row>
    <row r="175" spans="4:7" x14ac:dyDescent="0.3">
      <c r="D175" s="16">
        <v>784</v>
      </c>
      <c r="E175" s="110">
        <v>13299</v>
      </c>
      <c r="F175" s="33">
        <v>12160.753474762254</v>
      </c>
      <c r="G175" s="110">
        <v>121607.53474762254</v>
      </c>
    </row>
    <row r="176" spans="4:7" x14ac:dyDescent="0.3">
      <c r="D176" s="16">
        <v>785</v>
      </c>
      <c r="E176" s="110">
        <v>7664</v>
      </c>
      <c r="F176" s="33">
        <v>7008.0468178493056</v>
      </c>
      <c r="G176" s="110">
        <v>84096.561814191664</v>
      </c>
    </row>
    <row r="177" spans="4:7" x14ac:dyDescent="0.3">
      <c r="D177" s="16">
        <v>786</v>
      </c>
      <c r="E177" s="110">
        <v>5132</v>
      </c>
      <c r="F177" s="33">
        <v>4692.7578639356261</v>
      </c>
      <c r="G177" s="110">
        <v>56313.094367227517</v>
      </c>
    </row>
    <row r="178" spans="4:7" x14ac:dyDescent="0.3">
      <c r="D178" s="16">
        <v>787</v>
      </c>
      <c r="E178" s="110">
        <v>18066</v>
      </c>
      <c r="F178" s="33">
        <v>16519.751280175569</v>
      </c>
      <c r="G178" s="110">
        <v>198237.01536210685</v>
      </c>
    </row>
    <row r="179" spans="4:7" x14ac:dyDescent="0.3">
      <c r="D179" s="16">
        <v>788</v>
      </c>
      <c r="E179" s="110">
        <v>12318</v>
      </c>
      <c r="F179" s="33">
        <v>11263.716166788588</v>
      </c>
      <c r="G179" s="110">
        <v>135164.59400146306</v>
      </c>
    </row>
    <row r="180" spans="4:7" x14ac:dyDescent="0.3">
      <c r="D180" s="16">
        <v>789</v>
      </c>
      <c r="E180" s="110">
        <v>23797</v>
      </c>
      <c r="F180" s="33">
        <v>21760.241404535482</v>
      </c>
      <c r="G180" s="110">
        <v>195842.17264081934</v>
      </c>
    </row>
    <row r="181" spans="4:7" x14ac:dyDescent="0.3">
      <c r="D181" s="16">
        <v>790</v>
      </c>
      <c r="E181" s="110">
        <v>27148</v>
      </c>
      <c r="F181" s="33">
        <v>24824.433065106074</v>
      </c>
      <c r="G181" s="110">
        <v>248244.33065106074</v>
      </c>
    </row>
    <row r="182" spans="4:7" x14ac:dyDescent="0.3">
      <c r="D182" s="16">
        <v>791</v>
      </c>
      <c r="E182" s="110">
        <v>17480</v>
      </c>
      <c r="F182" s="33">
        <v>15983.906364301391</v>
      </c>
      <c r="G182" s="110">
        <v>159839.06364301391</v>
      </c>
    </row>
    <row r="183" spans="4:7" x14ac:dyDescent="0.3">
      <c r="D183" s="16">
        <v>792</v>
      </c>
      <c r="E183" s="110">
        <v>22158</v>
      </c>
      <c r="F183" s="33">
        <v>20261.521580102417</v>
      </c>
      <c r="G183" s="110">
        <v>182353.69422092175</v>
      </c>
    </row>
    <row r="184" spans="4:7" x14ac:dyDescent="0.3">
      <c r="D184" s="16">
        <v>793</v>
      </c>
      <c r="E184" s="110">
        <v>11184</v>
      </c>
      <c r="F184" s="33">
        <v>10226.773957571326</v>
      </c>
      <c r="G184" s="110">
        <v>92040.965618141927</v>
      </c>
    </row>
    <row r="185" spans="4:7" x14ac:dyDescent="0.3">
      <c r="D185" s="16">
        <v>794</v>
      </c>
      <c r="E185" s="110">
        <v>14474</v>
      </c>
      <c r="F185" s="33">
        <v>13235.186539868326</v>
      </c>
      <c r="G185" s="110">
        <v>119116.67885881494</v>
      </c>
    </row>
    <row r="186" spans="4:7" x14ac:dyDescent="0.3">
      <c r="D186" s="16">
        <v>795</v>
      </c>
      <c r="E186" s="110">
        <v>3774</v>
      </c>
      <c r="F186" s="33">
        <v>3450.9875640087785</v>
      </c>
      <c r="G186" s="110">
        <v>31058.888076079005</v>
      </c>
    </row>
    <row r="187" spans="4:7" x14ac:dyDescent="0.3">
      <c r="D187" s="16">
        <v>796</v>
      </c>
      <c r="E187" s="110">
        <v>8892</v>
      </c>
      <c r="F187" s="33">
        <v>8130.9436722750552</v>
      </c>
      <c r="G187" s="110">
        <v>81309.436722750557</v>
      </c>
    </row>
    <row r="188" spans="4:7" x14ac:dyDescent="0.3">
      <c r="D188" s="16">
        <v>797</v>
      </c>
      <c r="E188" s="110">
        <v>4334</v>
      </c>
      <c r="F188" s="33">
        <v>3963.0577907827364</v>
      </c>
      <c r="G188" s="110">
        <v>35667.520117044631</v>
      </c>
    </row>
    <row r="189" spans="4:7" x14ac:dyDescent="0.3">
      <c r="D189" s="16">
        <v>798</v>
      </c>
      <c r="E189" s="110">
        <v>13135</v>
      </c>
      <c r="F189" s="33">
        <v>12010.790051207025</v>
      </c>
      <c r="G189" s="110">
        <v>120107.90051207025</v>
      </c>
    </row>
    <row r="190" spans="4:7" x14ac:dyDescent="0.3">
      <c r="D190" s="16">
        <v>799</v>
      </c>
      <c r="E190" s="110">
        <v>13937</v>
      </c>
      <c r="F190" s="33">
        <v>12744.14776883687</v>
      </c>
      <c r="G190" s="110">
        <v>127441.4776883687</v>
      </c>
    </row>
    <row r="191" spans="4:7" x14ac:dyDescent="0.3">
      <c r="D191" s="16">
        <v>800</v>
      </c>
      <c r="E191" s="110">
        <v>11348</v>
      </c>
      <c r="F191" s="33">
        <v>10376.737381126555</v>
      </c>
      <c r="G191" s="110">
        <v>93390.636430138999</v>
      </c>
    </row>
    <row r="192" spans="4:7" x14ac:dyDescent="0.3">
      <c r="D192" s="16">
        <v>801</v>
      </c>
      <c r="E192" s="110">
        <v>6181</v>
      </c>
      <c r="F192" s="33">
        <v>5651.9751280175569</v>
      </c>
      <c r="G192" s="110">
        <v>56519.751280175566</v>
      </c>
    </row>
    <row r="193" spans="4:7" x14ac:dyDescent="0.3">
      <c r="D193" s="16">
        <v>802</v>
      </c>
      <c r="E193" s="110">
        <v>20149</v>
      </c>
      <c r="F193" s="33">
        <v>18424.469641550844</v>
      </c>
      <c r="G193" s="110">
        <v>184244.69641550846</v>
      </c>
    </row>
    <row r="194" spans="4:7" x14ac:dyDescent="0.3">
      <c r="D194" s="16">
        <v>803</v>
      </c>
      <c r="E194" s="110">
        <v>24694</v>
      </c>
      <c r="F194" s="33">
        <v>22580.468178493051</v>
      </c>
      <c r="G194" s="110">
        <v>225804.68178493052</v>
      </c>
    </row>
    <row r="195" spans="4:7" x14ac:dyDescent="0.3">
      <c r="D195" s="16" t="s">
        <v>28</v>
      </c>
      <c r="E195" s="110">
        <v>1150968</v>
      </c>
      <c r="F195" s="33">
        <v>2021437.4542794439</v>
      </c>
      <c r="G195" s="110">
        <v>20201923.965106077</v>
      </c>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26"/>
  <sheetViews>
    <sheetView topLeftCell="A27" zoomScale="122" workbookViewId="0">
      <selection activeCell="H47" sqref="H47"/>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hidden="1"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hidden="1"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5451915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hidden="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hidden="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hidden="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hidden="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hidden="1"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hidden="1"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hidden="1"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hidden="1"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hidden="1"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hidden="1"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hidden="1" x14ac:dyDescent="0.3">
      <c r="A46" s="1">
        <v>45910</v>
      </c>
      <c r="B46" t="s">
        <v>295</v>
      </c>
      <c r="C46" t="s">
        <v>105</v>
      </c>
      <c r="D46" s="11">
        <v>188</v>
      </c>
      <c r="E46" s="11">
        <v>550</v>
      </c>
      <c r="F46" s="11"/>
      <c r="G46" s="11">
        <f>D46*E46</f>
        <v>103400</v>
      </c>
      <c r="H46" s="11"/>
      <c r="I46" s="11">
        <f>(D46*E46)-Table3[[#This Row],[Paid]]</f>
        <v>103400</v>
      </c>
    </row>
    <row r="47" spans="1:9" x14ac:dyDescent="0.3">
      <c r="A47" s="1" t="s">
        <v>106</v>
      </c>
      <c r="D47" s="14"/>
      <c r="E47" s="14"/>
      <c r="F47" s="14"/>
      <c r="G47" s="14">
        <f>SUBTOTAL(109,Table3[Total])</f>
        <v>4934385</v>
      </c>
      <c r="H47" s="14">
        <f>SUBTOTAL(109,Table3[Paid])</f>
        <v>4284350</v>
      </c>
      <c r="I47" s="14">
        <f>SUBTOTAL(109,Table3[balance])</f>
        <v>1902882</v>
      </c>
    </row>
    <row r="57" spans="5:9" x14ac:dyDescent="0.3">
      <c r="E57" s="3" t="s">
        <v>2</v>
      </c>
      <c r="F57" t="s">
        <v>93</v>
      </c>
    </row>
    <row r="59" spans="5:9" x14ac:dyDescent="0.3">
      <c r="E59" s="3" t="s">
        <v>107</v>
      </c>
      <c r="F59" t="s">
        <v>108</v>
      </c>
      <c r="G59" t="s">
        <v>109</v>
      </c>
      <c r="H59" t="s">
        <v>110</v>
      </c>
      <c r="I59" t="s">
        <v>111</v>
      </c>
    </row>
    <row r="60" spans="5:9" x14ac:dyDescent="0.3">
      <c r="E60" s="27">
        <v>45881</v>
      </c>
      <c r="F60" s="14">
        <v>288</v>
      </c>
      <c r="G60" s="14">
        <v>220320</v>
      </c>
      <c r="H60" s="14">
        <v>0</v>
      </c>
      <c r="I60" s="14">
        <v>220320</v>
      </c>
    </row>
    <row r="61" spans="5:9" x14ac:dyDescent="0.3">
      <c r="E61" s="49">
        <v>6691</v>
      </c>
      <c r="F61" s="14">
        <v>288</v>
      </c>
      <c r="G61" s="14">
        <v>220320</v>
      </c>
      <c r="H61" s="14">
        <v>0</v>
      </c>
      <c r="I61" s="14">
        <v>220320</v>
      </c>
    </row>
    <row r="62" spans="5:9" x14ac:dyDescent="0.3">
      <c r="E62" s="27">
        <v>45882</v>
      </c>
      <c r="F62" s="14">
        <v>100</v>
      </c>
      <c r="G62" s="14">
        <v>70000</v>
      </c>
      <c r="H62" s="14">
        <v>0</v>
      </c>
      <c r="I62" s="14">
        <v>70000</v>
      </c>
    </row>
    <row r="63" spans="5:9" x14ac:dyDescent="0.3">
      <c r="E63" s="49">
        <v>1055</v>
      </c>
      <c r="F63" s="14">
        <v>100</v>
      </c>
      <c r="G63" s="14">
        <v>70000</v>
      </c>
      <c r="H63" s="14">
        <v>0</v>
      </c>
      <c r="I63" s="14">
        <v>70000</v>
      </c>
    </row>
    <row r="64" spans="5:9" x14ac:dyDescent="0.3">
      <c r="E64" s="27">
        <v>45884</v>
      </c>
      <c r="F64" s="14">
        <v>388</v>
      </c>
      <c r="G64" s="14">
        <v>296820</v>
      </c>
      <c r="H64" s="14">
        <v>0</v>
      </c>
      <c r="I64" s="14">
        <v>296820</v>
      </c>
    </row>
    <row r="65" spans="5:9" x14ac:dyDescent="0.3">
      <c r="E65" s="49">
        <v>8395</v>
      </c>
      <c r="F65" s="14">
        <v>388</v>
      </c>
      <c r="G65" s="14">
        <v>296820</v>
      </c>
      <c r="H65" s="14">
        <v>0</v>
      </c>
      <c r="I65" s="14">
        <v>296820</v>
      </c>
    </row>
    <row r="66" spans="5:9" x14ac:dyDescent="0.3">
      <c r="E66" s="27">
        <v>45885</v>
      </c>
      <c r="F66" s="14">
        <v>236</v>
      </c>
      <c r="G66" s="14">
        <v>180540</v>
      </c>
      <c r="H66" s="14">
        <v>0</v>
      </c>
      <c r="I66" s="14">
        <v>1405987</v>
      </c>
    </row>
    <row r="67" spans="5:9" x14ac:dyDescent="0.3">
      <c r="E67" s="49">
        <v>3229</v>
      </c>
      <c r="F67" s="14">
        <v>236</v>
      </c>
      <c r="G67" s="14">
        <v>180540</v>
      </c>
      <c r="H67" s="14">
        <v>0</v>
      </c>
      <c r="I67" s="14">
        <v>180540</v>
      </c>
    </row>
    <row r="68" spans="5:9" x14ac:dyDescent="0.3">
      <c r="E68" s="49" t="s">
        <v>103</v>
      </c>
      <c r="F68" s="14"/>
      <c r="G68" s="14">
        <v>0</v>
      </c>
      <c r="H68" s="14"/>
      <c r="I68" s="14">
        <v>1225447</v>
      </c>
    </row>
    <row r="69" spans="5:9" x14ac:dyDescent="0.3">
      <c r="E69" s="27">
        <v>45886</v>
      </c>
      <c r="F69" s="14">
        <v>265</v>
      </c>
      <c r="G69" s="14">
        <v>202725</v>
      </c>
      <c r="H69" s="14">
        <v>26650</v>
      </c>
      <c r="I69" s="14">
        <v>176075</v>
      </c>
    </row>
    <row r="70" spans="5:9" x14ac:dyDescent="0.3">
      <c r="E70" s="49" t="s">
        <v>112</v>
      </c>
      <c r="F70" s="14"/>
      <c r="G70" s="14">
        <v>0</v>
      </c>
      <c r="H70" s="14">
        <v>26650</v>
      </c>
      <c r="I70" s="14">
        <v>-26650</v>
      </c>
    </row>
    <row r="71" spans="5:9" x14ac:dyDescent="0.3">
      <c r="E71" s="49">
        <v>4649</v>
      </c>
      <c r="F71" s="14">
        <v>265</v>
      </c>
      <c r="G71" s="14">
        <v>202725</v>
      </c>
      <c r="H71" s="14"/>
      <c r="I71" s="14">
        <v>202725</v>
      </c>
    </row>
    <row r="72" spans="5:9" x14ac:dyDescent="0.3">
      <c r="E72" s="27">
        <v>45888</v>
      </c>
      <c r="F72" s="14">
        <v>292</v>
      </c>
      <c r="G72" s="14">
        <v>223380</v>
      </c>
      <c r="H72" s="14">
        <v>331500</v>
      </c>
      <c r="I72" s="14">
        <v>-108120</v>
      </c>
    </row>
    <row r="73" spans="5:9" x14ac:dyDescent="0.3">
      <c r="E73" s="49">
        <v>52</v>
      </c>
      <c r="F73" s="14">
        <v>292</v>
      </c>
      <c r="G73" s="14">
        <v>223380</v>
      </c>
      <c r="H73" s="14">
        <v>331500</v>
      </c>
      <c r="I73" s="14">
        <v>-108120</v>
      </c>
    </row>
    <row r="74" spans="5:9" x14ac:dyDescent="0.3">
      <c r="E74" s="27">
        <v>45889</v>
      </c>
      <c r="F74" s="14">
        <v>347</v>
      </c>
      <c r="G74" s="14">
        <v>265455</v>
      </c>
      <c r="H74" s="14">
        <v>102000</v>
      </c>
      <c r="I74" s="14">
        <v>163455</v>
      </c>
    </row>
    <row r="75" spans="5:9" x14ac:dyDescent="0.3">
      <c r="E75" s="49">
        <v>739</v>
      </c>
      <c r="F75" s="14">
        <v>347</v>
      </c>
      <c r="G75" s="14">
        <v>265455</v>
      </c>
      <c r="H75" s="14">
        <v>102000</v>
      </c>
      <c r="I75" s="14">
        <v>163455</v>
      </c>
    </row>
    <row r="76" spans="5:9" x14ac:dyDescent="0.3">
      <c r="E76" s="27">
        <v>45890</v>
      </c>
      <c r="F76" s="14">
        <v>471</v>
      </c>
      <c r="G76" s="14">
        <v>360315</v>
      </c>
      <c r="H76" s="14">
        <v>407400</v>
      </c>
      <c r="I76" s="14">
        <v>-47085</v>
      </c>
    </row>
    <row r="77" spans="5:9" x14ac:dyDescent="0.3">
      <c r="E77" s="49">
        <v>3229</v>
      </c>
      <c r="F77" s="14">
        <v>215</v>
      </c>
      <c r="G77" s="14">
        <v>164475</v>
      </c>
      <c r="H77" s="14"/>
      <c r="I77" s="14">
        <v>164475</v>
      </c>
    </row>
    <row r="78" spans="5:9" x14ac:dyDescent="0.3">
      <c r="E78" s="49">
        <v>1288</v>
      </c>
      <c r="F78" s="14">
        <v>256</v>
      </c>
      <c r="G78" s="14">
        <v>195840</v>
      </c>
      <c r="H78" s="14">
        <v>407400</v>
      </c>
      <c r="I78" s="14">
        <v>-211560</v>
      </c>
    </row>
    <row r="79" spans="5:9" x14ac:dyDescent="0.3">
      <c r="E79" s="27">
        <v>45894</v>
      </c>
      <c r="F79" s="14">
        <v>526</v>
      </c>
      <c r="G79" s="14">
        <v>402390</v>
      </c>
      <c r="H79" s="14">
        <v>69450</v>
      </c>
      <c r="I79" s="14">
        <v>332940</v>
      </c>
    </row>
    <row r="80" spans="5:9" x14ac:dyDescent="0.3">
      <c r="E80" s="49">
        <v>3229</v>
      </c>
      <c r="F80" s="14">
        <v>245</v>
      </c>
      <c r="G80" s="14">
        <v>187425</v>
      </c>
      <c r="H80" s="14"/>
      <c r="I80" s="14">
        <v>187425</v>
      </c>
    </row>
    <row r="81" spans="5:9" x14ac:dyDescent="0.3">
      <c r="E81" s="49">
        <v>5045</v>
      </c>
      <c r="F81" s="14">
        <v>281</v>
      </c>
      <c r="G81" s="14">
        <v>214965</v>
      </c>
      <c r="H81" s="14">
        <v>69450</v>
      </c>
      <c r="I81" s="14">
        <v>145515</v>
      </c>
    </row>
    <row r="82" spans="5:9" x14ac:dyDescent="0.3">
      <c r="E82" s="27">
        <v>45893</v>
      </c>
      <c r="F82" s="14">
        <v>29</v>
      </c>
      <c r="G82" s="14">
        <v>20300</v>
      </c>
      <c r="H82" s="14">
        <v>0</v>
      </c>
      <c r="I82" s="14">
        <v>20300</v>
      </c>
    </row>
    <row r="83" spans="5:9" x14ac:dyDescent="0.3">
      <c r="E83" s="49" t="s">
        <v>105</v>
      </c>
      <c r="F83" s="14">
        <v>29</v>
      </c>
      <c r="G83" s="14">
        <v>20300</v>
      </c>
      <c r="H83" s="14">
        <v>0</v>
      </c>
      <c r="I83" s="14">
        <v>20300</v>
      </c>
    </row>
    <row r="84" spans="5:9" x14ac:dyDescent="0.3">
      <c r="E84" s="27">
        <v>45895</v>
      </c>
      <c r="F84" s="14">
        <v>516</v>
      </c>
      <c r="G84" s="14">
        <v>394740</v>
      </c>
      <c r="H84" s="14">
        <v>346500</v>
      </c>
      <c r="I84" s="14">
        <v>48240</v>
      </c>
    </row>
    <row r="85" spans="5:9" x14ac:dyDescent="0.3">
      <c r="E85" s="49">
        <v>561</v>
      </c>
      <c r="F85" s="14">
        <v>225</v>
      </c>
      <c r="G85" s="14">
        <v>172125</v>
      </c>
      <c r="H85" s="14">
        <v>346500</v>
      </c>
      <c r="I85" s="14">
        <v>-174375</v>
      </c>
    </row>
    <row r="86" spans="5:9" x14ac:dyDescent="0.3">
      <c r="E86" s="49">
        <v>447</v>
      </c>
      <c r="F86" s="14">
        <v>291</v>
      </c>
      <c r="G86" s="14">
        <v>222615</v>
      </c>
      <c r="H86" s="14"/>
      <c r="I86" s="14">
        <v>222615</v>
      </c>
    </row>
    <row r="87" spans="5:9" x14ac:dyDescent="0.3">
      <c r="E87" s="27">
        <v>45887</v>
      </c>
      <c r="F87" s="14"/>
      <c r="G87" s="14">
        <v>0</v>
      </c>
      <c r="H87" s="14">
        <v>300000</v>
      </c>
      <c r="I87" s="14">
        <v>-300000</v>
      </c>
    </row>
    <row r="88" spans="5:9" x14ac:dyDescent="0.3">
      <c r="E88" s="49" t="s">
        <v>112</v>
      </c>
      <c r="F88" s="14"/>
      <c r="G88" s="14">
        <v>0</v>
      </c>
      <c r="H88" s="14">
        <v>300000</v>
      </c>
      <c r="I88" s="14">
        <v>-300000</v>
      </c>
    </row>
    <row r="89" spans="5:9" x14ac:dyDescent="0.3">
      <c r="E89" s="27">
        <v>45892</v>
      </c>
      <c r="F89" s="14"/>
      <c r="G89" s="14">
        <v>0</v>
      </c>
      <c r="H89" s="14">
        <v>302100</v>
      </c>
      <c r="I89" s="14">
        <v>-302100</v>
      </c>
    </row>
    <row r="90" spans="5:9" x14ac:dyDescent="0.3">
      <c r="E90" s="49" t="s">
        <v>112</v>
      </c>
      <c r="F90" s="14"/>
      <c r="G90" s="14">
        <v>0</v>
      </c>
      <c r="H90" s="14">
        <v>302100</v>
      </c>
      <c r="I90" s="14">
        <v>-302100</v>
      </c>
    </row>
    <row r="91" spans="5:9" x14ac:dyDescent="0.3">
      <c r="E91" s="27">
        <v>45896</v>
      </c>
      <c r="F91" s="14">
        <v>133</v>
      </c>
      <c r="G91" s="14">
        <v>93100</v>
      </c>
      <c r="H91" s="14">
        <v>75000</v>
      </c>
      <c r="I91" s="14">
        <v>18100</v>
      </c>
    </row>
    <row r="92" spans="5:9" x14ac:dyDescent="0.3">
      <c r="E92" s="49">
        <v>5946</v>
      </c>
      <c r="F92" s="14">
        <v>133</v>
      </c>
      <c r="G92" s="14">
        <v>93100</v>
      </c>
      <c r="H92" s="14">
        <v>75000</v>
      </c>
      <c r="I92" s="14">
        <v>18100</v>
      </c>
    </row>
    <row r="93" spans="5:9" x14ac:dyDescent="0.3">
      <c r="E93" s="27">
        <v>45897</v>
      </c>
      <c r="F93" s="14">
        <v>265</v>
      </c>
      <c r="G93" s="14">
        <v>202725</v>
      </c>
      <c r="H93" s="14">
        <v>345250</v>
      </c>
      <c r="I93" s="14">
        <v>-142525</v>
      </c>
    </row>
    <row r="94" spans="5:9" x14ac:dyDescent="0.3">
      <c r="E94" s="49">
        <v>1910</v>
      </c>
      <c r="F94" s="14">
        <v>265</v>
      </c>
      <c r="G94" s="14">
        <v>202725</v>
      </c>
      <c r="H94" s="14">
        <v>345250</v>
      </c>
      <c r="I94" s="14">
        <v>-142525</v>
      </c>
    </row>
    <row r="95" spans="5:9" x14ac:dyDescent="0.3">
      <c r="E95" s="27">
        <v>45899</v>
      </c>
      <c r="F95" s="14"/>
      <c r="G95" s="14">
        <v>0</v>
      </c>
      <c r="H95" s="14">
        <v>340250</v>
      </c>
      <c r="I95" s="14">
        <v>-340250</v>
      </c>
    </row>
    <row r="96" spans="5:9" x14ac:dyDescent="0.3">
      <c r="E96" s="49" t="s">
        <v>112</v>
      </c>
      <c r="F96" s="14"/>
      <c r="G96" s="14">
        <v>0</v>
      </c>
      <c r="H96" s="14">
        <v>340250</v>
      </c>
      <c r="I96" s="14">
        <v>-340250</v>
      </c>
    </row>
    <row r="97" spans="5:9" x14ac:dyDescent="0.3">
      <c r="E97" s="27">
        <v>45900</v>
      </c>
      <c r="F97" s="14">
        <v>220</v>
      </c>
      <c r="G97" s="14">
        <v>168300</v>
      </c>
      <c r="H97" s="14">
        <v>37000</v>
      </c>
      <c r="I97" s="14">
        <v>131300</v>
      </c>
    </row>
    <row r="98" spans="5:9" x14ac:dyDescent="0.3">
      <c r="E98" s="49">
        <v>3229</v>
      </c>
      <c r="F98" s="14">
        <v>220</v>
      </c>
      <c r="G98" s="14">
        <v>168300</v>
      </c>
      <c r="H98" s="14"/>
      <c r="I98" s="14">
        <v>168300</v>
      </c>
    </row>
    <row r="99" spans="5:9" x14ac:dyDescent="0.3">
      <c r="E99" s="49" t="s">
        <v>112</v>
      </c>
      <c r="F99" s="14"/>
      <c r="G99" s="14">
        <v>0</v>
      </c>
      <c r="H99" s="14">
        <v>37000</v>
      </c>
      <c r="I99" s="14">
        <v>-37000</v>
      </c>
    </row>
    <row r="100" spans="5:9" x14ac:dyDescent="0.3">
      <c r="E100" s="27">
        <v>45901</v>
      </c>
      <c r="F100" s="14">
        <v>302</v>
      </c>
      <c r="G100" s="14">
        <v>231030</v>
      </c>
      <c r="H100" s="14">
        <v>34000</v>
      </c>
      <c r="I100" s="14">
        <v>197030</v>
      </c>
    </row>
    <row r="101" spans="5:9" x14ac:dyDescent="0.3">
      <c r="E101" s="49">
        <v>7286</v>
      </c>
      <c r="F101" s="14">
        <v>302</v>
      </c>
      <c r="G101" s="14">
        <v>231030</v>
      </c>
      <c r="H101" s="14">
        <v>34000</v>
      </c>
      <c r="I101" s="14">
        <v>197030</v>
      </c>
    </row>
    <row r="102" spans="5:9" x14ac:dyDescent="0.3">
      <c r="E102" s="27">
        <v>45902</v>
      </c>
      <c r="F102" s="14">
        <v>777</v>
      </c>
      <c r="G102" s="14">
        <v>605610</v>
      </c>
      <c r="H102" s="14">
        <v>422500</v>
      </c>
      <c r="I102" s="14">
        <v>183110</v>
      </c>
    </row>
    <row r="103" spans="5:9" x14ac:dyDescent="0.3">
      <c r="E103" s="49">
        <v>1961</v>
      </c>
      <c r="F103" s="14">
        <v>297</v>
      </c>
      <c r="G103" s="14">
        <v>227205</v>
      </c>
      <c r="H103" s="14">
        <v>422500</v>
      </c>
      <c r="I103" s="14">
        <v>-195295</v>
      </c>
    </row>
    <row r="104" spans="5:9" x14ac:dyDescent="0.3">
      <c r="E104" s="49">
        <v>8141</v>
      </c>
      <c r="F104" s="14">
        <v>249</v>
      </c>
      <c r="G104" s="14">
        <v>201690</v>
      </c>
      <c r="H104" s="14"/>
      <c r="I104" s="14">
        <v>201690</v>
      </c>
    </row>
    <row r="105" spans="5:9" x14ac:dyDescent="0.3">
      <c r="E105" s="49">
        <v>3220</v>
      </c>
      <c r="F105" s="14">
        <v>231</v>
      </c>
      <c r="G105" s="14">
        <v>176715</v>
      </c>
      <c r="H105" s="14"/>
      <c r="I105" s="14">
        <v>176715</v>
      </c>
    </row>
    <row r="106" spans="5:9" x14ac:dyDescent="0.3">
      <c r="E106" s="27">
        <v>45903</v>
      </c>
      <c r="F106" s="14"/>
      <c r="G106" s="14">
        <v>0</v>
      </c>
      <c r="H106" s="14">
        <v>30000</v>
      </c>
      <c r="I106" s="14">
        <v>-30000</v>
      </c>
    </row>
    <row r="107" spans="5:9" x14ac:dyDescent="0.3">
      <c r="E107" s="49" t="s">
        <v>112</v>
      </c>
      <c r="F107" s="14"/>
      <c r="G107" s="14">
        <v>0</v>
      </c>
      <c r="H107" s="14">
        <v>30000</v>
      </c>
      <c r="I107" s="14">
        <v>-30000</v>
      </c>
    </row>
    <row r="108" spans="5:9" x14ac:dyDescent="0.3">
      <c r="E108" s="27">
        <v>45904</v>
      </c>
      <c r="F108" s="14">
        <v>624</v>
      </c>
      <c r="G108" s="14">
        <v>486300</v>
      </c>
      <c r="H108" s="14">
        <v>290550</v>
      </c>
      <c r="I108" s="14">
        <v>195750</v>
      </c>
    </row>
    <row r="109" spans="5:9" x14ac:dyDescent="0.3">
      <c r="E109" s="49" t="s">
        <v>105</v>
      </c>
      <c r="F109" s="14">
        <v>87</v>
      </c>
      <c r="G109" s="14">
        <v>51330</v>
      </c>
      <c r="H109" s="14">
        <v>0</v>
      </c>
      <c r="I109" s="14">
        <v>51330</v>
      </c>
    </row>
    <row r="110" spans="5:9" x14ac:dyDescent="0.3">
      <c r="E110" s="49">
        <v>5679</v>
      </c>
      <c r="F110" s="14">
        <v>271</v>
      </c>
      <c r="G110" s="14">
        <v>219510</v>
      </c>
      <c r="H110" s="14"/>
      <c r="I110" s="14">
        <v>219510</v>
      </c>
    </row>
    <row r="111" spans="5:9" x14ac:dyDescent="0.3">
      <c r="E111" s="49">
        <v>9373</v>
      </c>
      <c r="F111" s="14">
        <v>266</v>
      </c>
      <c r="G111" s="14">
        <v>215460</v>
      </c>
      <c r="H111" s="14">
        <v>290550</v>
      </c>
      <c r="I111" s="14">
        <v>-75090</v>
      </c>
    </row>
    <row r="112" spans="5:9" x14ac:dyDescent="0.3">
      <c r="E112" s="27">
        <v>45905</v>
      </c>
      <c r="F112" s="14">
        <v>512</v>
      </c>
      <c r="G112" s="14">
        <v>397285</v>
      </c>
      <c r="H112" s="14">
        <v>331130</v>
      </c>
      <c r="I112" s="14">
        <v>66155</v>
      </c>
    </row>
    <row r="113" spans="5:9" x14ac:dyDescent="0.3">
      <c r="E113" s="49" t="s">
        <v>105</v>
      </c>
      <c r="F113" s="14">
        <v>41</v>
      </c>
      <c r="G113" s="14">
        <v>24190</v>
      </c>
      <c r="H113" s="14">
        <v>51330</v>
      </c>
      <c r="I113" s="14">
        <v>-27140</v>
      </c>
    </row>
    <row r="114" spans="5:9" x14ac:dyDescent="0.3">
      <c r="E114" s="49">
        <v>160</v>
      </c>
      <c r="F114" s="14">
        <v>284</v>
      </c>
      <c r="G114" s="14">
        <v>230040</v>
      </c>
      <c r="H114" s="14">
        <v>279800</v>
      </c>
      <c r="I114" s="14">
        <v>-49760</v>
      </c>
    </row>
    <row r="115" spans="5:9" x14ac:dyDescent="0.3">
      <c r="E115" s="49">
        <v>1973</v>
      </c>
      <c r="F115" s="14">
        <v>187</v>
      </c>
      <c r="G115" s="14">
        <v>143055</v>
      </c>
      <c r="H115" s="14"/>
      <c r="I115" s="14">
        <v>143055</v>
      </c>
    </row>
    <row r="116" spans="5:9" x14ac:dyDescent="0.3">
      <c r="E116" s="27">
        <v>45907</v>
      </c>
      <c r="F116" s="14">
        <v>200</v>
      </c>
      <c r="G116" s="14">
        <v>110000</v>
      </c>
      <c r="H116" s="14">
        <v>0</v>
      </c>
      <c r="I116" s="14">
        <v>110000</v>
      </c>
    </row>
    <row r="117" spans="5:9" x14ac:dyDescent="0.3">
      <c r="E117" s="49" t="s">
        <v>105</v>
      </c>
      <c r="F117" s="14">
        <v>200</v>
      </c>
      <c r="G117" s="14">
        <v>110000</v>
      </c>
      <c r="H117" s="14">
        <v>0</v>
      </c>
      <c r="I117" s="14">
        <v>110000</v>
      </c>
    </row>
    <row r="118" spans="5:9" x14ac:dyDescent="0.3">
      <c r="E118" s="27">
        <v>45908</v>
      </c>
      <c r="F118" s="14">
        <v>35</v>
      </c>
      <c r="G118" s="14">
        <v>19250</v>
      </c>
      <c r="H118" s="14">
        <v>334690</v>
      </c>
      <c r="I118" s="14">
        <v>-315440</v>
      </c>
    </row>
    <row r="119" spans="5:9" x14ac:dyDescent="0.3">
      <c r="E119" s="49" t="s">
        <v>112</v>
      </c>
      <c r="F119" s="14"/>
      <c r="G119" s="14">
        <v>0</v>
      </c>
      <c r="H119" s="14">
        <v>200500</v>
      </c>
      <c r="I119" s="14">
        <v>-200500</v>
      </c>
    </row>
    <row r="120" spans="5:9" x14ac:dyDescent="0.3">
      <c r="E120" s="49" t="s">
        <v>105</v>
      </c>
      <c r="F120" s="14">
        <v>35</v>
      </c>
      <c r="G120" s="14">
        <v>19250</v>
      </c>
      <c r="H120" s="14">
        <v>134190</v>
      </c>
      <c r="I120" s="14">
        <v>-114940</v>
      </c>
    </row>
    <row r="121" spans="5:9" x14ac:dyDescent="0.3">
      <c r="E121" s="27">
        <v>45909</v>
      </c>
      <c r="F121" s="14">
        <v>239</v>
      </c>
      <c r="G121" s="14">
        <v>193590</v>
      </c>
      <c r="H121" s="14">
        <v>236950</v>
      </c>
      <c r="I121" s="14">
        <v>-43360</v>
      </c>
    </row>
    <row r="122" spans="5:9" x14ac:dyDescent="0.3">
      <c r="E122" s="49">
        <v>9940</v>
      </c>
      <c r="F122" s="14">
        <v>239</v>
      </c>
      <c r="G122" s="14">
        <v>193590</v>
      </c>
      <c r="H122" s="14">
        <v>236950</v>
      </c>
      <c r="I122" s="14">
        <v>-43360</v>
      </c>
    </row>
    <row r="123" spans="5:9" x14ac:dyDescent="0.3">
      <c r="E123" s="27">
        <v>45910</v>
      </c>
      <c r="F123" s="14">
        <v>455</v>
      </c>
      <c r="G123" s="14">
        <v>307740</v>
      </c>
      <c r="H123" s="14">
        <v>400560</v>
      </c>
      <c r="I123" s="14">
        <v>-92820</v>
      </c>
    </row>
    <row r="124" spans="5:9" x14ac:dyDescent="0.3">
      <c r="E124" s="49" t="s">
        <v>105</v>
      </c>
      <c r="F124" s="14">
        <v>232</v>
      </c>
      <c r="G124" s="14">
        <v>129360</v>
      </c>
      <c r="H124" s="14">
        <v>148610</v>
      </c>
      <c r="I124" s="14">
        <v>-19250</v>
      </c>
    </row>
    <row r="125" spans="5:9" x14ac:dyDescent="0.3">
      <c r="E125" s="49">
        <v>685</v>
      </c>
      <c r="F125" s="14">
        <v>223</v>
      </c>
      <c r="G125" s="14">
        <v>178380</v>
      </c>
      <c r="H125" s="14">
        <v>251950</v>
      </c>
      <c r="I125" s="14">
        <v>-73570</v>
      </c>
    </row>
    <row r="126" spans="5:9" x14ac:dyDescent="0.3">
      <c r="E126" s="27" t="s">
        <v>28</v>
      </c>
      <c r="F126" s="14">
        <v>7220</v>
      </c>
      <c r="G126" s="14">
        <v>5451915</v>
      </c>
      <c r="H126" s="14">
        <v>4763480</v>
      </c>
      <c r="I126" s="14">
        <v>1913882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45"/>
  <sheetViews>
    <sheetView topLeftCell="A319" zoomScale="132" workbookViewId="0">
      <selection activeCell="E325" sqref="E325"/>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8746516</v>
      </c>
      <c r="M4" s="53" t="s">
        <v>116</v>
      </c>
      <c r="N4" s="59">
        <f>SUMIFS(Table14[Withdrawal],Table14[Party],"Cash",Table14[Mode],"Transfer")</f>
        <v>525000</v>
      </c>
    </row>
    <row r="5" spans="1:16" x14ac:dyDescent="0.3">
      <c r="A5" s="43">
        <v>45886</v>
      </c>
      <c r="B5" t="s">
        <v>102</v>
      </c>
      <c r="C5" s="47">
        <v>26650</v>
      </c>
      <c r="D5" s="47"/>
      <c r="E5" t="s">
        <v>124</v>
      </c>
      <c r="F5" s="52" t="s">
        <v>117</v>
      </c>
      <c r="J5" s="53" t="s">
        <v>72</v>
      </c>
      <c r="K5" s="54">
        <f>Table14[[#Totals],[Credit]]</f>
        <v>8912586</v>
      </c>
      <c r="M5" s="53" t="s">
        <v>117</v>
      </c>
      <c r="N5" s="54">
        <f>(SUMIFS(Table14[Credit],Table14[Mode],"Bank")-SUMIFS(Table14[Debit],Table14[Mode],"Bank")-SUMIFS(Table14[Withdrawal],Table14[Mode],"Transfer"))</f>
        <v>160953</v>
      </c>
      <c r="O5">
        <v>320</v>
      </c>
    </row>
    <row r="6" spans="1:16" x14ac:dyDescent="0.3">
      <c r="A6" s="97">
        <v>45887</v>
      </c>
      <c r="B6" t="s">
        <v>125</v>
      </c>
      <c r="C6" s="11"/>
      <c r="D6" s="11">
        <v>17500</v>
      </c>
      <c r="E6" t="s">
        <v>126</v>
      </c>
      <c r="F6" s="52" t="s">
        <v>117</v>
      </c>
      <c r="J6" s="60" t="s">
        <v>45</v>
      </c>
      <c r="K6" s="61">
        <f>(K5-K4)</f>
        <v>166070</v>
      </c>
      <c r="M6" s="53" t="s">
        <v>118</v>
      </c>
      <c r="N6" s="54">
        <f>((SUMIFS(Table14[Credit],Table14[Mode],"Cash")-SUMIFS(Table14[Debit],Table14[Mode],"Cash"))+SUMIFS(Table14[Withdrawal],Table14[Party],"Cash",Table14[Mode],"Transfer"))</f>
        <v>5117</v>
      </c>
      <c r="O6">
        <v>1520</v>
      </c>
    </row>
    <row r="7" spans="1:16" x14ac:dyDescent="0.3">
      <c r="A7" s="97">
        <v>45887</v>
      </c>
      <c r="B7" t="s">
        <v>57</v>
      </c>
      <c r="C7" s="11">
        <v>4500</v>
      </c>
      <c r="D7" s="11"/>
      <c r="E7" t="s">
        <v>127</v>
      </c>
      <c r="F7" s="52" t="s">
        <v>117</v>
      </c>
      <c r="M7" s="56" t="s">
        <v>5</v>
      </c>
      <c r="N7" s="57">
        <f>SUM(N5:N6)</f>
        <v>166070</v>
      </c>
      <c r="O7" s="100">
        <f>SUM(O5,O6)</f>
        <v>1840</v>
      </c>
      <c r="P7" s="14">
        <f>Table18[[#Totals],[amount]]-Table18[[#Totals],[Actual]]</f>
        <v>164230</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171000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3074145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72100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4284350</v>
      </c>
    </row>
    <row r="171" spans="1:12" x14ac:dyDescent="0.3">
      <c r="A171" s="97">
        <v>45896</v>
      </c>
      <c r="B171" t="s">
        <v>52</v>
      </c>
      <c r="C171" s="11">
        <v>500</v>
      </c>
      <c r="D171" s="11"/>
      <c r="E171" t="s">
        <v>185</v>
      </c>
      <c r="F171" s="52" t="s">
        <v>118</v>
      </c>
      <c r="J171" s="4" t="s">
        <v>52</v>
      </c>
      <c r="K171" s="14"/>
      <c r="L171" s="14">
        <v>61185</v>
      </c>
    </row>
    <row r="172" spans="1:12" x14ac:dyDescent="0.3">
      <c r="A172" s="97">
        <v>45896</v>
      </c>
      <c r="B172" t="s">
        <v>137</v>
      </c>
      <c r="C172" s="47">
        <v>3690</v>
      </c>
      <c r="D172" s="47"/>
      <c r="E172" t="s">
        <v>242</v>
      </c>
      <c r="F172" s="52" t="s">
        <v>117</v>
      </c>
      <c r="J172" s="4" t="s">
        <v>57</v>
      </c>
      <c r="K172" s="14"/>
      <c r="L172" s="14">
        <v>552024</v>
      </c>
    </row>
    <row r="173" spans="1:12" x14ac:dyDescent="0.3">
      <c r="A173" s="97">
        <v>45897</v>
      </c>
      <c r="B173" t="s">
        <v>118</v>
      </c>
      <c r="C173" s="11"/>
      <c r="D173" s="11"/>
      <c r="F173" s="52" t="s">
        <v>159</v>
      </c>
      <c r="G173">
        <v>60000</v>
      </c>
      <c r="J173" s="4" t="s">
        <v>137</v>
      </c>
      <c r="K173" s="14"/>
      <c r="L173" s="14">
        <v>85511</v>
      </c>
    </row>
    <row r="174" spans="1:12" x14ac:dyDescent="0.3">
      <c r="A174" s="97">
        <v>45897</v>
      </c>
      <c r="B174" t="s">
        <v>21</v>
      </c>
      <c r="C174" s="11"/>
      <c r="D174" s="11">
        <v>350000</v>
      </c>
      <c r="E174" t="s">
        <v>87</v>
      </c>
      <c r="F174" s="52" t="s">
        <v>117</v>
      </c>
      <c r="J174" s="4" t="s">
        <v>23</v>
      </c>
      <c r="K174" s="14">
        <v>500000</v>
      </c>
      <c r="L174" s="14"/>
    </row>
    <row r="175" spans="1:12" x14ac:dyDescent="0.3">
      <c r="A175" s="97">
        <v>45897</v>
      </c>
      <c r="B175" t="s">
        <v>102</v>
      </c>
      <c r="C175" s="11">
        <v>302000</v>
      </c>
      <c r="D175" s="11"/>
      <c r="E175" t="s">
        <v>128</v>
      </c>
      <c r="F175" s="52" t="s">
        <v>117</v>
      </c>
      <c r="J175" s="4" t="s">
        <v>56</v>
      </c>
      <c r="K175" s="14"/>
      <c r="L175" s="14">
        <v>130120</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21826</v>
      </c>
      <c r="L178" s="14">
        <v>34054</v>
      </c>
    </row>
    <row r="179" spans="1:12" x14ac:dyDescent="0.3">
      <c r="A179" s="43">
        <v>45897</v>
      </c>
      <c r="B179" t="s">
        <v>56</v>
      </c>
      <c r="C179" s="47">
        <v>1000</v>
      </c>
      <c r="D179" s="47"/>
      <c r="E179" t="s">
        <v>142</v>
      </c>
      <c r="F179" s="52" t="s">
        <v>117</v>
      </c>
      <c r="J179" s="4" t="s">
        <v>177</v>
      </c>
      <c r="K179" s="14">
        <v>4600</v>
      </c>
      <c r="L179" s="14">
        <v>4600</v>
      </c>
    </row>
    <row r="180" spans="1:12" x14ac:dyDescent="0.3">
      <c r="A180" s="43">
        <v>45897</v>
      </c>
      <c r="B180" t="s">
        <v>152</v>
      </c>
      <c r="C180" s="47">
        <v>18000</v>
      </c>
      <c r="D180" s="47"/>
      <c r="E180" t="s">
        <v>173</v>
      </c>
      <c r="F180" s="52" t="s">
        <v>117</v>
      </c>
      <c r="J180" s="4" t="s">
        <v>125</v>
      </c>
      <c r="K180" s="14">
        <v>131920</v>
      </c>
      <c r="L180" s="14">
        <v>122536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112</v>
      </c>
      <c r="K182" s="14"/>
      <c r="L182" s="14"/>
    </row>
    <row r="183" spans="1:12" x14ac:dyDescent="0.3">
      <c r="A183" s="43">
        <v>45898</v>
      </c>
      <c r="B183" t="s">
        <v>56</v>
      </c>
      <c r="C183" s="11">
        <v>5316</v>
      </c>
      <c r="D183" s="11"/>
      <c r="E183" t="s">
        <v>229</v>
      </c>
      <c r="F183" s="52" t="s">
        <v>117</v>
      </c>
      <c r="J183" s="4" t="s">
        <v>25</v>
      </c>
      <c r="K183" s="14">
        <v>1500000</v>
      </c>
      <c r="L183" s="14"/>
    </row>
    <row r="184" spans="1:12" x14ac:dyDescent="0.3">
      <c r="A184" s="97">
        <v>45898</v>
      </c>
      <c r="B184" t="s">
        <v>21</v>
      </c>
      <c r="C184" s="47"/>
      <c r="D184" s="47">
        <v>1600</v>
      </c>
      <c r="F184" s="52" t="s">
        <v>117</v>
      </c>
      <c r="J184" s="4" t="s">
        <v>24</v>
      </c>
      <c r="K184" s="14">
        <v>2779100</v>
      </c>
      <c r="L184" s="14"/>
    </row>
    <row r="185" spans="1:12" x14ac:dyDescent="0.3">
      <c r="A185" s="43">
        <v>45898</v>
      </c>
      <c r="B185" t="s">
        <v>56</v>
      </c>
      <c r="C185" s="11">
        <v>1600</v>
      </c>
      <c r="D185" s="11"/>
      <c r="E185" t="s">
        <v>175</v>
      </c>
      <c r="F185" s="52" t="s">
        <v>117</v>
      </c>
      <c r="J185" s="4" t="s">
        <v>122</v>
      </c>
      <c r="K185" s="14">
        <v>-861719</v>
      </c>
      <c r="L185" s="14"/>
    </row>
    <row r="186" spans="1:12" x14ac:dyDescent="0.3">
      <c r="A186" s="97">
        <v>45898</v>
      </c>
      <c r="B186" t="s">
        <v>57</v>
      </c>
      <c r="C186" s="11">
        <f>10310+3600</f>
        <v>13910</v>
      </c>
      <c r="D186" s="11"/>
      <c r="E186" t="s">
        <v>246</v>
      </c>
      <c r="F186" s="52" t="s">
        <v>117</v>
      </c>
      <c r="J186" s="4" t="s">
        <v>143</v>
      </c>
      <c r="K186" s="14"/>
      <c r="L186" s="14">
        <v>1067500</v>
      </c>
    </row>
    <row r="187" spans="1:12" x14ac:dyDescent="0.3">
      <c r="A187" s="43">
        <v>45898</v>
      </c>
      <c r="B187" t="s">
        <v>57</v>
      </c>
      <c r="C187" s="11">
        <v>6000</v>
      </c>
      <c r="D187" s="11"/>
      <c r="E187" t="s">
        <v>247</v>
      </c>
      <c r="F187" s="52" t="s">
        <v>117</v>
      </c>
      <c r="J187" s="4" t="s">
        <v>145</v>
      </c>
      <c r="K187" s="14">
        <v>200000</v>
      </c>
      <c r="L187" s="14"/>
    </row>
    <row r="188" spans="1:12" x14ac:dyDescent="0.3">
      <c r="A188" s="97">
        <v>45898</v>
      </c>
      <c r="B188" t="s">
        <v>57</v>
      </c>
      <c r="C188" s="11">
        <v>30000</v>
      </c>
      <c r="D188" s="11"/>
      <c r="E188" t="s">
        <v>248</v>
      </c>
      <c r="F188" s="52" t="s">
        <v>117</v>
      </c>
      <c r="J188" s="4" t="s">
        <v>160</v>
      </c>
      <c r="K188" s="14"/>
      <c r="L188" s="14">
        <v>8218</v>
      </c>
    </row>
    <row r="189" spans="1:12" x14ac:dyDescent="0.3">
      <c r="A189" s="97">
        <v>45898</v>
      </c>
      <c r="B189" t="s">
        <v>137</v>
      </c>
      <c r="C189" s="11">
        <v>4380</v>
      </c>
      <c r="D189" s="11"/>
      <c r="F189" s="52" t="s">
        <v>117</v>
      </c>
      <c r="J189" s="4" t="s">
        <v>163</v>
      </c>
      <c r="K189" s="14"/>
      <c r="L189" s="14">
        <v>827438</v>
      </c>
    </row>
    <row r="190" spans="1:12" x14ac:dyDescent="0.3">
      <c r="A190" s="43">
        <v>45898</v>
      </c>
      <c r="B190" t="s">
        <v>52</v>
      </c>
      <c r="C190" s="11">
        <v>1500</v>
      </c>
      <c r="D190" s="11"/>
      <c r="E190" t="s">
        <v>249</v>
      </c>
      <c r="F190" s="52" t="s">
        <v>117</v>
      </c>
      <c r="J190" s="4" t="s">
        <v>180</v>
      </c>
      <c r="K190" s="14"/>
      <c r="L190" s="14">
        <v>100000</v>
      </c>
    </row>
    <row r="191" spans="1:12" x14ac:dyDescent="0.3">
      <c r="A191" s="97">
        <v>45898</v>
      </c>
      <c r="B191" t="s">
        <v>56</v>
      </c>
      <c r="C191" s="11">
        <v>1000</v>
      </c>
      <c r="D191" s="11"/>
      <c r="E191" t="s">
        <v>130</v>
      </c>
      <c r="F191" s="52" t="s">
        <v>117</v>
      </c>
      <c r="J191" s="4" t="s">
        <v>37</v>
      </c>
      <c r="K191" s="14">
        <v>296150</v>
      </c>
      <c r="L191" s="14"/>
    </row>
    <row r="192" spans="1:12" x14ac:dyDescent="0.3">
      <c r="A192" s="97">
        <v>45898</v>
      </c>
      <c r="B192" t="s">
        <v>56</v>
      </c>
      <c r="C192" s="11">
        <v>5500</v>
      </c>
      <c r="D192" s="11"/>
      <c r="E192" t="s">
        <v>132</v>
      </c>
      <c r="F192" s="52" t="s">
        <v>117</v>
      </c>
      <c r="J192" s="4" t="s">
        <v>194</v>
      </c>
      <c r="K192" s="14"/>
      <c r="L192" s="14">
        <v>208800</v>
      </c>
    </row>
    <row r="193" spans="1:12" x14ac:dyDescent="0.3">
      <c r="A193" s="97">
        <v>45899</v>
      </c>
      <c r="B193" t="s">
        <v>24</v>
      </c>
      <c r="C193" s="11"/>
      <c r="D193" s="11">
        <v>163600</v>
      </c>
      <c r="E193" t="s">
        <v>87</v>
      </c>
      <c r="F193" s="52" t="s">
        <v>117</v>
      </c>
      <c r="J193" s="4" t="s">
        <v>250</v>
      </c>
      <c r="K193" s="14">
        <v>200000</v>
      </c>
      <c r="L193" s="14"/>
    </row>
    <row r="194" spans="1:12" x14ac:dyDescent="0.3">
      <c r="A194" s="97">
        <v>45899</v>
      </c>
      <c r="B194" t="s">
        <v>250</v>
      </c>
      <c r="C194" s="11"/>
      <c r="D194" s="11">
        <v>200000</v>
      </c>
      <c r="E194" t="s">
        <v>87</v>
      </c>
      <c r="F194" s="52" t="s">
        <v>117</v>
      </c>
      <c r="J194" s="4" t="s">
        <v>295</v>
      </c>
      <c r="K194" s="14"/>
      <c r="L194" s="14">
        <v>334130</v>
      </c>
    </row>
    <row r="195" spans="1:12" x14ac:dyDescent="0.3">
      <c r="A195" s="97">
        <v>45899</v>
      </c>
      <c r="B195" t="s">
        <v>102</v>
      </c>
      <c r="C195" s="11">
        <v>300250</v>
      </c>
      <c r="D195" s="11"/>
      <c r="E195" t="s">
        <v>49</v>
      </c>
      <c r="F195" s="52" t="s">
        <v>117</v>
      </c>
      <c r="J195" s="4" t="s">
        <v>28</v>
      </c>
      <c r="K195" s="14">
        <v>8912586</v>
      </c>
      <c r="L195" s="14">
        <v>8746516</v>
      </c>
    </row>
    <row r="196" spans="1:12" x14ac:dyDescent="0.3">
      <c r="A196" s="97">
        <v>45899</v>
      </c>
      <c r="B196" t="s">
        <v>57</v>
      </c>
      <c r="C196" s="11">
        <v>8218</v>
      </c>
      <c r="D196" s="11"/>
      <c r="E196" t="s">
        <v>160</v>
      </c>
      <c r="F196" s="52" t="s">
        <v>117</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117</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107">
        <v>45910</v>
      </c>
      <c r="B324" t="s">
        <v>21</v>
      </c>
      <c r="C324" s="11"/>
      <c r="D324" s="11">
        <v>500000</v>
      </c>
      <c r="E324" t="s">
        <v>66</v>
      </c>
      <c r="F324" s="52" t="s">
        <v>117</v>
      </c>
    </row>
    <row r="325" spans="1:7" x14ac:dyDescent="0.3">
      <c r="A325" s="107">
        <v>45910</v>
      </c>
      <c r="B325" t="s">
        <v>143</v>
      </c>
      <c r="C325" s="11">
        <v>500000</v>
      </c>
      <c r="D325" s="11"/>
      <c r="E325" t="s">
        <v>66</v>
      </c>
      <c r="F325" s="52" t="s">
        <v>117</v>
      </c>
    </row>
    <row r="326" spans="1:7" x14ac:dyDescent="0.3">
      <c r="A326" s="107">
        <v>45910</v>
      </c>
      <c r="B326" t="s">
        <v>102</v>
      </c>
      <c r="C326" s="11">
        <v>37500</v>
      </c>
      <c r="D326" s="11"/>
      <c r="E326" t="s">
        <v>318</v>
      </c>
      <c r="F326" s="52" t="s">
        <v>118</v>
      </c>
    </row>
    <row r="327" spans="1:7" x14ac:dyDescent="0.3">
      <c r="A327" s="107">
        <v>45910</v>
      </c>
      <c r="B327" t="s">
        <v>56</v>
      </c>
      <c r="C327" s="11">
        <v>2050</v>
      </c>
      <c r="D327" s="11"/>
      <c r="E327" t="s">
        <v>282</v>
      </c>
      <c r="F327" s="52" t="s">
        <v>117</v>
      </c>
    </row>
    <row r="328" spans="1:7" x14ac:dyDescent="0.3">
      <c r="A328" s="107">
        <v>45910</v>
      </c>
      <c r="B328" t="s">
        <v>21</v>
      </c>
      <c r="C328" s="11"/>
      <c r="D328" s="11">
        <v>2050</v>
      </c>
      <c r="E328" t="s">
        <v>282</v>
      </c>
      <c r="F328" s="52" t="s">
        <v>117</v>
      </c>
    </row>
    <row r="329" spans="1:7" x14ac:dyDescent="0.3">
      <c r="A329" s="107">
        <v>45910</v>
      </c>
      <c r="B329" t="s">
        <v>295</v>
      </c>
      <c r="C329" s="11">
        <v>148610</v>
      </c>
      <c r="D329" s="11"/>
      <c r="E329" t="s">
        <v>319</v>
      </c>
      <c r="F329" s="52" t="s">
        <v>117</v>
      </c>
    </row>
    <row r="330" spans="1:7" x14ac:dyDescent="0.3">
      <c r="A330" s="107">
        <v>45910</v>
      </c>
      <c r="B330" t="s">
        <v>118</v>
      </c>
      <c r="C330" s="11"/>
      <c r="D330" s="11"/>
      <c r="F330" s="52" t="s">
        <v>159</v>
      </c>
      <c r="G330">
        <v>55000</v>
      </c>
    </row>
    <row r="331" spans="1:7" x14ac:dyDescent="0.3">
      <c r="A331" s="107">
        <v>45910</v>
      </c>
      <c r="B331" t="s">
        <v>194</v>
      </c>
      <c r="C331" s="11">
        <v>2000</v>
      </c>
      <c r="D331" s="11"/>
      <c r="E331" t="s">
        <v>320</v>
      </c>
      <c r="F331" s="52" t="s">
        <v>118</v>
      </c>
    </row>
    <row r="332" spans="1:7" x14ac:dyDescent="0.3">
      <c r="A332" s="107">
        <v>45910</v>
      </c>
      <c r="B332" t="s">
        <v>9</v>
      </c>
      <c r="C332" s="11"/>
      <c r="D332" s="11">
        <v>50000</v>
      </c>
      <c r="E332" t="s">
        <v>87</v>
      </c>
      <c r="F332" s="52" t="s">
        <v>117</v>
      </c>
    </row>
    <row r="333" spans="1:7" x14ac:dyDescent="0.3">
      <c r="A333" s="107">
        <v>45910</v>
      </c>
      <c r="B333" t="s">
        <v>56</v>
      </c>
      <c r="C333" s="11">
        <v>1600</v>
      </c>
      <c r="D333" s="11"/>
      <c r="E333" t="s">
        <v>175</v>
      </c>
      <c r="F333" s="52" t="s">
        <v>117</v>
      </c>
    </row>
    <row r="334" spans="1:7" x14ac:dyDescent="0.3">
      <c r="A334" s="107">
        <v>45910</v>
      </c>
      <c r="B334" t="s">
        <v>321</v>
      </c>
      <c r="C334" s="11">
        <v>6400</v>
      </c>
      <c r="D334" s="11"/>
      <c r="E334" t="s">
        <v>317</v>
      </c>
      <c r="F334" s="52" t="s">
        <v>118</v>
      </c>
    </row>
    <row r="335" spans="1:7" x14ac:dyDescent="0.3">
      <c r="A335" s="107">
        <v>45910</v>
      </c>
      <c r="B335" t="s">
        <v>102</v>
      </c>
      <c r="C335" s="11">
        <v>13000</v>
      </c>
      <c r="D335" s="11"/>
      <c r="E335" t="s">
        <v>270</v>
      </c>
      <c r="F335" s="52" t="s">
        <v>118</v>
      </c>
    </row>
    <row r="336" spans="1:7" x14ac:dyDescent="0.3">
      <c r="A336" s="107">
        <v>45910</v>
      </c>
      <c r="B336" t="s">
        <v>194</v>
      </c>
      <c r="C336" s="11">
        <v>5000</v>
      </c>
      <c r="D336" s="11"/>
      <c r="E336" t="s">
        <v>322</v>
      </c>
      <c r="F336" s="52" t="s">
        <v>118</v>
      </c>
    </row>
    <row r="337" spans="1:7" x14ac:dyDescent="0.3">
      <c r="A337" s="107">
        <v>45910</v>
      </c>
      <c r="B337" t="s">
        <v>137</v>
      </c>
      <c r="C337" s="11">
        <v>7692</v>
      </c>
      <c r="D337" s="11"/>
      <c r="F337" s="52" t="s">
        <v>117</v>
      </c>
    </row>
    <row r="338" spans="1:7" x14ac:dyDescent="0.3">
      <c r="A338" s="107">
        <v>45910</v>
      </c>
      <c r="B338" t="s">
        <v>57</v>
      </c>
      <c r="C338" s="11">
        <v>3900</v>
      </c>
      <c r="D338" s="11"/>
      <c r="E338" t="s">
        <v>323</v>
      </c>
      <c r="F338" s="52" t="s">
        <v>117</v>
      </c>
    </row>
    <row r="339" spans="1:7" x14ac:dyDescent="0.3">
      <c r="A339" s="107">
        <v>45910</v>
      </c>
      <c r="B339" t="s">
        <v>37</v>
      </c>
      <c r="C339" s="11"/>
      <c r="D339" s="11">
        <v>97000</v>
      </c>
      <c r="E339" t="s">
        <v>87</v>
      </c>
      <c r="F339" s="52" t="s">
        <v>117</v>
      </c>
    </row>
    <row r="340" spans="1:7" x14ac:dyDescent="0.3">
      <c r="A340" s="107">
        <v>45910</v>
      </c>
      <c r="B340" t="s">
        <v>102</v>
      </c>
      <c r="C340" s="11">
        <v>201450</v>
      </c>
      <c r="D340" s="11"/>
      <c r="E340" t="s">
        <v>128</v>
      </c>
      <c r="F340" s="52" t="s">
        <v>117</v>
      </c>
    </row>
    <row r="341" spans="1:7" x14ac:dyDescent="0.3">
      <c r="A341" s="107">
        <v>45910</v>
      </c>
      <c r="B341" t="s">
        <v>56</v>
      </c>
      <c r="C341" s="11">
        <v>5335</v>
      </c>
      <c r="D341" s="11"/>
      <c r="E341" t="s">
        <v>281</v>
      </c>
      <c r="F341" s="52" t="s">
        <v>117</v>
      </c>
    </row>
    <row r="342" spans="1:7" x14ac:dyDescent="0.3">
      <c r="A342" s="107"/>
      <c r="C342" s="11"/>
      <c r="D342" s="11"/>
      <c r="F342" s="52"/>
    </row>
    <row r="343" spans="1:7" x14ac:dyDescent="0.3">
      <c r="A343" s="107"/>
      <c r="C343" s="11"/>
      <c r="D343" s="11"/>
      <c r="F343" s="52"/>
    </row>
    <row r="344" spans="1:7" x14ac:dyDescent="0.3">
      <c r="A344" s="108"/>
      <c r="B344" s="106"/>
      <c r="C344" s="47"/>
      <c r="D344" s="47"/>
      <c r="E344" s="106"/>
      <c r="F344" s="109"/>
      <c r="G344" s="106"/>
    </row>
    <row r="345" spans="1:7" x14ac:dyDescent="0.3">
      <c r="A345" s="43"/>
      <c r="C345" s="14">
        <f>SUBTOTAL(109,Table14[Debit])</f>
        <v>8746516</v>
      </c>
      <c r="D345" s="14">
        <f>SUBTOTAL(109,Table14[Credit])</f>
        <v>8912586</v>
      </c>
      <c r="F345" s="62">
        <f>(Table14[[#Totals],[Credit]]-Table14[[#Totals],[Debit]])</f>
        <v>166070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21"/>
  <sheetViews>
    <sheetView tabSelected="1" zoomScale="93" zoomScaleNormal="210" workbookViewId="0">
      <selection activeCell="M24" sqref="M2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0"/>
      <c r="M10" s="110">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0">
        <v>659500</v>
      </c>
      <c r="M11" s="110">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0">
        <v>154500</v>
      </c>
      <c r="M12" s="110">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0"/>
      <c r="M13" s="110">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0"/>
      <c r="M14" s="110">
        <v>-500000</v>
      </c>
    </row>
    <row r="15" spans="1:14" x14ac:dyDescent="0.3">
      <c r="A15" s="1">
        <v>45889</v>
      </c>
      <c r="B15" t="s">
        <v>214</v>
      </c>
      <c r="C15">
        <v>1</v>
      </c>
      <c r="D15">
        <v>1650</v>
      </c>
      <c r="E15">
        <f>Table8[[#This Row],[Boxes]]*Table8[[#This Row],[Rate]]*25</f>
        <v>41250</v>
      </c>
      <c r="F15" t="s">
        <v>143</v>
      </c>
      <c r="H15">
        <f>Table8[[#This Row],[Price]]-Table8[[#This Row],[Paid]]</f>
        <v>41250</v>
      </c>
      <c r="K15" s="4" t="s">
        <v>28</v>
      </c>
      <c r="L15" s="110">
        <v>814000</v>
      </c>
      <c r="M15" s="110">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8" x14ac:dyDescent="0.3">
      <c r="A17" s="1">
        <v>45892</v>
      </c>
      <c r="B17" t="s">
        <v>238</v>
      </c>
      <c r="C17">
        <v>3</v>
      </c>
      <c r="D17">
        <v>1300</v>
      </c>
      <c r="E17">
        <f>Table8[[#This Row],[Boxes]]*Table8[[#This Row],[Rate]]*25</f>
        <v>97500</v>
      </c>
      <c r="F17" t="s">
        <v>143</v>
      </c>
      <c r="H17">
        <f>Table8[[#This Row],[Price]]-Table8[[#This Row],[Paid]]</f>
        <v>97500</v>
      </c>
    </row>
    <row r="18" spans="1:8" x14ac:dyDescent="0.3">
      <c r="A18" s="1">
        <v>45892</v>
      </c>
      <c r="B18" t="s">
        <v>239</v>
      </c>
      <c r="C18">
        <v>2</v>
      </c>
      <c r="D18">
        <v>1140</v>
      </c>
      <c r="E18">
        <f>Table8[[#This Row],[Boxes]]*Table8[[#This Row],[Rate]]*25</f>
        <v>57000</v>
      </c>
      <c r="F18" t="s">
        <v>143</v>
      </c>
      <c r="H18">
        <f>Table8[[#This Row],[Price]]-Table8[[#This Row],[Paid]]</f>
        <v>57000</v>
      </c>
    </row>
    <row r="19" spans="1:8" x14ac:dyDescent="0.3">
      <c r="A19" s="1">
        <v>45910</v>
      </c>
      <c r="B19" t="s">
        <v>66</v>
      </c>
      <c r="D19" s="110"/>
      <c r="F19" t="s">
        <v>143</v>
      </c>
      <c r="G19">
        <f>SUMIFS(Table14[Debit], Table14[Date], Table8[[#This Row],[Date]], Table14[Party], Table8[[#This Row],[Party]])</f>
        <v>500000</v>
      </c>
      <c r="H19" s="110">
        <f>Table8[[#This Row],[Price]]-Table8[[#This Row],[Paid]]</f>
        <v>-500000</v>
      </c>
    </row>
    <row r="20" spans="1:8" x14ac:dyDescent="0.3">
      <c r="D20" s="110"/>
      <c r="H20" s="110">
        <f>Table8[[#This Row],[Price]]-Table8[[#This Row],[Paid]]</f>
        <v>0</v>
      </c>
    </row>
    <row r="21" spans="1:8" x14ac:dyDescent="0.3">
      <c r="E21">
        <f>SUBTOTAL(109,Table8[Price])</f>
        <v>1000350</v>
      </c>
      <c r="H21">
        <f>SUBTOTAL(109,Table8[Balance])</f>
        <v>314000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D13" sqref="D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0"/>
      <c r="L5" s="110">
        <v>60000</v>
      </c>
      <c r="M5" s="110">
        <v>35000</v>
      </c>
    </row>
    <row r="6" spans="1:13" x14ac:dyDescent="0.3">
      <c r="A6" s="1">
        <v>45885</v>
      </c>
      <c r="B6" s="1" t="s">
        <v>105</v>
      </c>
      <c r="C6" t="s">
        <v>63</v>
      </c>
      <c r="D6">
        <v>10</v>
      </c>
      <c r="F6">
        <v>69950</v>
      </c>
      <c r="G6">
        <v>69950</v>
      </c>
      <c r="H6">
        <f>Table2[[#This Row],[Price]]-Table2[[#This Row],[Paid]]</f>
        <v>0</v>
      </c>
      <c r="J6" s="4" t="s">
        <v>105</v>
      </c>
      <c r="K6" s="110">
        <v>123050</v>
      </c>
      <c r="L6" s="110">
        <v>123050</v>
      </c>
      <c r="M6" s="110">
        <v>0</v>
      </c>
    </row>
    <row r="7" spans="1:13" x14ac:dyDescent="0.3">
      <c r="A7" s="1">
        <v>45889</v>
      </c>
      <c r="B7" s="1" t="s">
        <v>153</v>
      </c>
      <c r="G7">
        <f>SUMIFS(Table14[Debit], Table14[Date], Table2[[#This Row],[Date]], Table14[Party], Table2[[#This Row],[Party Name]])</f>
        <v>60000</v>
      </c>
      <c r="H7">
        <f>Table2[[#This Row],[Price]]-Table2[[#This Row],[Paid]]</f>
        <v>-60000</v>
      </c>
      <c r="J7" s="4" t="s">
        <v>168</v>
      </c>
      <c r="K7" s="110">
        <v>424850</v>
      </c>
      <c r="L7" s="110">
        <v>424850</v>
      </c>
      <c r="M7" s="110">
        <v>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0">
        <v>547900</v>
      </c>
      <c r="L8" s="110">
        <v>607900</v>
      </c>
      <c r="M8" s="110">
        <v>35000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F13">
        <f>SUBTOTAL(109,Table2[Price])</f>
        <v>547900</v>
      </c>
      <c r="G13">
        <f>SUBTOTAL(109,Table2[Paid])</f>
        <v>607900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E1" zoomScale="118" workbookViewId="0">
      <selection activeCell="I6" sqref="I6:I2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hidden="1"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hidden="1" x14ac:dyDescent="0.3">
      <c r="B9" s="1">
        <v>45899</v>
      </c>
      <c r="C9" s="20">
        <f>SUMIFS(Table14[Debit], Table14[Date], Table11[[#This Row],[Date]], Table14[Party],"Salary ", Table14[Description],Table11[[#This Row],[Column1]])</f>
        <v>13000</v>
      </c>
      <c r="D9" t="s">
        <v>252</v>
      </c>
      <c r="H9" s="1">
        <v>45892</v>
      </c>
      <c r="I9">
        <f>SUMIFS(Table14[Debit], Table14[Date], Table16[[#This Row],[Date]], Table14[Party], "Advance Salary", Table14[Description], Table16[[#This Row],[Person]] )</f>
        <v>10000</v>
      </c>
      <c r="J9" t="s">
        <v>173</v>
      </c>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45894</v>
      </c>
      <c r="I12">
        <f>SUMIFS(Table14[Debit], Table14[Date], Table16[[#This Row],[Date]], Table14[Party], "Advance Salary", Table14[Description], Table16[[#This Row],[Person]] )</f>
        <v>0</v>
      </c>
    </row>
    <row r="13" spans="2:10" hidden="1" x14ac:dyDescent="0.3">
      <c r="B13" s="1">
        <v>45902</v>
      </c>
      <c r="C13" s="20">
        <f>SUMIFS(Table14[Debit], Table14[Date], Table11[[#This Row],[Date]], Table14[Party],"Salary ", Table14[Description],Table11[[#This Row],[Column1]])</f>
        <v>8400</v>
      </c>
      <c r="D13" t="s">
        <v>271</v>
      </c>
      <c r="H13" s="1">
        <v>45895</v>
      </c>
      <c r="I13">
        <f>SUMIFS(Table14[Debit], Table14[Date], Table16[[#This Row],[Date]], Table14[Party], "Advance Salary", Table14[Description], Table16[[#This Row],[Person]] )</f>
        <v>38000</v>
      </c>
      <c r="J13" t="s">
        <v>173</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234</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237</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241</v>
      </c>
    </row>
    <row r="17" spans="2:10" hidden="1"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173</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251</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176</v>
      </c>
    </row>
    <row r="21" spans="2:10" x14ac:dyDescent="0.3">
      <c r="B21" s="1">
        <v>45904</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45905</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45906</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105000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7"/>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1145433</v>
      </c>
      <c r="C2" s="37">
        <f>GETPIVOTDATA("Sum of Tiyaar/gaz",$A$3)</f>
        <v>1150968</v>
      </c>
      <c r="D2" s="36">
        <f>((B2*48)+((C2/1.0936)*10))/C2</f>
        <v>56.913279405583083</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112</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92</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177007</v>
      </c>
      <c r="D19" s="33">
        <f t="shared" si="1"/>
        <v>54.467064521921444</v>
      </c>
      <c r="E19" s="11">
        <f t="shared" si="2"/>
        <v>182778.83599999998</v>
      </c>
      <c r="F19" s="11">
        <f t="shared" si="0"/>
        <v>177007</v>
      </c>
      <c r="G19" s="86">
        <f t="shared" ref="G19:G38" si="6">100- (F19/E19 *100)</f>
        <v>3.157825121503663</v>
      </c>
      <c r="H19" s="33">
        <f t="shared" si="3"/>
        <v>161857.16898317484</v>
      </c>
      <c r="I19" s="33">
        <f t="shared" si="5"/>
        <v>54.467064521921444</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243</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v>1657</v>
      </c>
      <c r="B33" s="14">
        <v>55576</v>
      </c>
      <c r="C33" s="14">
        <v>59248</v>
      </c>
      <c r="D33" s="33">
        <f t="shared" ref="D33:D37" si="7">I33</f>
        <v>54.169225964198745</v>
      </c>
      <c r="E33" s="11">
        <f t="shared" ref="E33:E37" si="8">B33 * 1.0936</f>
        <v>60777.913599999993</v>
      </c>
      <c r="F33" s="11">
        <f t="shared" ref="F33:F37" si="9">C33</f>
        <v>59248</v>
      </c>
      <c r="G33" s="86">
        <f t="shared" ref="G33:G37" si="10">100- (F33/E33 *100)</f>
        <v>2.5172196763266186</v>
      </c>
      <c r="H33" s="33">
        <f t="shared" ref="H33:H37" si="11">F33/1.0936</f>
        <v>54177.029992684715</v>
      </c>
      <c r="I33" s="33">
        <f t="shared" ref="I33:I37" si="12">((B33*48)+(H33*10))/C33</f>
        <v>54.169225964198745</v>
      </c>
    </row>
    <row r="34" spans="1:9" x14ac:dyDescent="0.3">
      <c r="A34" s="16">
        <v>1676</v>
      </c>
      <c r="B34" s="14">
        <v>30009</v>
      </c>
      <c r="C34" s="14">
        <v>31927</v>
      </c>
      <c r="D34" s="33">
        <f t="shared" si="7"/>
        <v>54.260533029708483</v>
      </c>
      <c r="E34" s="11">
        <f t="shared" si="8"/>
        <v>32817.842399999994</v>
      </c>
      <c r="F34" s="11">
        <f t="shared" si="9"/>
        <v>31927</v>
      </c>
      <c r="G34" s="86">
        <f t="shared" si="10"/>
        <v>2.7145063016086368</v>
      </c>
      <c r="H34" s="33">
        <f t="shared" si="11"/>
        <v>29194.403803950259</v>
      </c>
      <c r="I34" s="33">
        <f t="shared" si="12"/>
        <v>54.260533029708483</v>
      </c>
    </row>
    <row r="35" spans="1:9" x14ac:dyDescent="0.3">
      <c r="A35" s="16">
        <v>1683</v>
      </c>
      <c r="B35" s="14">
        <v>6915</v>
      </c>
      <c r="C35" s="14">
        <v>7664</v>
      </c>
      <c r="D35" s="33">
        <f t="shared" si="7"/>
        <v>52.453088227882709</v>
      </c>
      <c r="E35" s="11">
        <f t="shared" si="8"/>
        <v>7562.2439999999997</v>
      </c>
      <c r="F35" s="11">
        <f t="shared" si="9"/>
        <v>7664</v>
      </c>
      <c r="G35" s="86">
        <f t="shared" si="10"/>
        <v>-1.3455794338294282</v>
      </c>
      <c r="H35" s="33">
        <f t="shared" si="11"/>
        <v>7008.0468178493056</v>
      </c>
      <c r="I35" s="33">
        <f t="shared" si="12"/>
        <v>52.453088227882709</v>
      </c>
    </row>
    <row r="36" spans="1:9" x14ac:dyDescent="0.3">
      <c r="A36" s="16">
        <v>1673</v>
      </c>
      <c r="B36" s="14">
        <v>16493</v>
      </c>
      <c r="C36" s="14">
        <v>18066</v>
      </c>
      <c r="D36" s="33">
        <f t="shared" si="7"/>
        <v>52.964768781233019</v>
      </c>
      <c r="E36" s="11">
        <f t="shared" si="8"/>
        <v>18036.744799999997</v>
      </c>
      <c r="F36" s="11">
        <f t="shared" si="9"/>
        <v>18066</v>
      </c>
      <c r="G36" s="86">
        <f t="shared" si="10"/>
        <v>-0.16219778194124501</v>
      </c>
      <c r="H36" s="33">
        <f t="shared" si="11"/>
        <v>16519.751280175569</v>
      </c>
      <c r="I36" s="33">
        <f t="shared" si="12"/>
        <v>52.964768781233019</v>
      </c>
    </row>
    <row r="37" spans="1:9" x14ac:dyDescent="0.3">
      <c r="A37" s="16">
        <v>1679</v>
      </c>
      <c r="B37" s="14">
        <v>11403</v>
      </c>
      <c r="C37" s="14">
        <v>12318</v>
      </c>
      <c r="D37" s="33">
        <f t="shared" si="7"/>
        <v>53.578597310268378</v>
      </c>
      <c r="E37" s="11">
        <f t="shared" si="8"/>
        <v>12470.3208</v>
      </c>
      <c r="F37" s="11">
        <f t="shared" si="9"/>
        <v>12318</v>
      </c>
      <c r="G37" s="86">
        <f t="shared" si="10"/>
        <v>1.2214665720548226</v>
      </c>
      <c r="H37" s="33">
        <f t="shared" si="11"/>
        <v>11263.716166788588</v>
      </c>
      <c r="I37" s="33">
        <f t="shared" si="12"/>
        <v>53.578597310268378</v>
      </c>
    </row>
    <row r="38" spans="1:9" x14ac:dyDescent="0.3">
      <c r="A38" s="16">
        <v>1668</v>
      </c>
      <c r="B38" s="14">
        <v>22329</v>
      </c>
      <c r="C38" s="14">
        <v>23797</v>
      </c>
      <c r="D38" s="33">
        <f t="shared" si="1"/>
        <v>54.183065682453872</v>
      </c>
      <c r="E38" s="11">
        <f t="shared" si="2"/>
        <v>24418.9944</v>
      </c>
      <c r="F38" s="11">
        <f t="shared" si="0"/>
        <v>23797</v>
      </c>
      <c r="G38" s="86">
        <f t="shared" si="6"/>
        <v>2.5471745060885951</v>
      </c>
      <c r="H38" s="33">
        <f t="shared" si="3"/>
        <v>21760.241404535482</v>
      </c>
      <c r="I38" s="33">
        <f t="shared" si="5"/>
        <v>54.183065682453872</v>
      </c>
    </row>
    <row r="39" spans="1:9" x14ac:dyDescent="0.3">
      <c r="A39" s="16">
        <v>1664</v>
      </c>
      <c r="B39" s="14">
        <v>22553</v>
      </c>
      <c r="C39" s="14">
        <v>22158</v>
      </c>
      <c r="D39" s="33">
        <f t="shared" ref="D39:D46" si="13">I39</f>
        <v>57.999784087057684</v>
      </c>
      <c r="E39" s="11">
        <f t="shared" ref="E39:E46" si="14">B39 * 1.0936</f>
        <v>24663.960799999997</v>
      </c>
      <c r="F39" s="11">
        <f t="shared" ref="F39:F46" si="15">C39</f>
        <v>22158</v>
      </c>
      <c r="G39" s="86">
        <f t="shared" ref="G39:G46" si="16">100- (F39/E39 *100)</f>
        <v>10.160415110617578</v>
      </c>
      <c r="H39" s="33">
        <f t="shared" ref="H39:H46" si="17">F39/1.0936</f>
        <v>20261.521580102417</v>
      </c>
      <c r="I39" s="33">
        <f t="shared" ref="I39:I46" si="18">((B39*48)+(H39*10))/C39</f>
        <v>57.999784087057684</v>
      </c>
    </row>
    <row r="40" spans="1:9" x14ac:dyDescent="0.3">
      <c r="A40" s="16">
        <v>1660</v>
      </c>
      <c r="B40" s="14">
        <v>10383</v>
      </c>
      <c r="C40" s="14">
        <v>11184</v>
      </c>
      <c r="D40" s="33">
        <f t="shared" si="13"/>
        <v>53.706342952048757</v>
      </c>
      <c r="E40" s="11">
        <f t="shared" si="14"/>
        <v>11354.8488</v>
      </c>
      <c r="F40" s="11">
        <f t="shared" si="15"/>
        <v>11184</v>
      </c>
      <c r="G40" s="86">
        <f t="shared" si="16"/>
        <v>1.5046329811102339</v>
      </c>
      <c r="H40" s="33">
        <f t="shared" si="17"/>
        <v>10226.773957571326</v>
      </c>
      <c r="I40" s="33">
        <f t="shared" si="18"/>
        <v>53.706342952048757</v>
      </c>
    </row>
    <row r="41" spans="1:9" x14ac:dyDescent="0.3">
      <c r="A41" s="16">
        <v>1678</v>
      </c>
      <c r="B41" s="14">
        <v>13434</v>
      </c>
      <c r="C41" s="14">
        <v>14474</v>
      </c>
      <c r="D41" s="33">
        <f t="shared" si="13"/>
        <v>53.695168260237892</v>
      </c>
      <c r="E41" s="11">
        <f t="shared" si="14"/>
        <v>14691.422399999999</v>
      </c>
      <c r="F41" s="11">
        <f t="shared" si="15"/>
        <v>14474</v>
      </c>
      <c r="G41" s="86">
        <f t="shared" si="16"/>
        <v>1.4799274983748347</v>
      </c>
      <c r="H41" s="33">
        <f t="shared" si="17"/>
        <v>13235.186539868326</v>
      </c>
      <c r="I41" s="33">
        <f t="shared" si="18"/>
        <v>53.695168260237892</v>
      </c>
    </row>
    <row r="42" spans="1:9" x14ac:dyDescent="0.3">
      <c r="A42" s="16">
        <v>1677</v>
      </c>
      <c r="B42" s="14">
        <v>3511</v>
      </c>
      <c r="C42" s="14">
        <v>3774</v>
      </c>
      <c r="D42" s="33">
        <f t="shared" si="13"/>
        <v>53.7991191415177</v>
      </c>
      <c r="E42" s="11">
        <f t="shared" si="14"/>
        <v>3839.6295999999998</v>
      </c>
      <c r="F42" s="11">
        <f t="shared" si="15"/>
        <v>3774</v>
      </c>
      <c r="G42" s="86">
        <f t="shared" si="16"/>
        <v>1.7092690399094721</v>
      </c>
      <c r="H42" s="33">
        <f t="shared" si="17"/>
        <v>3450.9875640087785</v>
      </c>
      <c r="I42" s="33">
        <f t="shared" si="18"/>
        <v>53.7991191415177</v>
      </c>
    </row>
    <row r="43" spans="1:9" x14ac:dyDescent="0.3">
      <c r="A43" s="16">
        <v>1667</v>
      </c>
      <c r="B43" s="14">
        <v>14638</v>
      </c>
      <c r="C43" s="14">
        <v>15682</v>
      </c>
      <c r="D43" s="33">
        <f t="shared" si="13"/>
        <v>53.94860041570545</v>
      </c>
      <c r="E43" s="11">
        <f t="shared" si="14"/>
        <v>16008.116799999998</v>
      </c>
      <c r="F43" s="11">
        <f t="shared" si="15"/>
        <v>15682</v>
      </c>
      <c r="G43" s="86">
        <f t="shared" si="16"/>
        <v>2.0371965302002195</v>
      </c>
      <c r="H43" s="33">
        <f t="shared" si="17"/>
        <v>14339.795171909293</v>
      </c>
      <c r="I43" s="33">
        <f t="shared" si="18"/>
        <v>53.94860041570545</v>
      </c>
    </row>
    <row r="44" spans="1:9" x14ac:dyDescent="0.3">
      <c r="A44" s="16">
        <v>1675</v>
      </c>
      <c r="B44" s="14">
        <v>25085</v>
      </c>
      <c r="C44" s="14">
        <v>27072</v>
      </c>
      <c r="D44" s="33">
        <f t="shared" si="13"/>
        <v>53.621061547002036</v>
      </c>
      <c r="E44" s="11">
        <f t="shared" si="14"/>
        <v>27432.955999999998</v>
      </c>
      <c r="F44" s="11">
        <f t="shared" si="15"/>
        <v>27072</v>
      </c>
      <c r="G44" s="86">
        <f t="shared" si="16"/>
        <v>1.3157750845369947</v>
      </c>
      <c r="H44" s="33">
        <f t="shared" si="17"/>
        <v>24754.937820043895</v>
      </c>
      <c r="I44" s="33">
        <f t="shared" si="18"/>
        <v>53.621061547002036</v>
      </c>
    </row>
    <row r="45" spans="1:9" x14ac:dyDescent="0.3">
      <c r="A45" s="16">
        <v>1681</v>
      </c>
      <c r="B45" s="14">
        <v>24262</v>
      </c>
      <c r="C45" s="14">
        <v>26330</v>
      </c>
      <c r="D45" s="33">
        <f t="shared" si="13"/>
        <v>53.374114990341205</v>
      </c>
      <c r="E45" s="11">
        <f t="shared" si="14"/>
        <v>26532.923199999997</v>
      </c>
      <c r="F45" s="11">
        <f t="shared" si="15"/>
        <v>26330</v>
      </c>
      <c r="G45" s="86">
        <f t="shared" si="16"/>
        <v>0.76479775134613703</v>
      </c>
      <c r="H45" s="33">
        <f t="shared" si="17"/>
        <v>24076.444769568399</v>
      </c>
      <c r="I45" s="33">
        <f t="shared" si="18"/>
        <v>53.374114990341205</v>
      </c>
    </row>
    <row r="46" spans="1:9" x14ac:dyDescent="0.3">
      <c r="A46" s="16">
        <v>1674</v>
      </c>
      <c r="B46" s="14">
        <v>26274</v>
      </c>
      <c r="C46" s="14">
        <v>24694</v>
      </c>
      <c r="D46" s="33">
        <f t="shared" si="13"/>
        <v>60.215302574914176</v>
      </c>
      <c r="E46" s="11">
        <f t="shared" si="14"/>
        <v>28733.246399999996</v>
      </c>
      <c r="F46" s="11">
        <f t="shared" si="15"/>
        <v>24694</v>
      </c>
      <c r="G46" s="86">
        <f t="shared" si="16"/>
        <v>14.057744620183243</v>
      </c>
      <c r="H46" s="33">
        <f t="shared" si="17"/>
        <v>22580.468178493051</v>
      </c>
      <c r="I46" s="33">
        <f t="shared" si="18"/>
        <v>60.215302574914176</v>
      </c>
    </row>
    <row r="47" spans="1:9" x14ac:dyDescent="0.3">
      <c r="A47" s="16" t="s">
        <v>28</v>
      </c>
      <c r="B47" s="35">
        <v>167135</v>
      </c>
      <c r="C47" s="35">
        <v>1150968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4"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0</v>
      </c>
      <c r="H30" s="1">
        <v>45913</v>
      </c>
      <c r="J30">
        <f>SUMIFS(Table14[Debit], Table14[Date], Table15[[#This Row],[Date]], Table14[Party], "Parts")</f>
        <v>0</v>
      </c>
    </row>
    <row r="31" spans="2:10" x14ac:dyDescent="0.3">
      <c r="B31" s="1">
        <v>45914</v>
      </c>
      <c r="C31" t="s">
        <v>137</v>
      </c>
      <c r="D31">
        <f>SUMIFS(Table14[Debit], Table14[Date], Table5[[#This Row],[Date]], Table14[Party], "Rashan")</f>
        <v>0</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85511</v>
      </c>
      <c r="H35" s="1"/>
      <c r="J35">
        <f>SUM(Table15[Amount])</f>
        <v>632024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6902983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850000</v>
      </c>
    </row>
    <row r="6" spans="1:2" x14ac:dyDescent="0.3">
      <c r="A6" t="str">
        <f>Billing!O9</f>
        <v>Sufi Nawaz Sahab</v>
      </c>
      <c r="B6" s="14">
        <f>Billing!W9</f>
        <v>3079100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2025-09-10T17:14:48Z</dcterms:modified>
  <cp:category/>
  <cp:contentStatus/>
</cp:coreProperties>
</file>