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307" documentId="8_{4224AC12-CADB-4490-A83D-F531F0CDC7D0}" xr6:coauthVersionLast="47" xr6:coauthVersionMax="47" xr10:uidLastSave="{050A958F-AE8F-49F9-A9F8-EEBCC3C0C244}"/>
  <bookViews>
    <workbookView xWindow="-108" yWindow="-108" windowWidth="23256" windowHeight="12456"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8" i="9" l="1" a="1"/>
  <c r="T8" i="9" s="1"/>
  <c r="J5" i="1" a="1"/>
  <c r="J5" i="1" s="1"/>
  <c r="C304" i="17"/>
  <c r="I72" i="1"/>
  <c r="I73" i="1"/>
  <c r="J73" i="1" a="1"/>
  <c r="J73" i="1" s="1"/>
  <c r="I74" i="1"/>
  <c r="J72" i="1" a="1"/>
  <c r="J72" i="1" s="1"/>
  <c r="J74" i="1" a="1"/>
  <c r="J74" i="1" s="1"/>
  <c r="G38" i="6"/>
  <c r="I37" i="6"/>
  <c r="H38" i="6"/>
  <c r="I38" i="6" s="1"/>
  <c r="G37" i="6"/>
  <c r="I69" i="1"/>
  <c r="J69" i="1" a="1"/>
  <c r="J69" i="1" s="1"/>
  <c r="I70" i="1"/>
  <c r="J70" i="1" a="1"/>
  <c r="J70" i="1"/>
  <c r="I71" i="1"/>
  <c r="J71" i="1" a="1"/>
  <c r="J71" i="1" s="1"/>
  <c r="H34" i="6"/>
  <c r="I34" i="6" s="1"/>
  <c r="H35" i="6"/>
  <c r="I35" i="6" s="1"/>
  <c r="H36" i="6"/>
  <c r="I36" i="6" s="1"/>
  <c r="G35" i="6"/>
  <c r="G36" i="6"/>
  <c r="H33" i="6"/>
  <c r="I33" i="6" s="1"/>
  <c r="G33" i="6"/>
  <c r="G34" i="6"/>
  <c r="H31" i="6"/>
  <c r="I31" i="6" s="1"/>
  <c r="H28" i="6"/>
  <c r="I28" i="6" s="1"/>
  <c r="I63" i="1"/>
  <c r="J63" i="1" a="1"/>
  <c r="J63" i="1" s="1"/>
  <c r="I64" i="1"/>
  <c r="J64" i="1" a="1"/>
  <c r="J64" i="1" s="1"/>
  <c r="I65" i="1"/>
  <c r="J65" i="1" a="1"/>
  <c r="J65" i="1" s="1"/>
  <c r="I66" i="1"/>
  <c r="J66" i="1" a="1"/>
  <c r="J66" i="1" s="1"/>
  <c r="I67" i="1"/>
  <c r="J67" i="1" a="1"/>
  <c r="J67" i="1" s="1"/>
  <c r="I68" i="1"/>
  <c r="J68" i="1" a="1"/>
  <c r="J68" i="1" s="1"/>
  <c r="I11" i="1"/>
  <c r="I12" i="1"/>
  <c r="J12" i="1" a="1"/>
  <c r="J12" i="1" s="1"/>
  <c r="I13" i="1"/>
  <c r="J13" i="1" a="1"/>
  <c r="J13" i="1" s="1"/>
  <c r="I14" i="1"/>
  <c r="J14" i="1" a="1"/>
  <c r="J14" i="1" s="1"/>
  <c r="I15" i="1"/>
  <c r="J15" i="1" a="1"/>
  <c r="J15" i="1" s="1"/>
  <c r="I16" i="1"/>
  <c r="J16" i="1" a="1"/>
  <c r="J16" i="1" s="1"/>
  <c r="I17" i="1"/>
  <c r="J17" i="1" a="1"/>
  <c r="J17" i="1" s="1"/>
  <c r="I18" i="1"/>
  <c r="J18" i="1" a="1"/>
  <c r="J18" i="1" s="1"/>
  <c r="I19" i="1"/>
  <c r="J19" i="1" a="1"/>
  <c r="J19" i="1"/>
  <c r="I20" i="1"/>
  <c r="J20" i="1" a="1"/>
  <c r="J20" i="1" s="1"/>
  <c r="I21" i="1"/>
  <c r="J21" i="1" a="1"/>
  <c r="J21" i="1" s="1"/>
  <c r="I22" i="1"/>
  <c r="J22" i="1" a="1"/>
  <c r="J22" i="1" s="1"/>
  <c r="I23" i="1"/>
  <c r="J23" i="1" a="1"/>
  <c r="J23" i="1" s="1"/>
  <c r="I24" i="1"/>
  <c r="J24" i="1" a="1"/>
  <c r="J24" i="1" s="1"/>
  <c r="I25" i="1"/>
  <c r="J25" i="1" a="1"/>
  <c r="J25" i="1" s="1"/>
  <c r="I26" i="1"/>
  <c r="J26" i="1" a="1"/>
  <c r="J26" i="1" s="1"/>
  <c r="I27" i="1"/>
  <c r="I28" i="1"/>
  <c r="J28" i="1" a="1"/>
  <c r="J28" i="1" s="1"/>
  <c r="I29" i="1"/>
  <c r="J29" i="1" a="1"/>
  <c r="J29" i="1" s="1"/>
  <c r="I30" i="1"/>
  <c r="J30" i="1" a="1"/>
  <c r="J30" i="1" s="1"/>
  <c r="I31" i="1"/>
  <c r="J31" i="1" a="1"/>
  <c r="J31" i="1"/>
  <c r="I32" i="1"/>
  <c r="J32" i="1" a="1"/>
  <c r="J32" i="1" s="1"/>
  <c r="I33" i="1"/>
  <c r="J33" i="1" a="1"/>
  <c r="J33" i="1" s="1"/>
  <c r="I34" i="1"/>
  <c r="J34" i="1" a="1"/>
  <c r="J34" i="1" s="1"/>
  <c r="I35" i="1"/>
  <c r="J35" i="1" a="1"/>
  <c r="J35" i="1" s="1"/>
  <c r="I36" i="1"/>
  <c r="J36" i="1" a="1"/>
  <c r="J36" i="1" s="1"/>
  <c r="I37" i="1"/>
  <c r="I38" i="1"/>
  <c r="J38" i="1" a="1"/>
  <c r="J38" i="1"/>
  <c r="I39" i="1"/>
  <c r="J39" i="1" a="1"/>
  <c r="J39" i="1"/>
  <c r="I40" i="1"/>
  <c r="J40" i="1" a="1"/>
  <c r="J40" i="1" s="1"/>
  <c r="I41" i="1"/>
  <c r="J41" i="1" a="1"/>
  <c r="J41" i="1" s="1"/>
  <c r="I42" i="1"/>
  <c r="J42" i="1" a="1"/>
  <c r="J42" i="1" s="1"/>
  <c r="I43" i="1"/>
  <c r="J43" i="1" a="1"/>
  <c r="J43" i="1" s="1"/>
  <c r="I44" i="1"/>
  <c r="J44" i="1" a="1"/>
  <c r="J44" i="1" s="1"/>
  <c r="I45" i="1"/>
  <c r="J45" i="1" a="1"/>
  <c r="J45" i="1"/>
  <c r="I46" i="1"/>
  <c r="J46" i="1" a="1"/>
  <c r="J46" i="1" s="1"/>
  <c r="I47" i="1"/>
  <c r="J47" i="1" a="1"/>
  <c r="J47" i="1" s="1"/>
  <c r="I48" i="1"/>
  <c r="J48" i="1" a="1"/>
  <c r="J48" i="1" s="1"/>
  <c r="I49" i="1"/>
  <c r="J49" i="1"/>
  <c r="I50" i="1"/>
  <c r="J50" i="1" a="1"/>
  <c r="J50" i="1"/>
  <c r="I51" i="1"/>
  <c r="J51" i="1" a="1"/>
  <c r="J51" i="1" s="1"/>
  <c r="I52" i="1"/>
  <c r="J52" i="1" a="1"/>
  <c r="J52" i="1"/>
  <c r="I53" i="1"/>
  <c r="J53" i="1" a="1"/>
  <c r="J53" i="1" s="1"/>
  <c r="I54" i="1"/>
  <c r="J54" i="1" a="1"/>
  <c r="J54" i="1" s="1"/>
  <c r="I55" i="1"/>
  <c r="J55" i="1" a="1"/>
  <c r="J55" i="1" s="1"/>
  <c r="I56" i="1"/>
  <c r="J56" i="1" a="1"/>
  <c r="J56" i="1"/>
  <c r="I57" i="1"/>
  <c r="J57" i="1" a="1"/>
  <c r="J57" i="1" s="1"/>
  <c r="I58" i="1"/>
  <c r="J58" i="1" a="1"/>
  <c r="J58" i="1" s="1"/>
  <c r="I59" i="1"/>
  <c r="J59" i="1" a="1"/>
  <c r="J59" i="1" s="1"/>
  <c r="I61" i="1"/>
  <c r="J61" i="1" a="1"/>
  <c r="J61" i="1" s="1"/>
  <c r="I62" i="1"/>
  <c r="J62" i="1" a="1"/>
  <c r="J62" i="1" s="1"/>
  <c r="I60" i="1"/>
  <c r="J60" i="1" a="1"/>
  <c r="J60" i="1" s="1"/>
  <c r="F61" i="1"/>
  <c r="G30" i="6"/>
  <c r="G31" i="6"/>
  <c r="G32" i="6"/>
  <c r="I30" i="6"/>
  <c r="I32" i="6"/>
  <c r="G28" i="6"/>
  <c r="G29" i="6"/>
  <c r="I29" i="6"/>
  <c r="I2" i="1"/>
  <c r="J2" i="1" s="1" a="1"/>
  <c r="J2" i="1" s="1"/>
  <c r="I3" i="1"/>
  <c r="J3" i="1" s="1" a="1"/>
  <c r="J3" i="1" s="1"/>
  <c r="I4" i="1"/>
  <c r="J4" i="1" s="1" a="1"/>
  <c r="J4" i="1" s="1"/>
  <c r="I5" i="1"/>
  <c r="I6" i="1"/>
  <c r="J6" i="1" s="1" a="1"/>
  <c r="J6" i="1" s="1"/>
  <c r="I7" i="1"/>
  <c r="J7" i="1" s="1" a="1"/>
  <c r="J7" i="1" s="1"/>
  <c r="I8" i="1"/>
  <c r="J8" i="1" s="1" a="1"/>
  <c r="J8" i="1" s="1"/>
  <c r="I9" i="1"/>
  <c r="J9" i="1" s="1" a="1"/>
  <c r="J9" i="1" s="1"/>
  <c r="I10" i="1"/>
  <c r="J10" i="1" s="1" a="1"/>
  <c r="J10" i="1" s="1"/>
  <c r="J11" i="1" a="1"/>
  <c r="J11" i="1" s="1"/>
  <c r="J27" i="1" a="1"/>
  <c r="J27" i="1"/>
  <c r="J37" i="1" a="1"/>
  <c r="J37" i="1" s="1"/>
  <c r="B26" i="9" a="1"/>
  <c r="G28" i="9" a="1"/>
  <c r="G28" i="9"/>
  <c r="F57" i="1"/>
  <c r="F56" i="1"/>
  <c r="F29" i="1"/>
  <c r="F26" i="1"/>
  <c r="F19" i="1"/>
  <c r="F17" i="1"/>
  <c r="G11" i="15"/>
  <c r="H11" i="15" s="1"/>
  <c r="G12" i="15"/>
  <c r="H12" i="15" s="1"/>
  <c r="H27" i="6"/>
  <c r="I27" i="6" s="1"/>
  <c r="G26" i="6"/>
  <c r="G27" i="6"/>
  <c r="I26" i="6"/>
  <c r="O5" i="9" a="1"/>
  <c r="O5" i="9"/>
  <c r="A2" i="20"/>
  <c r="P16" i="9" a="1"/>
  <c r="P16" i="9"/>
  <c r="P17" i="9" a="1"/>
  <c r="P17" i="9"/>
  <c r="P18" i="9" a="1"/>
  <c r="P18" i="9"/>
  <c r="P19" i="9" a="1"/>
  <c r="P19" i="9"/>
  <c r="H37" i="9" a="1"/>
  <c r="H37" i="9"/>
  <c r="H38" i="9" a="1"/>
  <c r="H38" i="9"/>
  <c r="G37" i="9" a="1"/>
  <c r="G37" i="9"/>
  <c r="G38" i="9" a="1"/>
  <c r="G38" i="9"/>
  <c r="W18" i="9"/>
  <c r="X18" i="9" s="1"/>
  <c r="W19" i="9"/>
  <c r="X19" i="9" s="1"/>
  <c r="W16" i="9"/>
  <c r="X16" i="9" s="1"/>
  <c r="W17" i="9"/>
  <c r="X17" i="9" s="1"/>
  <c r="S16" i="9" a="1"/>
  <c r="S16" i="9"/>
  <c r="T16" i="9" a="1"/>
  <c r="T16" i="9"/>
  <c r="U16" i="9" a="1"/>
  <c r="U16" i="9"/>
  <c r="S17" i="9" a="1"/>
  <c r="S17" i="9"/>
  <c r="T17" i="9" a="1"/>
  <c r="T17" i="9"/>
  <c r="U17" i="9" a="1"/>
  <c r="U17" i="9"/>
  <c r="S18" i="9" a="1"/>
  <c r="S18" i="9"/>
  <c r="T18" i="9" a="1"/>
  <c r="T18" i="9"/>
  <c r="U18" i="9" a="1"/>
  <c r="U18" i="9"/>
  <c r="S19" i="9" a="1"/>
  <c r="S19" i="9"/>
  <c r="T19" i="9" a="1"/>
  <c r="T19" i="9"/>
  <c r="U19" i="9" a="1"/>
  <c r="U19" i="9"/>
  <c r="R16" i="9" a="1"/>
  <c r="R16" i="9"/>
  <c r="R17" i="9" a="1"/>
  <c r="R17" i="9"/>
  <c r="R18" i="9" a="1"/>
  <c r="R18" i="9"/>
  <c r="R19" i="9" a="1"/>
  <c r="R19" i="9"/>
  <c r="Q16" i="9" a="1"/>
  <c r="Q16" i="9"/>
  <c r="Q17" i="9" a="1"/>
  <c r="Q17" i="9"/>
  <c r="Q18" i="9" a="1"/>
  <c r="Q18" i="9"/>
  <c r="Q19" i="9" a="1"/>
  <c r="Q19" i="9"/>
  <c r="H25" i="6"/>
  <c r="I25" i="6" s="1"/>
  <c r="G25" i="6"/>
  <c r="B15" i="9"/>
  <c r="C15" i="9"/>
  <c r="E15" i="9"/>
  <c r="H23" i="6"/>
  <c r="I23" i="6" s="1"/>
  <c r="H24" i="6"/>
  <c r="I24" i="6" s="1"/>
  <c r="G23" i="6"/>
  <c r="G24" i="6"/>
  <c r="D201" i="17"/>
  <c r="D2" i="17"/>
  <c r="C186" i="17"/>
  <c r="J15" i="14" s="1"/>
  <c r="H22" i="6"/>
  <c r="I22" i="6" s="1"/>
  <c r="H21" i="6"/>
  <c r="I21" i="6" s="1"/>
  <c r="G22" i="6"/>
  <c r="G10" i="15"/>
  <c r="H10" i="15" s="1"/>
  <c r="G9" i="15"/>
  <c r="H9" i="15" s="1"/>
  <c r="D3" i="17"/>
  <c r="N6" i="17" s="1"/>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2" i="17"/>
  <c r="C16" i="10" s="1"/>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E34" i="2"/>
  <c r="F34" i="2"/>
  <c r="H34" i="2"/>
  <c r="I34" i="2"/>
  <c r="D34" i="2"/>
  <c r="E35" i="2"/>
  <c r="F35" i="2"/>
  <c r="G35" i="2"/>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7" i="9"/>
  <c r="K37" i="9" s="1"/>
  <c r="J38" i="9"/>
  <c r="K38" i="9" s="1"/>
  <c r="J4" i="19" a="1"/>
  <c r="J4" i="19" s="1"/>
  <c r="E8" i="18"/>
  <c r="E3" i="18"/>
  <c r="E4" i="18"/>
  <c r="E5" i="18"/>
  <c r="E6" i="18"/>
  <c r="E7" i="18"/>
  <c r="E9" i="18"/>
  <c r="E10" i="18"/>
  <c r="E11" i="18"/>
  <c r="E12" i="18"/>
  <c r="E13" i="18"/>
  <c r="E14" i="18"/>
  <c r="E15" i="18"/>
  <c r="E16" i="18"/>
  <c r="E17" i="18"/>
  <c r="E18" i="18"/>
  <c r="E19" i="18"/>
  <c r="E20" i="18"/>
  <c r="F21" i="2"/>
  <c r="F22" i="2"/>
  <c r="H22" i="2"/>
  <c r="I22" i="2"/>
  <c r="D22" i="2"/>
  <c r="F23" i="2"/>
  <c r="H23" i="2"/>
  <c r="I23" i="2"/>
  <c r="D23" i="2"/>
  <c r="F24" i="2"/>
  <c r="H24" i="2"/>
  <c r="I24" i="2"/>
  <c r="D24" i="2"/>
  <c r="F25" i="2"/>
  <c r="F26" i="2"/>
  <c r="H26" i="2"/>
  <c r="I26" i="2"/>
  <c r="D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c r="I20" i="2"/>
  <c r="D20" i="2"/>
  <c r="E15" i="2"/>
  <c r="E16" i="2"/>
  <c r="E17" i="2"/>
  <c r="E18" i="2"/>
  <c r="E19" i="2"/>
  <c r="E7" i="2"/>
  <c r="E8" i="2"/>
  <c r="E9" i="2"/>
  <c r="E10" i="2"/>
  <c r="E11" i="2"/>
  <c r="E12" i="2"/>
  <c r="E13" i="2"/>
  <c r="E14" i="2"/>
  <c r="E5" i="2"/>
  <c r="E6" i="2"/>
  <c r="E4" i="2"/>
  <c r="F13" i="2"/>
  <c r="F14" i="2"/>
  <c r="H14" i="2"/>
  <c r="I14" i="2"/>
  <c r="D14" i="2"/>
  <c r="F15" i="2"/>
  <c r="H15" i="2"/>
  <c r="I15" i="2"/>
  <c r="D15" i="2"/>
  <c r="F16" i="2"/>
  <c r="H16" i="2"/>
  <c r="I16" i="2"/>
  <c r="D16" i="2"/>
  <c r="F17" i="2"/>
  <c r="F18" i="2"/>
  <c r="H18" i="2"/>
  <c r="I18" i="2"/>
  <c r="D18" i="2"/>
  <c r="F19" i="2"/>
  <c r="C8" i="8"/>
  <c r="F11" i="2"/>
  <c r="H11" i="2"/>
  <c r="I11" i="2"/>
  <c r="F10" i="2"/>
  <c r="H10" i="2"/>
  <c r="I10" i="2"/>
  <c r="D10" i="2"/>
  <c r="F6" i="2"/>
  <c r="H6" i="2"/>
  <c r="I6" i="2"/>
  <c r="D6" i="2"/>
  <c r="F7" i="2"/>
  <c r="F8" i="2"/>
  <c r="H8" i="2"/>
  <c r="I8" i="2"/>
  <c r="D8" i="2"/>
  <c r="F9" i="2"/>
  <c r="H9" i="2"/>
  <c r="I9" i="2"/>
  <c r="D9" i="2"/>
  <c r="N3" i="7"/>
  <c r="N5" i="7"/>
  <c r="E6" i="11"/>
  <c r="D6" i="11"/>
  <c r="F12" i="2"/>
  <c r="F5" i="2"/>
  <c r="H5" i="2"/>
  <c r="I5" i="2"/>
  <c r="D5" i="2"/>
  <c r="F3" i="2"/>
  <c r="F4" i="2"/>
  <c r="H4" i="2"/>
  <c r="I4" i="2"/>
  <c r="D4" i="2"/>
  <c r="F13" i="15"/>
  <c r="G40" i="2"/>
  <c r="G36" i="2"/>
  <c r="G39" i="2"/>
  <c r="G37" i="2"/>
  <c r="H40" i="2"/>
  <c r="I40" i="2"/>
  <c r="D40" i="2"/>
  <c r="H37" i="2"/>
  <c r="I37" i="2"/>
  <c r="D37" i="2"/>
  <c r="B2" i="2"/>
  <c r="H3" i="1"/>
  <c r="H10" i="1"/>
  <c r="H4" i="1"/>
  <c r="H7" i="1"/>
  <c r="H5" i="1"/>
  <c r="H6" i="1"/>
  <c r="H9" i="1"/>
  <c r="H2" i="1"/>
  <c r="H8" i="1"/>
  <c r="G5" i="2"/>
  <c r="G7" i="2"/>
  <c r="H67" i="1"/>
  <c r="G34" i="2"/>
  <c r="G10" i="2"/>
  <c r="H35" i="2"/>
  <c r="I35" i="2"/>
  <c r="D35" i="2"/>
  <c r="G13" i="2"/>
  <c r="H22" i="1"/>
  <c r="G20" i="2"/>
  <c r="H38" i="1"/>
  <c r="G25" i="2"/>
  <c r="G21" i="2"/>
  <c r="H40" i="1"/>
  <c r="H21" i="2"/>
  <c r="I21" i="2"/>
  <c r="D21" i="2"/>
  <c r="G39" i="6"/>
  <c r="G8" i="2"/>
  <c r="H13" i="1"/>
  <c r="G33" i="2"/>
  <c r="G16" i="2"/>
  <c r="G19" i="2"/>
  <c r="H72" i="1"/>
  <c r="G14" i="2"/>
  <c r="H23" i="1"/>
  <c r="G6" i="2"/>
  <c r="G18" i="2"/>
  <c r="H32" i="1"/>
  <c r="G26" i="2"/>
  <c r="H49" i="1"/>
  <c r="H25" i="2"/>
  <c r="I25" i="2"/>
  <c r="D25" i="2"/>
  <c r="G23" i="2"/>
  <c r="H41" i="1"/>
  <c r="H44" i="1"/>
  <c r="G22" i="2"/>
  <c r="H50" i="1"/>
  <c r="G17" i="2"/>
  <c r="H30" i="1"/>
  <c r="G11" i="2"/>
  <c r="H61" i="1"/>
  <c r="G31" i="2"/>
  <c r="G15" i="2"/>
  <c r="G29" i="2"/>
  <c r="G12" i="2"/>
  <c r="G4" i="2"/>
  <c r="H65" i="1"/>
  <c r="G28" i="2"/>
  <c r="H16" i="1"/>
  <c r="H13" i="2"/>
  <c r="I13" i="2"/>
  <c r="D13" i="2"/>
  <c r="G9" i="2"/>
  <c r="H21" i="1"/>
  <c r="H33" i="2"/>
  <c r="I33" i="2"/>
  <c r="D33" i="2"/>
  <c r="H19" i="2"/>
  <c r="I19" i="2"/>
  <c r="D19" i="2"/>
  <c r="G32" i="2"/>
  <c r="H64" i="1"/>
  <c r="H39" i="1"/>
  <c r="H14" i="1"/>
  <c r="H24" i="1"/>
  <c r="H25" i="1"/>
  <c r="H31" i="1"/>
  <c r="H11" i="1"/>
  <c r="G30" i="2"/>
  <c r="H59" i="1"/>
  <c r="H7" i="2"/>
  <c r="I7" i="2"/>
  <c r="D7" i="2"/>
  <c r="H17" i="2"/>
  <c r="I17" i="2"/>
  <c r="D17" i="2"/>
  <c r="G27" i="2"/>
  <c r="H52" i="1"/>
  <c r="G24" i="2"/>
  <c r="H12" i="2"/>
  <c r="I12" i="2"/>
  <c r="D12" i="2"/>
  <c r="A3" i="20"/>
  <c r="A7" i="20"/>
  <c r="A4" i="20"/>
  <c r="A11" i="20"/>
  <c r="W14" i="9"/>
  <c r="B11" i="20" s="1"/>
  <c r="A8" i="20"/>
  <c r="A9" i="20"/>
  <c r="A5" i="20"/>
  <c r="A10" i="20"/>
  <c r="A6" i="20"/>
  <c r="V16" i="9"/>
  <c r="J36" i="9"/>
  <c r="K36" i="9" s="1"/>
  <c r="G36" i="9" a="1"/>
  <c r="G36" i="9"/>
  <c r="B14" i="9"/>
  <c r="R15" i="9" a="1"/>
  <c r="R15" i="9"/>
  <c r="V19" i="9"/>
  <c r="H36" i="9" a="1"/>
  <c r="H36" i="9"/>
  <c r="Q15" i="9" a="1"/>
  <c r="Q15" i="9"/>
  <c r="W15" i="9"/>
  <c r="X15" i="9" s="1"/>
  <c r="P15" i="9" a="1"/>
  <c r="P15" i="9"/>
  <c r="V17" i="9"/>
  <c r="I38" i="9"/>
  <c r="I37" i="9"/>
  <c r="V18" i="9"/>
  <c r="B11" i="9"/>
  <c r="C50" i="9"/>
  <c r="P11" i="9" a="1"/>
  <c r="P11" i="9" s="1"/>
  <c r="B5" i="9"/>
  <c r="E50" i="9"/>
  <c r="R11" i="9" a="1"/>
  <c r="R11" i="9" s="1"/>
  <c r="D50" i="9"/>
  <c r="Q11" i="9" a="1"/>
  <c r="Q11" i="9" s="1"/>
  <c r="C45" i="9"/>
  <c r="P6" i="9" a="1"/>
  <c r="P6" i="9" s="1"/>
  <c r="J48" i="9"/>
  <c r="W9" i="9" s="1"/>
  <c r="B6" i="20" s="1"/>
  <c r="G29" i="9" a="1"/>
  <c r="G29" i="9"/>
  <c r="J45" i="9"/>
  <c r="W6" i="9"/>
  <c r="B3" i="20" s="1"/>
  <c r="H35" i="9" a="1"/>
  <c r="H35" i="9"/>
  <c r="J47" i="9"/>
  <c r="W8" i="9" s="1"/>
  <c r="B5" i="20" s="1"/>
  <c r="D52" i="9"/>
  <c r="Q13" i="9" a="1"/>
  <c r="Q13" i="9" s="1"/>
  <c r="E48" i="9"/>
  <c r="R9" i="9" a="1"/>
  <c r="R9" i="9" s="1"/>
  <c r="C46" i="9"/>
  <c r="P7" i="9" s="1" a="1"/>
  <c r="P7" i="9" s="1"/>
  <c r="J34" i="9"/>
  <c r="K34" i="9" s="1"/>
  <c r="B9" i="9"/>
  <c r="J32" i="9"/>
  <c r="K32" i="9" s="1"/>
  <c r="J50" i="9"/>
  <c r="W11" i="9" s="1"/>
  <c r="B8" i="20" s="1"/>
  <c r="B13" i="9"/>
  <c r="E46" i="9"/>
  <c r="R7" i="9" a="1"/>
  <c r="R7" i="9" s="1"/>
  <c r="E47" i="9"/>
  <c r="R8" i="9" a="1"/>
  <c r="R8" i="9" s="1"/>
  <c r="D12" i="19" s="1" a="1"/>
  <c r="D12" i="19" s="1"/>
  <c r="G31" i="9" a="1"/>
  <c r="G31" i="9"/>
  <c r="D47" i="9"/>
  <c r="Q8" i="9" s="1" a="1"/>
  <c r="Q8" i="9" s="1"/>
  <c r="J35" i="9"/>
  <c r="K35" i="9" s="1"/>
  <c r="G27" i="9" a="1"/>
  <c r="G27" i="9"/>
  <c r="Q14" i="9" a="1"/>
  <c r="Q14" i="9"/>
  <c r="G30" i="9" a="1"/>
  <c r="G30" i="9"/>
  <c r="H30" i="9" a="1"/>
  <c r="H30" i="9"/>
  <c r="D51" i="9"/>
  <c r="Q12" i="9" a="1"/>
  <c r="Q12" i="9" s="1"/>
  <c r="E51" i="9"/>
  <c r="R12" i="9" s="1" a="1"/>
  <c r="R12" i="9" s="1"/>
  <c r="H28" i="9" a="1"/>
  <c r="H28" i="9"/>
  <c r="I28" i="9"/>
  <c r="J52" i="9"/>
  <c r="W13" i="9" s="1"/>
  <c r="B10" i="20" s="1"/>
  <c r="D48" i="9"/>
  <c r="Q9" i="9" a="1"/>
  <c r="Q9" i="9" s="1"/>
  <c r="G35" i="9" a="1"/>
  <c r="G35" i="9"/>
  <c r="G32" i="9" a="1"/>
  <c r="G32" i="9"/>
  <c r="C47" i="9"/>
  <c r="P8" i="9" s="1" a="1"/>
  <c r="P8" i="9" s="1"/>
  <c r="E52" i="9"/>
  <c r="R13" i="9" s="1" a="1"/>
  <c r="R13" i="9" s="1"/>
  <c r="J46" i="9"/>
  <c r="W7" i="9" s="1"/>
  <c r="B4" i="20" s="1"/>
  <c r="D46" i="9"/>
  <c r="Q7" i="9" s="1" a="1"/>
  <c r="Q7" i="9" s="1"/>
  <c r="C51" i="9"/>
  <c r="P12" i="9" a="1"/>
  <c r="P12" i="9" s="1"/>
  <c r="D49" i="9"/>
  <c r="Q10" i="9" s="1" a="1"/>
  <c r="Q10" i="9" s="1"/>
  <c r="E45" i="9"/>
  <c r="R6" i="9" s="1" a="1"/>
  <c r="R6" i="9" s="1"/>
  <c r="J51" i="9"/>
  <c r="W12" i="9"/>
  <c r="B9" i="20" s="1"/>
  <c r="B10" i="9"/>
  <c r="J29" i="9"/>
  <c r="K29" i="9" s="1"/>
  <c r="B7" i="9"/>
  <c r="H34" i="9" a="1"/>
  <c r="H34" i="9"/>
  <c r="C52" i="9"/>
  <c r="P13" i="9" s="1" a="1"/>
  <c r="P13" i="9" s="1"/>
  <c r="H33" i="9" a="1"/>
  <c r="H33" i="9"/>
  <c r="B12" i="9"/>
  <c r="H31" i="9" a="1"/>
  <c r="H31" i="9"/>
  <c r="P14" i="9" a="1"/>
  <c r="P14" i="9"/>
  <c r="J28" i="9"/>
  <c r="K28" i="9" s="1"/>
  <c r="H27" i="9" a="1"/>
  <c r="H27" i="9"/>
  <c r="J49" i="9"/>
  <c r="W10" i="9" s="1"/>
  <c r="B7" i="20" s="1"/>
  <c r="J33" i="9"/>
  <c r="K33" i="9" s="1"/>
  <c r="B8" i="9"/>
  <c r="J27" i="9"/>
  <c r="K27" i="9" s="1"/>
  <c r="D45" i="9"/>
  <c r="Q6" i="9" a="1"/>
  <c r="Q6" i="9" s="1"/>
  <c r="G33" i="9" a="1"/>
  <c r="G33" i="9"/>
  <c r="H32" i="9" a="1"/>
  <c r="H32" i="9"/>
  <c r="J31" i="9"/>
  <c r="K31" i="9" s="1"/>
  <c r="R14" i="9" a="1"/>
  <c r="R14" i="9"/>
  <c r="B26" i="9"/>
  <c r="E49" i="9"/>
  <c r="R10" i="9" s="1" a="1"/>
  <c r="R10" i="9" s="1"/>
  <c r="C49" i="9"/>
  <c r="P10" i="9" a="1"/>
  <c r="P10" i="9" s="1"/>
  <c r="C48" i="9"/>
  <c r="P9" i="9" a="1"/>
  <c r="P9" i="9" s="1"/>
  <c r="J30" i="9"/>
  <c r="K30" i="9" s="1"/>
  <c r="B6" i="9"/>
  <c r="H29" i="9" a="1"/>
  <c r="H29" i="9"/>
  <c r="G34" i="9" a="1"/>
  <c r="G34" i="9"/>
  <c r="I34" i="9"/>
  <c r="N14" i="6"/>
  <c r="C4" i="8"/>
  <c r="I75" i="1" a="1"/>
  <c r="I75" i="1" s="1"/>
  <c r="H71" i="1"/>
  <c r="H73" i="1"/>
  <c r="H70" i="1"/>
  <c r="H74" i="1"/>
  <c r="H48" i="1"/>
  <c r="H20" i="1"/>
  <c r="H29" i="1"/>
  <c r="H19" i="1"/>
  <c r="H57" i="1"/>
  <c r="H26" i="1"/>
  <c r="H28" i="1"/>
  <c r="H15" i="1"/>
  <c r="H68" i="1"/>
  <c r="H69" i="1"/>
  <c r="H46" i="1"/>
  <c r="H55" i="1"/>
  <c r="H37" i="1"/>
  <c r="H42" i="1"/>
  <c r="H33" i="1"/>
  <c r="H34" i="1"/>
  <c r="H51" i="1"/>
  <c r="H43" i="1"/>
  <c r="H45" i="1"/>
  <c r="H35" i="1"/>
  <c r="H63" i="1"/>
  <c r="H36" i="1"/>
  <c r="H18" i="1"/>
  <c r="H56" i="1"/>
  <c r="H17" i="1"/>
  <c r="H66" i="1"/>
  <c r="H47" i="1"/>
  <c r="H58" i="1"/>
  <c r="H27" i="1"/>
  <c r="J44" i="9"/>
  <c r="W5" i="9" s="1"/>
  <c r="H60" i="1"/>
  <c r="H62" i="1"/>
  <c r="H53" i="1"/>
  <c r="H54" i="1"/>
  <c r="I36" i="9"/>
  <c r="I32" i="9"/>
  <c r="I35" i="9"/>
  <c r="E14" i="9"/>
  <c r="C14" i="9"/>
  <c r="I30" i="9"/>
  <c r="I33" i="9"/>
  <c r="E8" i="9"/>
  <c r="C8" i="9"/>
  <c r="I31" i="9"/>
  <c r="C7" i="9"/>
  <c r="E7" i="9"/>
  <c r="C14" i="19" a="1"/>
  <c r="C14" i="19" s="1"/>
  <c r="E14" i="19" s="1"/>
  <c r="E26" i="9" a="1"/>
  <c r="E26" i="9"/>
  <c r="G44" i="9" a="1"/>
  <c r="T12" i="9" s="1" a="1"/>
  <c r="T12" i="9" s="1"/>
  <c r="T15" i="9" a="1"/>
  <c r="T15" i="9"/>
  <c r="C44" i="9"/>
  <c r="P5" i="9" s="1" a="1"/>
  <c r="P5" i="9" s="1"/>
  <c r="H44" i="9" a="1"/>
  <c r="U7" i="9" s="1" a="1"/>
  <c r="U7" i="9" s="1"/>
  <c r="U15" i="9" a="1"/>
  <c r="U15" i="9"/>
  <c r="G26" i="9" a="1"/>
  <c r="G26" i="9"/>
  <c r="J26" i="9"/>
  <c r="K26" i="9" s="1"/>
  <c r="E44" i="9"/>
  <c r="R5" i="9" a="1"/>
  <c r="R5" i="9" s="1"/>
  <c r="C12" i="19" a="1"/>
  <c r="C12" i="19" s="1"/>
  <c r="C26" i="9" a="1"/>
  <c r="C26" i="9"/>
  <c r="F26" i="9" a="1"/>
  <c r="F26" i="9"/>
  <c r="D44" i="9"/>
  <c r="Q5" i="9" a="1"/>
  <c r="Q5" i="9" s="1"/>
  <c r="H26" i="9" a="1"/>
  <c r="H26" i="9"/>
  <c r="B4" i="9"/>
  <c r="F44" i="9" a="1"/>
  <c r="S12" i="9" s="1" a="1"/>
  <c r="S12" i="9" s="1"/>
  <c r="S15" i="9" a="1"/>
  <c r="S15" i="9"/>
  <c r="D26" i="9" a="1"/>
  <c r="D26" i="9"/>
  <c r="E13" i="9"/>
  <c r="C13" i="9"/>
  <c r="C5" i="9"/>
  <c r="E5" i="9"/>
  <c r="C10" i="9"/>
  <c r="E10" i="9"/>
  <c r="E11" i="9"/>
  <c r="C11" i="9"/>
  <c r="I29" i="9"/>
  <c r="C6" i="9"/>
  <c r="E6" i="9"/>
  <c r="C12" i="9"/>
  <c r="E12" i="9"/>
  <c r="I27" i="9"/>
  <c r="E9" i="9" a="1"/>
  <c r="E9" i="9" s="1"/>
  <c r="C9" i="9"/>
  <c r="V15" i="9"/>
  <c r="C16" i="9"/>
  <c r="I26" i="9"/>
  <c r="S13" i="9" a="1"/>
  <c r="S13" i="9" s="1"/>
  <c r="S10" i="9" a="1"/>
  <c r="S10" i="9" s="1"/>
  <c r="S7" i="9" a="1"/>
  <c r="S7" i="9" s="1"/>
  <c r="S8" i="9" a="1"/>
  <c r="S8" i="9" s="1"/>
  <c r="S11" i="9" a="1"/>
  <c r="S11" i="9" s="1"/>
  <c r="F44" i="9"/>
  <c r="S5" i="9" s="1" a="1"/>
  <c r="S5" i="9" s="1"/>
  <c r="D14" i="19" s="1" a="1"/>
  <c r="D14" i="19" s="1"/>
  <c r="U9" i="9" a="1"/>
  <c r="U9" i="9" s="1"/>
  <c r="E4" i="9"/>
  <c r="C4" i="9"/>
  <c r="T13" i="9" a="1"/>
  <c r="T13" i="9" s="1"/>
  <c r="T11" i="9" a="1"/>
  <c r="T11" i="9" s="1"/>
  <c r="T10" i="9" a="1"/>
  <c r="T10" i="9" s="1"/>
  <c r="T14" i="9" a="1"/>
  <c r="T14" i="9" s="1"/>
  <c r="T6" i="9" a="1"/>
  <c r="T6" i="9" s="1"/>
  <c r="T7" i="9" a="1"/>
  <c r="T7" i="9" s="1"/>
  <c r="C2" i="2"/>
  <c r="D10" i="19" l="1" a="1"/>
  <c r="D10" i="19" s="1"/>
  <c r="D8" i="19" a="1"/>
  <c r="D8" i="19" s="1"/>
  <c r="E12" i="19"/>
  <c r="E16" i="19" s="1"/>
  <c r="N5" i="17"/>
  <c r="N7" i="17" s="1"/>
  <c r="P7" i="17" s="1"/>
  <c r="D306" i="17"/>
  <c r="K5" i="17" s="1"/>
  <c r="C7" i="8"/>
  <c r="C12" i="10"/>
  <c r="C306" i="17"/>
  <c r="K4" i="17" s="1"/>
  <c r="K6" i="17" s="1"/>
  <c r="G13" i="15"/>
  <c r="H19" i="7"/>
  <c r="H13" i="15"/>
  <c r="H39" i="6"/>
  <c r="C35" i="12"/>
  <c r="D35" i="18"/>
  <c r="C11" i="8" s="1"/>
  <c r="D35" i="14"/>
  <c r="C10" i="8" s="1"/>
  <c r="I35" i="12"/>
  <c r="E35" i="18"/>
  <c r="I39" i="6"/>
  <c r="J35" i="14"/>
  <c r="C12" i="8" s="1"/>
  <c r="V7" i="9"/>
  <c r="X7" i="9" s="1"/>
  <c r="J75" i="1" a="1"/>
  <c r="J75" i="1" s="1"/>
  <c r="D2" i="2"/>
  <c r="V12" i="9"/>
  <c r="X12" i="9" s="1"/>
  <c r="K75" i="1"/>
  <c r="B2" i="20"/>
  <c r="E18" i="19" a="1"/>
  <c r="E18" i="19" s="1"/>
  <c r="I50" i="9"/>
  <c r="K50" i="9" s="1"/>
  <c r="U12" i="9" a="1"/>
  <c r="U12" i="9" s="1"/>
  <c r="H44" i="9"/>
  <c r="U5" i="9" s="1" a="1"/>
  <c r="U5" i="9" s="1"/>
  <c r="S9" i="9" a="1"/>
  <c r="S9" i="9" s="1"/>
  <c r="I51" i="9"/>
  <c r="K51" i="9" s="1"/>
  <c r="U13" i="9" a="1"/>
  <c r="U13" i="9" s="1"/>
  <c r="V13" i="9" s="1"/>
  <c r="X13" i="9" s="1"/>
  <c r="I47" i="9"/>
  <c r="K47" i="9" s="1"/>
  <c r="U10" i="9" a="1"/>
  <c r="U10" i="9" s="1"/>
  <c r="V10" i="9" s="1"/>
  <c r="X10" i="9" s="1"/>
  <c r="G44" i="9"/>
  <c r="S6" i="9" a="1"/>
  <c r="S6" i="9" s="1"/>
  <c r="S14" i="9" a="1"/>
  <c r="S14" i="9" s="1"/>
  <c r="T9" i="9" a="1"/>
  <c r="T9" i="9" s="1"/>
  <c r="V9" i="9" s="1"/>
  <c r="X9" i="9" s="1"/>
  <c r="U8" i="9" a="1"/>
  <c r="U8" i="9" s="1"/>
  <c r="V8" i="9" s="1"/>
  <c r="X8" i="9" s="1"/>
  <c r="U14" i="9" a="1"/>
  <c r="U14" i="9" s="1"/>
  <c r="V14" i="9" s="1"/>
  <c r="X14" i="9" s="1"/>
  <c r="I49" i="9"/>
  <c r="K49" i="9" s="1"/>
  <c r="I45" i="9"/>
  <c r="K45" i="9" s="1"/>
  <c r="I46" i="9"/>
  <c r="K46" i="9" s="1"/>
  <c r="U6" i="9" a="1"/>
  <c r="U6" i="9" s="1"/>
  <c r="V6" i="9" s="1"/>
  <c r="X6" i="9" s="1"/>
  <c r="U11" i="9" a="1"/>
  <c r="U11" i="9" s="1"/>
  <c r="V11" i="9" s="1"/>
  <c r="X11" i="9" s="1"/>
  <c r="I48" i="9"/>
  <c r="K48" i="9" s="1"/>
  <c r="F306" i="17" l="1"/>
  <c r="C9" i="8"/>
  <c r="C19" i="10"/>
  <c r="F35" i="18"/>
  <c r="C14" i="8"/>
  <c r="C4" i="10" s="1"/>
  <c r="C15" i="10" s="1"/>
  <c r="C17" i="10" s="1"/>
  <c r="T5" i="9" a="1"/>
  <c r="T5" i="9" s="1"/>
  <c r="V5" i="9" s="1"/>
  <c r="I44" i="9"/>
  <c r="C18" i="9" l="1"/>
  <c r="C3" i="10" s="1"/>
  <c r="K44" i="9"/>
  <c r="X5" i="9"/>
  <c r="E20" i="19" s="1" a="1"/>
  <c r="E20" i="19"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<sst xmlns="http://schemas.openxmlformats.org/spreadsheetml/2006/main" count="1449" uniqueCount="315">
  <si>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</si>
  <si>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</si>
  <si>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</si>
  <si>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</si>
  <si>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</si>
  <si>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</si>
  <si>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</si>
  <si>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</si>
  <si>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</si>
  <si>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</si>
  <si>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</si>
  <si>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</si>
  <si>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</si>
  <si>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</si>
  <si>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</si>
  <si>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</si>
  <si>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</si>
  <si>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</si>
  <si>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</si>
  <si>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</si>
  <si>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</si>
  <si>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</si>
  <si>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</si>
  <si>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</si>
  <si>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</si>
  <si>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</si>
  <si>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</si>
  <si>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</si>
  <si>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</si>
  <si>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</si>
  <si>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</si>
  <si>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</si>
  <si>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</si>
  <si>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</si>
  <si>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</si>
  <si>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</si>
  <si>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</si>
  <si>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</si>
  <si>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</si>
  <si>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</si>
  <si>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</si>
  <si>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</si>
  <si>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</si>
  <si>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</si>
  <si>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</si>
  <si>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</si>
  <si>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</si>
  <si>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</si>
  <si>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</si>
  <si>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</si>
  <si>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</si>
  <si>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</si>
  <si>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</si>
  <si>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</si>
  <si>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</si>
  <si>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</si>
  <si>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</si>
  <si>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</si>
  <si>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</si>
  <si>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</si>
  <si>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</si>
  <si>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</si>
  <si>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</si>
  <si>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</si>
  <si>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</si>
  <si>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</si>
  <si>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</si>
  <si>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</si>
  <si>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</si>
  <si>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</si>
  <si>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</si>
  <si>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</si>
  <si>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</si>
  <si>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</si>
  <si>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</si>
  <si>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</si>
  <si>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</si>
  <si>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</si>
  <si>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</si>
  <si>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</si>
  <si>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</si>
  <si>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</si>
  <si>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</si>
  <si>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</si>
  <si>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</si>
  <si>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</si>
  <si>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</si>
  <si>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</si>
  <si>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</si>
  <si>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</si>
  <si>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</si>
  <si>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</si>
  <si>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</si>
  <si>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</si>
  <si>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</si>
  <si>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</si>
  <si>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</si>
  <si>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</si>
  <si>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</si>
  <si>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</si>
  <si>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</si>
  <si>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</si>
  <si>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</si>
  <si>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</si>
  <si>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</si>
  <si>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</si>
  <si>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</si>
  <si>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</si>
  <si>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</si>
  <si>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</si>
  <si>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</si>
  <si>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</si>
  <si>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</si>
  <si>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</si>
  <si>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</si>
  <si>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</si>
  <si>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</si>
  <si>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</si>
  <si>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</si>
  <si>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</si>
  <si>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</si>
  <si>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</si>
  <si>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</si>
  <si>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</si>
  <si>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</si>
  <si>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</si>
  <si>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</si>
  <si>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</si>
  <si>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</si>
  <si>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</si>
  <si>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</si>
  <si>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</si>
  <si>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</si>
  <si>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</si>
  <si>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</si>
  <si>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</si>
  <si>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</si>
  <si>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</si>
  <si>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</si>
  <si>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</si>
  <si>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</si>
  <si>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</si>
  <si>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</si>
  <si>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</si>
  <si>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</si>
  <si>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</si>
  <si>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</si>
  <si>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</si>
  <si>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</si>
  <si>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</si>
  <si>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</si>
  <si>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</si>
  <si>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</si>
  <si>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</si>
  <si>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</si>
  <si>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</si>
  <si>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</si>
  <si>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</si>
  <si>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</si>
  <si>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</si>
  <si>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</si>
  <si>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</si>
  <si>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</si>
  <si>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</si>
  <si>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</si>
  <si>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</si>
  <si>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</si>
  <si>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</si>
  <si>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</si>
  <si>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</si>
  <si>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</si>
  <si>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</si>
  <si>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</si>
  <si>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</si>
  <si>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</si>
  <si>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</si>
  <si>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</si>
  <si>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</si>
  <si>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</si>
  <si>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</si>
  <si>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</si>
  <si>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</si>
  <si>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</si>
  <si>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</si>
  <si>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</si>
  <si>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</si>
  <si>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</si>
  <si>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</si>
  <si>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</si>
  <si>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</si>
  <si>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</si>
  <si>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</si>
  <si>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</si>
  <si>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</si>
  <si>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</si>
  <si>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</si>
  <si>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</si>
  <si>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</si>
  <si>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</si>
  <si>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</si>
  <si>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</si>
  <si>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</si>
  <si>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</si>
  <si>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</si>
  <si>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</si>
  <si>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</si>
  <si>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</si>
  <si>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</si>
  <si>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</si>
  <si>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</si>
  <si>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</si>
  <si>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</si>
  <si>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</si>
  <si>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</si>
  <si>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</si>
  <si>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</si>
  <si>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</si>
  <si>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</si>
  <si>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</si>
  <si>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</si>
  <si>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</si>
  <si>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</si>
  <si>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</si>
  <si>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</si>
  <si>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</si>
  <si>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</si>
  <si>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</si>
  <si>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</si>
  <si>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</si>
  <si>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</si>
  <si>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</si>
  <si>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</si>
  <si>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</si>
  <si>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</si>
  <si>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</si>
  <si>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</si>
  <si>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</si>
  <si>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</si>
  <si>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</si>
  <si>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</si>
  <si>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</si>
  <si>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</si>
  <si>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</si>
  <si>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</si>
  <si>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</si>
  <si>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</si>
  <si>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</si>
  <si>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</si>
  <si>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</si>
  <si>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</si>
  <si>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</si>
  <si>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</si>
  <si>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</si>
  <si>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</si>
  <si>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</si>
  <si>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</si>
  <si>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</si>
  <si>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</si>
  <si>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</si>
  <si>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</si>
  <si>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</si>
  <si>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</si>
  <si>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</si>
  <si>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</si>
  <si>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</si>
  <si>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</si>
  <si>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</si>
  <si>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</si>
  <si>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</si>
  <si>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</si>
  <si>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</si>
  <si>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</si>
  <si>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</si>
  <si>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</si>
  <si>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</si>
  <si>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</si>
  <si>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</si>
  <si>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</si>
  <si>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</si>
  <si>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</si>
  <si>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</si>
  <si>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</si>
  <si>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</si>
  <si>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</si>
  <si>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</si>
  <si>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</si>
  <si>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</si>
  <si>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</si>
  <si>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</si>
  <si>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</si>
  <si>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</si>
  <si>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</si>
  <si>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</si>
  <si>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</si>
  <si>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</si>
  <si>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</si>
  <si>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</si>
  <si>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</si>
  <si>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</si>
  <si>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</si>
  <si>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</si>
  <si>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</si>
  <si>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</si>
  <si>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</si>
  <si>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</si>
  <si>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</si>
  <si>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</si>
  <si>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</si>
  <si>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</si>
  <si>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</si>
  <si>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</si>
  <si>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</si>
  <si>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shehzad kamoki</t>
  </si>
  <si>
    <t>gazana</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</si>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</sst>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6">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cellXfs>
  <cellStyles count="2">
    <cellStyle name="Comma" xfId="1" builtinId="3"/>
    <cellStyle name="Normal" xfId="0" builtinId="0"/>
  </cellStyles>
  <dxfs count="125">
    <dxf>
      <numFmt numFmtId="35" formatCode="_-* #,##0.00_-;\-* #,##0.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855195</xdr:colOff>
      <xdr:row>76</xdr:row>
      <xdr:rowOff>117181</xdr:rowOff>
    </xdr:from>
    <xdr:to>
      <xdr:col>6</xdr:col>
      <xdr:colOff>679771</xdr:colOff>
      <xdr:row>84</xdr:row>
      <xdr:rowOff>21928</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3097339" y="13866073"/>
              <a:ext cx="4528144" cy="13519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89514</xdr:colOff>
      <xdr:row>76</xdr:row>
      <xdr:rowOff>121733</xdr:rowOff>
    </xdr:from>
    <xdr:to>
      <xdr:col>2</xdr:col>
      <xdr:colOff>859508</xdr:colOff>
      <xdr:row>84</xdr:row>
      <xdr:rowOff>178968</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224291" y="13870625"/>
              <a:ext cx="1877361" cy="1504487"/>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59339</xdr:rowOff>
    </xdr:from>
    <xdr:to>
      <xdr:col>13</xdr:col>
      <xdr:colOff>230452</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7523147" createdVersion="8" refreshedVersion="8" minRefreshableVersion="3" recordCount="299" xr:uid="{B5BDFB73-D93A-4A7A-8149-666BC190B09B}">
  <cacheSource type="worksheet">
    <worksheetSource name="Table14"/>
  </cacheSource>
  <cacheFields count="7">
    <cacheField name="Date" numFmtId="14">
      <sharedItems containsNonDate="0" containsDate="1" containsString="0" containsBlank="1" minDate="2025-08-17T00:00:00" maxDate="2025-09-06T00:00:00"/>
    </cacheField>
    <cacheField name="Party" numFmtId="0">
      <sharedItems containsBlank="1" count="36">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m/>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7986109"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1">
        <s v="BSC"/>
        <s v="Ejaz Sahab"/>
        <s v="Arshad"/>
        <s v="Shehzad Kamoki"/>
        <s v="Sufi Nawaz Sahab"/>
        <s v="Sajad Khan"/>
        <s v="Raaz Fabrics"/>
        <s v="Hafiz Qureshi"/>
        <s v="Ubaidullah"/>
        <s v="Ashraf Zia"/>
        <n v="0"/>
      </sharedItems>
    </cacheField>
    <cacheField name="Tiyaar" numFmtId="1">
      <sharedItems containsSemiMixedTypes="0" containsString="0" containsNumber="1" minValue="0" maxValue="396608.4491587418"/>
    </cacheField>
    <cacheField name="Rate" numFmtId="0">
      <sharedItems containsString="0" containsBlank="1" containsNumber="1" minValue="10" maxValue="10.5"/>
    </cacheField>
    <cacheField name="Total" numFmtId="164">
      <sharedItems containsSemiMixedTypes="0" containsString="0" containsNumber="1" minValue="0" maxValue="3896708.119970739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8217593"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8333332" createdVersion="8" refreshedVersion="8" minRefreshableVersion="3" recordCount="37" xr:uid="{3E5C2981-ACF5-44A9-8567-B1D65DB3A8D2}">
  <cacheSource type="worksheet">
    <worksheetSource name="Table3"/>
  </cacheSource>
  <cacheFields count="9">
    <cacheField name="Date" numFmtId="14">
      <sharedItems containsSemiMixedTypes="0" containsNonDate="0" containsDate="1" containsString="0" minDate="2025-05-02T00:00:00" maxDate="2025-09-06T00:00:00" count="42">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52" maxValue="9373" count="38">
        <s v="Closing Balance CF"/>
        <n v="6691"/>
        <n v="1055"/>
        <n v="8395"/>
        <n v="3229"/>
        <m/>
        <n v="4649"/>
        <n v="52"/>
        <n v="739"/>
        <n v="1288"/>
        <n v="5045"/>
        <s v="-"/>
        <n v="561"/>
        <n v="447"/>
        <n v="5946"/>
        <n v="1910"/>
        <n v="7286"/>
        <n v="1961"/>
        <n v="8141"/>
        <n v="3220"/>
        <n v="5679"/>
        <n v="9373"/>
        <n v="160"/>
        <n v="1973"/>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9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8564817" createdVersion="8" refreshedVersion="8" minRefreshableVersion="3" recordCount="73" xr:uid="{46CBB50D-3613-4E5B-8212-DD0313DCD05A}">
  <cacheSource type="worksheet">
    <worksheetSource name="Table1"/>
  </cacheSource>
  <cacheFields count="14">
    <cacheField name="Date" numFmtId="14">
      <sharedItems containsSemiMixedTypes="0" containsNonDate="0" containsDate="1" containsString="0" minDate="2025-07-25T00:00:00" maxDate="2025-09-06T00:00:00" count="33">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7">
        <s v="BSC"/>
        <s v="Ejaz Sahab"/>
        <s v="Arshad"/>
        <s v="Shehzad Kamoki"/>
        <s v="Sufi Nawaz Sahab"/>
        <s v="Sajad Khan"/>
        <s v="Raaz Fabrics"/>
        <s v="Hafiz Qureshi"/>
        <s v="Ubaidullah"/>
        <s v="Ashraf Zia"/>
        <m u="1"/>
        <s v="YING" u="1"/>
        <s v="Meow" u="1"/>
        <s v="Umer Sb" u="1"/>
        <s v="-" u="1"/>
        <s v="Sajjad" u="1"/>
        <s v="Haji Ejaz" u="1"/>
      </sharedItems>
    </cacheField>
    <cacheField name="Bill Number" numFmtId="0">
      <sharedItems containsMixedTypes="1" containsNumber="1" containsInteger="1" minValue="604" maxValue="784" count="175">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84">
        <m/>
        <n v="1605"/>
        <n v="1624"/>
        <n v="1646"/>
        <n v="1640"/>
        <n v="1649"/>
        <n v="1607"/>
        <n v="1647"/>
        <n v="1643"/>
        <s v="RD"/>
        <n v="1644"/>
        <n v="1651"/>
        <n v="1641"/>
        <n v="1652"/>
        <n v="1655"/>
        <n v="1650"/>
        <n v="1653"/>
        <s v="1607-sd"/>
        <n v="1628"/>
        <n v="1662"/>
        <n v="1663"/>
        <n v="1598"/>
        <n v="1661"/>
        <n v="1658"/>
        <n v="1656"/>
        <n v="1654"/>
        <n v="1659"/>
        <n v="1669"/>
        <n v="1666"/>
        <n v="1657"/>
        <n v="167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6.138709259256"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10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m/>
    <x v="30"/>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96608.4491587418"/>
    <n v="10"/>
    <n v="3896708.1199707394"/>
  </r>
  <r>
    <x v="1"/>
    <n v="0"/>
    <n v="10"/>
    <n v="0"/>
  </r>
  <r>
    <x v="2"/>
    <n v="55363.935625457212"/>
    <n v="10"/>
    <n v="553639.35625457217"/>
  </r>
  <r>
    <x v="3"/>
    <n v="0"/>
    <n v="10.5"/>
    <n v="0"/>
  </r>
  <r>
    <x v="4"/>
    <n v="184279.44403803951"/>
    <n v="10"/>
    <n v="1852815.4718361376"/>
  </r>
  <r>
    <x v="5"/>
    <n v="94636.06437454281"/>
    <n v="10"/>
    <n v="946360.64374542807"/>
  </r>
  <r>
    <x v="6"/>
    <n v="23730.797366495979"/>
    <n v="10"/>
    <n v="237307.97366495978"/>
  </r>
  <r>
    <x v="7"/>
    <n v="0"/>
    <n v="10"/>
    <n v="0"/>
  </r>
  <r>
    <x v="8"/>
    <n v="29529.078273591811"/>
    <n v="10"/>
    <n v="295290.78273591812"/>
  </r>
  <r>
    <x v="9"/>
    <n v="21310.35113386979"/>
    <m/>
    <n v="213103.51133869789"/>
  </r>
  <r>
    <x v="10"/>
    <n v="0"/>
    <m/>
    <n v="0"/>
  </r>
  <r>
    <x v="10"/>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25.783529992498686"/>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25.783529992498686"/>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25.783529992498686"/>
    <n v="10700.438917337236"/>
    <n v="107004.38917337236"/>
    <m/>
  </r>
  <r>
    <x v="10"/>
    <x v="0"/>
    <x v="33"/>
    <s v="Chamki"/>
    <x v="14"/>
    <n v="167135"/>
    <n v="26158"/>
    <n v="25.783529992498686"/>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25.783529992498686"/>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25.783529992498686"/>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50.258226725742091"/>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25.783529992498686"/>
    <n v="7223.8478419897592"/>
    <n v="72238.478419897598"/>
    <m/>
  </r>
  <r>
    <x v="15"/>
    <x v="0"/>
    <x v="59"/>
    <s v="Chamki"/>
    <x v="14"/>
    <n v="167135"/>
    <n v="17788"/>
    <n v="25.783529992498686"/>
    <n v="16265.544989027068"/>
    <n v="162655.44989027068"/>
    <m/>
  </r>
  <r>
    <x v="15"/>
    <x v="0"/>
    <x v="60"/>
    <s v="Chamki"/>
    <x v="29"/>
    <n v="55567"/>
    <n v="19577"/>
    <n v="67.784068815401199"/>
    <n v="17901.426481346014"/>
    <n v="179014.26481346015"/>
    <m/>
  </r>
  <r>
    <x v="15"/>
    <x v="2"/>
    <x v="61"/>
    <s v="Chamki"/>
    <x v="30"/>
    <n v="30009"/>
    <n v="12687"/>
    <n v="61.341151421947224"/>
    <n v="11601.133869787858"/>
    <n v="116011.33869787859"/>
    <m/>
  </r>
  <r>
    <x v="16"/>
    <x v="0"/>
    <x v="62"/>
    <s v="Chamki"/>
    <x v="14"/>
    <n v="167135"/>
    <n v="14207"/>
    <n v="25.783529992498686"/>
    <m/>
    <n v="0"/>
    <m/>
  </r>
  <r>
    <x v="16"/>
    <x v="2"/>
    <x v="63"/>
    <s v="Chamki"/>
    <x v="30"/>
    <n v="30009"/>
    <n v="19240"/>
    <n v="61.341151421947224"/>
    <m/>
    <n v="0"/>
    <m/>
  </r>
  <r>
    <x v="16"/>
    <x v="0"/>
    <x v="64"/>
    <s v="Chamki"/>
    <x v="29"/>
    <n v="55576"/>
    <n v="13299"/>
    <n v="67.784068815401199"/>
    <m/>
    <n v="0"/>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5" firstHeaderRow="0" firstDataRow="1" firstDataCol="1"/>
  <pivotFields count="4">
    <pivotField axis="axisRow" showAll="0" includeNewItemsInFilter="1">
      <items count="12">
        <item x="2"/>
        <item x="0"/>
        <item x="1"/>
        <item x="3"/>
        <item x="10"/>
        <item x="4"/>
        <item x="5"/>
        <item x="6"/>
        <item x="7"/>
        <item x="8"/>
        <item x="9"/>
        <item t="default"/>
      </items>
    </pivotField>
    <pivotField dataField="1" showAll="0"/>
    <pivotField showAll="0"/>
    <pivotField dataField="1"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9:K107" firstHeaderRow="0" firstDataRow="1" firstDataCol="1"/>
  <pivotFields count="14">
    <pivotField axis="axisRow" numFmtId="14" showAll="0">
      <items count="34">
        <item m="1" x="17"/>
        <item m="1" x="18"/>
        <item m="1" x="19"/>
        <item m="1" x="20"/>
        <item m="1" x="21"/>
        <item m="1" x="22"/>
        <item m="1" x="32"/>
        <item m="1" x="23"/>
        <item m="1" x="24"/>
        <item m="1" x="25"/>
        <item m="1" x="26"/>
        <item m="1" x="27"/>
        <item m="1" x="28"/>
        <item m="1" x="29"/>
        <item m="1" x="30"/>
        <item m="1" x="31"/>
        <item x="2"/>
        <item x="0"/>
        <item x="1"/>
        <item x="3"/>
        <item x="4"/>
        <item x="5"/>
        <item x="6"/>
        <item x="7"/>
        <item x="8"/>
        <item x="9"/>
        <item x="10"/>
        <item x="11"/>
        <item x="12"/>
        <item x="13"/>
        <item x="14"/>
        <item x="15"/>
        <item x="16"/>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8">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89:G155" firstHeaderRow="0" firstDataRow="1" firstDataCol="1" rowPageCount="3" colPageCount="1"/>
  <pivotFields count="14">
    <pivotField axis="axisPage" showAll="0">
      <items count="34">
        <item m="1" x="17"/>
        <item m="1" x="18"/>
        <item m="1" x="19"/>
        <item m="1" x="20"/>
        <item m="1" x="21"/>
        <item m="1" x="22"/>
        <item m="1" x="32"/>
        <item m="1" x="23"/>
        <item m="1" x="24"/>
        <item m="1" x="25"/>
        <item m="1" x="26"/>
        <item m="1" x="27"/>
        <item m="1" x="28"/>
        <item m="1" x="29"/>
        <item m="1" x="30"/>
        <item m="1" x="31"/>
        <item x="2"/>
        <item x="0"/>
        <item x="1"/>
        <item x="3"/>
        <item x="4"/>
        <item x="5"/>
        <item x="6"/>
        <item x="7"/>
        <item x="8"/>
        <item x="9"/>
        <item x="10"/>
        <item x="11"/>
        <item x="12"/>
        <item x="13"/>
        <item x="14"/>
        <item x="15"/>
        <item x="16"/>
        <item t="default"/>
      </items>
    </pivotField>
    <pivotField axis="axisPage" multipleItemSelectionAllowed="1" showAll="0">
      <items count="18">
        <item x="2"/>
        <item x="0"/>
        <item m="1" x="16"/>
        <item x="6"/>
        <item m="1" x="15"/>
        <item m="1" x="14"/>
        <item m="1" x="13"/>
        <item x="1"/>
        <item x="3"/>
        <item m="1" x="12"/>
        <item x="4"/>
        <item m="1" x="11"/>
        <item m="1" x="10"/>
        <item x="5"/>
        <item x="7"/>
        <item x="8"/>
        <item x="9"/>
        <item t="default"/>
      </items>
    </pivotField>
    <pivotField axis="axisRow" numFmtId="164" showAll="0">
      <items count="17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65"/>
        <item m="1" x="66"/>
        <item m="1" x="67"/>
        <item m="1" x="68"/>
        <item m="1" x="69"/>
        <item m="1" x="70"/>
        <item m="1" x="71"/>
        <item m="1" x="72"/>
        <item m="1" x="73"/>
        <item m="1" x="74"/>
        <item m="1" x="75"/>
        <item m="1" x="76"/>
        <item m="1" x="77"/>
        <item m="1" x="78"/>
        <item m="1" x="79"/>
        <item m="1" x="80"/>
        <item m="1" x="81"/>
        <item m="1" x="82"/>
        <item m="1" x="111"/>
        <item m="1" x="83"/>
        <item m="1" x="84"/>
        <item m="1" x="85"/>
        <item m="1" x="86"/>
        <item m="1" x="87"/>
        <item m="1" x="88"/>
        <item m="1" x="100"/>
        <item m="1" x="89"/>
        <item m="1" x="90"/>
        <item m="1" x="91"/>
        <item m="1" x="92"/>
        <item m="1" x="93"/>
        <item m="1" x="94"/>
        <item m="1" x="95"/>
        <item m="1" x="96"/>
        <item m="1" x="97"/>
        <item m="1" x="98"/>
        <item m="1" x="99"/>
        <item m="1" x="101"/>
        <item m="1" x="102"/>
        <item m="1" x="103"/>
        <item m="1" x="104"/>
        <item m="1" x="105"/>
        <item m="1" x="106"/>
        <item m="1" x="107"/>
        <item m="1" x="108"/>
        <item m="1" x="109"/>
        <item m="1" x="110"/>
        <item m="1" x="112"/>
        <item m="1" x="113"/>
        <item m="1" x="114"/>
        <item m="1" x="115"/>
        <item m="1" x="116"/>
        <item m="1" x="117"/>
        <item m="1" x="118"/>
        <item m="1" x="119"/>
        <item m="1" x="120"/>
        <item m="1" x="121"/>
        <item m="1" x="122"/>
        <item m="1" x="123"/>
        <item m="1" x="124"/>
        <item m="1" x="125"/>
        <item m="1" x="126"/>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showAll="0"/>
    <pivotField axis="axisPage" multipleItemSelectionAllowed="1" showAll="0">
      <items count="85">
        <item m="1" x="37"/>
        <item m="1" x="67"/>
        <item m="1" x="68"/>
        <item m="1" x="76"/>
        <item m="1" x="66"/>
        <item m="1" x="65"/>
        <item m="1" x="69"/>
        <item m="1" x="80"/>
        <item m="1" x="72"/>
        <item m="1" x="73"/>
        <item m="1" x="70"/>
        <item m="1" x="71"/>
        <item m="1" x="81"/>
        <item m="1" x="74"/>
        <item m="1" x="75"/>
        <item m="1" x="78"/>
        <item m="1" x="79"/>
        <item m="1" x="77"/>
        <item m="1" x="32"/>
        <item m="1" x="83"/>
        <item m="1" x="31"/>
        <item m="1" x="82"/>
        <item m="1" x="34"/>
        <item m="1" x="33"/>
        <item m="1" x="35"/>
        <item m="1" x="41"/>
        <item m="1" x="36"/>
        <item m="1" x="38"/>
        <item m="1" x="42"/>
        <item m="1" x="43"/>
        <item m="1" x="62"/>
        <item m="1" x="39"/>
        <item m="1" x="40"/>
        <item x="28"/>
        <item m="1" x="64"/>
        <item m="1" x="63"/>
        <item m="1" x="44"/>
        <item m="1" x="45"/>
        <item m="1" x="46"/>
        <item m="1" x="47"/>
        <item m="1" x="48"/>
        <item x="2"/>
        <item m="1" x="49"/>
        <item m="1" x="50"/>
        <item m="1" x="51"/>
        <item m="1" x="52"/>
        <item m="1" x="53"/>
        <item m="1" x="54"/>
        <item m="1" x="55"/>
        <item m="1" x="56"/>
        <item m="1" x="57"/>
        <item m="1" x="58"/>
        <item m="1" x="59"/>
        <item m="1" x="60"/>
        <item m="1" x="61"/>
        <item x="0"/>
        <item x="1"/>
        <item x="3"/>
        <item x="4"/>
        <item x="5"/>
        <item x="6"/>
        <item x="7"/>
        <item x="8"/>
        <item x="9"/>
        <item x="10"/>
        <item x="11"/>
        <item x="12"/>
        <item x="13"/>
        <item x="14"/>
        <item x="15"/>
        <item x="16"/>
        <item x="18"/>
        <item x="17"/>
        <item x="19"/>
        <item x="20"/>
        <item x="21"/>
        <item x="22"/>
        <item x="23"/>
        <item x="24"/>
        <item x="25"/>
        <item x="26"/>
        <item x="27"/>
        <item x="29"/>
        <item x="3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66">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6:I59" firstHeaderRow="0" firstDataRow="1" firstDataCol="1" rowPageCount="1" colPageCount="1"/>
  <pivotFields count="9">
    <pivotField axis="axisRow" numFmtId="14" showAll="0">
      <items count="43">
        <item m="1" x="26"/>
        <item m="1" x="27"/>
        <item m="1" x="28"/>
        <item m="1" x="29"/>
        <item m="1" x="30"/>
        <item m="1" x="31"/>
        <item m="1" x="32"/>
        <item m="1" x="41"/>
        <item m="1" x="22"/>
        <item m="1" x="33"/>
        <item m="1" x="34"/>
        <item m="1" x="35"/>
        <item m="1" x="36"/>
        <item m="1" x="37"/>
        <item m="1" x="38"/>
        <item m="1" x="39"/>
        <item x="1"/>
        <item x="2"/>
        <item m="1" x="40"/>
        <item x="3"/>
        <item x="0"/>
        <item x="4"/>
        <item x="6"/>
        <item x="7"/>
        <item x="8"/>
        <item x="10"/>
        <item x="11"/>
        <item x="12"/>
        <item x="5"/>
        <item x="9"/>
        <item x="13"/>
        <item x="14"/>
        <item x="15"/>
        <item x="16"/>
        <item x="17"/>
        <item x="18"/>
        <item m="1" x="23"/>
        <item m="1" x="24"/>
        <item m="1" x="25"/>
        <item x="19"/>
        <item x="20"/>
        <item x="21"/>
        <item t="default"/>
      </items>
    </pivotField>
    <pivotField axis="axisPage" showAll="0">
      <items count="6">
        <item x="1"/>
        <item x="0"/>
        <item m="1" x="3"/>
        <item m="1" x="4"/>
        <item x="2"/>
        <item t="default"/>
      </items>
    </pivotField>
    <pivotField axis="axisRow" showAll="0">
      <items count="39">
        <item m="1" x="28"/>
        <item x="15"/>
        <item m="1" x="24"/>
        <item x="4"/>
        <item m="1" x="29"/>
        <item m="1" x="30"/>
        <item m="1" x="25"/>
        <item m="1" x="26"/>
        <item m="1" x="27"/>
        <item x="5"/>
        <item x="7"/>
        <item m="1" x="31"/>
        <item m="1" x="32"/>
        <item m="1" x="33"/>
        <item m="1" x="34"/>
        <item m="1" x="35"/>
        <item m="1" x="36"/>
        <item x="1"/>
        <item x="2"/>
        <item m="1" x="37"/>
        <item x="3"/>
        <item x="0"/>
        <item x="6"/>
        <item x="8"/>
        <item x="9"/>
        <item x="10"/>
        <item x="11"/>
        <item x="12"/>
        <item x="13"/>
        <item x="14"/>
        <item x="16"/>
        <item x="17"/>
        <item x="18"/>
        <item x="19"/>
        <item x="20"/>
        <item x="21"/>
        <item x="22"/>
        <item x="2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3">
    <i>
      <x v="17"/>
    </i>
    <i r="1">
      <x v="18"/>
    </i>
    <i>
      <x v="20"/>
    </i>
    <i r="1">
      <x v="21"/>
    </i>
    <i>
      <x v="26"/>
    </i>
    <i r="1">
      <x v="26"/>
    </i>
    <i>
      <x v="30"/>
    </i>
    <i r="1">
      <x v="29"/>
    </i>
    <i>
      <x v="32"/>
    </i>
    <i r="1">
      <x v="9"/>
    </i>
    <i>
      <x v="39"/>
    </i>
    <i r="1">
      <x v="9"/>
    </i>
    <i t="grand">
      <x/>
    </i>
  </rowItems>
  <colFields count="1">
    <field x="-2"/>
  </colFields>
  <colItems count="4">
    <i>
      <x/>
    </i>
    <i i="1">
      <x v="1"/>
    </i>
    <i i="2">
      <x v="2"/>
    </i>
    <i i="3">
      <x v="3"/>
    </i>
  </colItems>
  <pageFields count="1">
    <pageField fld="1" item="0"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6">
      <pivotArea dataOnly="0" labelOnly="1" outline="0" fieldPosition="0">
        <references count="1">
          <reference field="1" count="1">
            <x v="1"/>
          </reference>
        </references>
      </pivotArea>
    </format>
    <format dxfId="8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5" firstHeaderRow="0" firstDataRow="1" firstDataCol="1"/>
  <pivotFields count="7">
    <pivotField numFmtId="14" showAll="0"/>
    <pivotField axis="axisRow" showAll="0">
      <items count="37">
        <item x="14"/>
        <item x="16"/>
        <item x="1"/>
        <item x="17"/>
        <item x="10"/>
        <item x="21"/>
        <item x="2"/>
        <item x="6"/>
        <item x="4"/>
        <item x="9"/>
        <item m="1" x="32"/>
        <item m="1" x="33"/>
        <item x="28"/>
        <item x="5"/>
        <item x="15"/>
        <item x="26"/>
        <item x="11"/>
        <item x="22"/>
        <item x="3"/>
        <item x="8"/>
        <item x="30"/>
        <item x="7"/>
        <item m="1" x="34"/>
        <item x="20"/>
        <item m="1" x="35"/>
        <item m="1" x="31"/>
        <item x="0"/>
        <item x="12"/>
        <item x="13"/>
        <item x="18"/>
        <item x="19"/>
        <item x="23"/>
        <item x="24"/>
        <item x="25"/>
        <item x="27"/>
        <item x="29"/>
        <item t="default"/>
      </items>
    </pivotField>
    <pivotField dataField="1" showAll="0"/>
    <pivotField dataField="1" showAll="0"/>
    <pivotField showAll="0"/>
    <pivotField showAll="0"/>
    <pivotField showAll="0"/>
  </pivotFields>
  <rowFields count="1">
    <field x="1"/>
  </rowFields>
  <rowItems count="32">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x v="35"/>
    </i>
    <i t="grand">
      <x/>
    </i>
  </rowItems>
  <colFields count="1">
    <field x="-2"/>
  </colFields>
  <colItems count="2">
    <i>
      <x/>
    </i>
    <i i="1">
      <x v="1"/>
    </i>
  </colItems>
  <dataFields count="2">
    <dataField name="Sum of Credit" fld="3" baseField="0" baseItem="0"/>
    <dataField name="Sum of Debit" fld="2" baseField="0" baseItem="0"/>
  </dataFields>
  <formats count="1">
    <format dxfId="6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5" firstHeaderRow="0" firstDataRow="1" firstDataCol="1" rowPageCount="1" colPageCount="1"/>
  <pivotFields count="14">
    <pivotField showAll="0"/>
    <pivotField axis="axisPage" showAll="0">
      <items count="18">
        <item m="1" x="14"/>
        <item x="2"/>
        <item x="0"/>
        <item x="1"/>
        <item m="1" x="16"/>
        <item m="1" x="12"/>
        <item x="6"/>
        <item m="1" x="15"/>
        <item x="3"/>
        <item x="4"/>
        <item m="1" x="13"/>
        <item m="1" x="11"/>
        <item m="1" x="10"/>
        <item x="5"/>
        <item x="7"/>
        <item x="8"/>
        <item x="9"/>
        <item t="default"/>
      </items>
    </pivotField>
    <pivotField showAll="0"/>
    <pivotField showAll="0"/>
    <pivotField axis="axisRow" showAll="0">
      <items count="85">
        <item m="1" x="67"/>
        <item m="1" x="68"/>
        <item m="1" x="66"/>
        <item m="1" x="65"/>
        <item m="1" x="69"/>
        <item m="1" x="71"/>
        <item m="1" x="70"/>
        <item m="1" x="72"/>
        <item m="1" x="73"/>
        <item m="1" x="74"/>
        <item m="1" x="75"/>
        <item m="1" x="76"/>
        <item m="1" x="77"/>
        <item m="1" x="78"/>
        <item x="28"/>
        <item m="1" x="64"/>
        <item m="1" x="79"/>
        <item m="1" x="80"/>
        <item m="1" x="81"/>
        <item m="1" x="32"/>
        <item m="1" x="31"/>
        <item m="1" x="82"/>
        <item m="1" x="83"/>
        <item m="1" x="41"/>
        <item m="1" x="33"/>
        <item m="1" x="34"/>
        <item m="1" x="35"/>
        <item m="1" x="36"/>
        <item m="1" x="37"/>
        <item m="1" x="38"/>
        <item m="1" x="39"/>
        <item m="1" x="40"/>
        <item m="1" x="42"/>
        <item m="1" x="62"/>
        <item m="1" x="43"/>
        <item m="1" x="63"/>
        <item m="1" x="44"/>
        <item m="1" x="45"/>
        <item m="1" x="46"/>
        <item m="1" x="47"/>
        <item m="1" x="48"/>
        <item x="2"/>
        <item m="1" x="49"/>
        <item m="1" x="50"/>
        <item m="1" x="51"/>
        <item m="1" x="52"/>
        <item m="1" x="53"/>
        <item m="1" x="54"/>
        <item m="1" x="55"/>
        <item m="1" x="56"/>
        <item m="1" x="57"/>
        <item m="1" x="58"/>
        <item m="1" x="59"/>
        <item m="1" x="60"/>
        <item m="1" x="61"/>
        <item x="0"/>
        <item x="1"/>
        <item x="3"/>
        <item x="4"/>
        <item x="5"/>
        <item x="6"/>
        <item x="7"/>
        <item x="8"/>
        <item x="9"/>
        <item x="10"/>
        <item x="11"/>
        <item x="12"/>
        <item x="13"/>
        <item x="14"/>
        <item x="15"/>
        <item x="16"/>
        <item x="18"/>
        <item x="17"/>
        <item x="19"/>
        <item x="20"/>
        <item x="21"/>
        <item x="22"/>
        <item x="23"/>
        <item x="24"/>
        <item x="25"/>
        <item x="26"/>
        <item x="27"/>
        <item x="29"/>
        <item x="3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2">
    <i>
      <x v="14"/>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1">
      <pivotArea type="all" dataOnly="0" outline="0" fieldPosition="0"/>
    </format>
    <format dxfId="20">
      <pivotArea outline="0" collapsedLevelsAreSubtotals="1" fieldPosition="0"/>
    </format>
    <format dxfId="19">
      <pivotArea field="4" type="button" dataOnly="0" labelOnly="1" outline="0" axis="axisRow" fieldPosition="0"/>
    </format>
    <format dxfId="18">
      <pivotArea dataOnly="0" labelOnly="1" fieldPosition="0">
        <references count="1">
          <reference field="4" count="0"/>
        </references>
      </pivotArea>
    </format>
    <format dxfId="17">
      <pivotArea dataOnly="0" labelOnly="1" grandRow="1" outline="0" fieldPosition="0"/>
    </format>
    <format dxfId="16">
      <pivotArea dataOnly="0" labelOnly="1" outline="0" fieldPosition="0">
        <references count="1">
          <reference field="4294967294" count="2">
            <x v="0"/>
            <x v="1"/>
          </reference>
        </references>
      </pivotArea>
    </format>
    <format dxfId="15">
      <pivotArea grandRow="1" outline="0" collapsedLevelsAreSubtotals="1" fieldPosition="0"/>
    </format>
    <format dxfId="14">
      <pivotArea field="4" type="button" dataOnly="0" labelOnly="1" outline="0" axis="axisRow" fieldPosition="0"/>
    </format>
    <format dxfId="1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84">
        <i x="21" s="1"/>
        <i x="1" s="1"/>
        <i x="6" s="1"/>
        <i x="2" s="1"/>
        <i x="18" s="1"/>
        <i x="4" s="1"/>
        <i x="12" s="1"/>
        <i x="8" s="1"/>
        <i x="10" s="1"/>
        <i x="3" s="1"/>
        <i x="7" s="1"/>
        <i x="5" s="1"/>
        <i x="15" s="1"/>
        <i x="11" s="1"/>
        <i x="13" s="1"/>
        <i x="16" s="1"/>
        <i x="25" s="1"/>
        <i x="14" s="1"/>
        <i x="24" s="1"/>
        <i x="29" s="1"/>
        <i x="23" s="1"/>
        <i x="26" s="1"/>
        <i x="22" s="1"/>
        <i x="19" s="1"/>
        <i x="20" s="1"/>
        <i x="28" s="1"/>
        <i x="27" s="1"/>
        <i x="30" s="1"/>
        <i x="17" s="1"/>
        <i x="9" s="1"/>
        <i x="37" s="1" nd="1"/>
        <i x="67" s="1" nd="1"/>
        <i x="68" s="1" nd="1"/>
        <i x="76" s="1" nd="1"/>
        <i x="66" s="1" nd="1"/>
        <i x="65" s="1" nd="1"/>
        <i x="69" s="1" nd="1"/>
        <i x="80" s="1" nd="1"/>
        <i x="72" s="1" nd="1"/>
        <i x="73" s="1" nd="1"/>
        <i x="70" s="1" nd="1"/>
        <i x="71" s="1" nd="1"/>
        <i x="81" s="1" nd="1"/>
        <i x="74" s="1" nd="1"/>
        <i x="75" s="1" nd="1"/>
        <i x="78" s="1" nd="1"/>
        <i x="79" s="1" nd="1"/>
        <i x="77" s="1" nd="1"/>
        <i x="32" s="1" nd="1"/>
        <i x="83" s="1" nd="1"/>
        <i x="31" s="1" nd="1"/>
        <i x="82" s="1" nd="1"/>
        <i x="34" s="1" nd="1"/>
        <i x="33" s="1" nd="1"/>
        <i x="35" s="1" nd="1"/>
        <i x="41" s="1" nd="1"/>
        <i x="36" s="1" nd="1"/>
        <i x="38" s="1" nd="1"/>
        <i x="54" s="1" nd="1"/>
        <i x="42" s="1" nd="1"/>
        <i x="48" s="1" nd="1"/>
        <i x="43" s="1" nd="1"/>
        <i x="46" s="1" nd="1"/>
        <i x="51" s="1" nd="1"/>
        <i x="62" s="1" nd="1"/>
        <i x="44" s="1" nd="1"/>
        <i x="56" s="1" nd="1"/>
        <i x="59" s="1" nd="1"/>
        <i x="50" s="1" nd="1"/>
        <i x="39" s="1" nd="1"/>
        <i x="47" s="1" nd="1"/>
        <i x="40" s="1" nd="1"/>
        <i x="45" s="1" nd="1"/>
        <i x="49" s="1" nd="1"/>
        <i x="55" s="1" nd="1"/>
        <i x="52" s="1" nd="1"/>
        <i x="57" s="1" nd="1"/>
        <i x="53" s="1" nd="1"/>
        <i x="58" s="1" nd="1"/>
        <i x="60" s="1" nd="1"/>
        <i x="61" s="1" nd="1"/>
        <i x="64" s="1" nd="1"/>
        <i x="6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startItem="1"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11"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75" totalsRowCount="1" headerRowDxfId="99" dataDxfId="98" headerRowCellStyle="Comma" dataCellStyle="Comma">
  <autoFilter ref="A1:K74" xr:uid="{11DACEC6-751B-4B1D-817F-5C5BCD38EF6D}"/>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6" dataCellStyle="Comma"/>
    <tableColumn id="6" xr3:uid="{F4E1FD2B-9017-4DEB-B772-BF447ECE56F7}" name="Kora/metre" dataDxfId="92" totalsRowDxfId="5" dataCellStyle="Comma"/>
    <tableColumn id="7" xr3:uid="{52ACC1DA-7A76-4A90-B809-3A1AE728E7EA}" name="Tiyaar/gaz" dataDxfId="91" totalsRowDxfId="4" dataCellStyle="Comma"/>
    <tableColumn id="8" xr3:uid="{31A0FF5E-56F0-44D1-9865-73256B964660}" name="shortage %" dataDxfId="90" totalsRowDxfId="3" dataCellStyle="Comma">
      <calculatedColumnFormula>_xlfn.XLOOKUP(Table1[[#This Row],[Shipment Number]], 'pivot '!A:A,'pivot '!G:G, "NF")</calculatedColumnFormula>
    </tableColumn>
    <tableColumn id="9" xr3:uid="{F99075E0-AC8E-094D-BB85-272AD2C6C568}" name="tiyar/meters" totalsRowFunction="custom" dataDxfId="89" totalsRowDxfId="2"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8" totalsRowDxfId="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7" totalsRowDxfId="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9" totalsRowCount="1" headerRowDxfId="84" headerRowBorderDxfId="83" tableBorderDxfId="82">
  <autoFilter ref="A1:I38" xr:uid="{F8E8C957-ABE7-4E4F-8D4E-7D44E26B334F}"/>
  <tableColumns count="9">
    <tableColumn id="1" xr3:uid="{C2E817D6-AB98-4DDD-8890-736B27F261CD}" name="Date" totalsRowLabel="." dataDxfId="81" totalsRowDxfId="80"/>
    <tableColumn id="2" xr3:uid="{CFB51890-CCDC-463C-81C9-3F8BD7469CB9}" name="Party Name"/>
    <tableColumn id="3" xr3:uid="{A113D971-1C9D-4733-99C4-BD0CC4333209}" name="Vehicle Number"/>
    <tableColumn id="4" xr3:uid="{49780304-3DD1-4AE9-98EE-2BC7EB8F3B57}" name="Weight" dataDxfId="79" totalsRowDxfId="78" dataCellStyle="Comma"/>
    <tableColumn id="5" xr3:uid="{FCAF1BC6-1D8C-42AD-8BBC-F924BF2DC7FE}" name="Rate" dataDxfId="77" totalsRowDxfId="76" dataCellStyle="Comma"/>
    <tableColumn id="6" xr3:uid="{8C70A624-4134-410C-9C45-9FDEB51D51BF}" name="Rent" dataDxfId="75" totalsRowDxfId="74" dataCellStyle="Comma"/>
    <tableColumn id="7" xr3:uid="{EBCE10AE-9634-4982-9C95-37ABC8A7078C}" name="Total" totalsRowFunction="sum" dataDxfId="73" totalsRowDxfId="72" dataCellStyle="Comma">
      <calculatedColumnFormula>D2*E2</calculatedColumnFormula>
    </tableColumn>
    <tableColumn id="9" xr3:uid="{D4788559-C94A-44D9-B9AE-E72B214355AC}" name="Paid" totalsRowFunction="sum" dataDxfId="71" totalsRowDxfId="70" dataCellStyle="Comma"/>
    <tableColumn id="8" xr3:uid="{E26F5BF0-1875-4FC6-994D-49F202ED562B}" name="balance" totalsRowFunction="sum" dataDxfId="69" totalsRowDxfId="68"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06" totalsRowCount="1">
  <autoFilter ref="A1:G305" xr:uid="{CB032221-B416-47A8-9A76-693DE76CFD04}"/>
  <tableColumns count="7">
    <tableColumn id="1" xr3:uid="{554B1EED-65B6-4E9A-B646-82727FAC40DE}" name="Date" dataDxfId="66" totalsRowDxfId="65"/>
    <tableColumn id="2" xr3:uid="{32259059-42CF-4947-83DE-115AA430BE2B}" name="Party"/>
    <tableColumn id="3" xr3:uid="{A1320223-D55D-483C-91C3-AB19B95CC9D8}" name="Debit" totalsRowFunction="sum" dataDxfId="64" totalsRowDxfId="63" dataCellStyle="Comma"/>
    <tableColumn id="4" xr3:uid="{E9745767-9FF0-4B1C-9052-FF335D1D7588}" name="Credit" totalsRowFunction="sum" dataDxfId="62" totalsRowDxfId="61" dataCellStyle="Comma"/>
    <tableColumn id="5" xr3:uid="{5C88A48E-2467-4E6D-B626-2442B7FD0BE4}" name="Description"/>
    <tableColumn id="6" xr3:uid="{63CA4666-144E-4BE6-8B7C-7CB992BD3041}" name="Mode" totalsRowFunction="custom" dataDxfId="60" totalsRowDxfId="5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8" tableBorderDxfId="57" totalsRowBorderDxfId="56">
  <autoFilter ref="J3:K6" xr:uid="{DCE01694-23ED-48BF-8B92-4186B9ED10A8}"/>
  <tableColumns count="2">
    <tableColumn id="1" xr3:uid="{C8484DAF-2989-4C2F-9AEC-A6917E1C57F6}" name="Type" dataDxfId="55"/>
    <tableColumn id="2" xr3:uid="{B07B7A2A-4D4E-4654-BED6-FE2F0A7BEC34}" name="Amount" dataDxfId="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3" headerRowBorderDxfId="52" tableBorderDxfId="51" totalsRowBorderDxfId="50">
  <autoFilter ref="M3:O6" xr:uid="{D166BDD1-ACD7-45D7-8AE9-7350373F8CEB}"/>
  <tableColumns count="3">
    <tableColumn id="1" xr3:uid="{64F0205E-DEA7-4571-BA86-E4374A5FEE28}" name="Type" totalsRowLabel="Total" dataDxfId="49" totalsRowDxfId="48"/>
    <tableColumn id="2" xr3:uid="{15FA05F9-789C-4459-9BE0-5C1EC84D3365}" name="amount" totalsRowFunction="custom" dataDxfId="47" totalsRowDxfId="46">
      <totalsRowFormula>SUM(N5:N6)</totalsRowFormula>
    </tableColumn>
    <tableColumn id="3" xr3:uid="{3681D409-90C6-44D0-BDE2-4B5943A516F0}" name="Actual" totalsRowFunction="custom" totalsRowDxfId="4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4" totalsRowDxfId="43"/>
    <tableColumn id="2" xr3:uid="{5B9D0FEE-4304-4C5C-A05C-5B27CF7841D3}" name="Type"/>
    <tableColumn id="3" xr3:uid="{6A91CA0D-C802-4C6F-9F39-CA53687E8EDE}" name="Description"/>
    <tableColumn id="4" xr3:uid="{A251D40C-AB87-4BB4-85F8-444B20E32FDF}" name="Total" totalsRowFunction="custom" dataDxfId="42" totalsRowDxfId="4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40" headerRowBorderDxfId="39">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6" headerRowBorderDxfId="35">
  <autoFilter ref="A4:H12" xr:uid="{A4C80688-A8BA-4BA7-90B4-791CD99446B4}"/>
  <sortState xmlns:xlrd2="http://schemas.microsoft.com/office/spreadsheetml/2017/richdata2" ref="A5:H5">
    <sortCondition ref="A4:A5"/>
  </sortState>
  <tableColumns count="8">
    <tableColumn id="1" xr3:uid="{4A818912-918E-4111-ACFC-BC93FEF7C1AD}" name="Date" dataDxfId="34" totalsRowDxfId="33"/>
    <tableColumn id="8" xr3:uid="{477ACFD5-62AF-4F69-974B-E9B974C11D7D}" name="Party Name" dataDxfId="3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31">
      <calculatedColumnFormula>SUMIFS(Table14[Debit], Table14[Date], Table2[[#This Row],[Date]], Table14[Party], Table2[[#This Row],[Party Name]])</calculatedColumnFormula>
    </tableColumn>
    <tableColumn id="7" xr3:uid="{BB689DF2-5D1E-436D-84C4-9745D88E8F3D}" name="Balance" totalsRowFunction="sum" dataDxfId="30">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9" totalsRowDxfId="28"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27" totalsRowDxfId="26"/>
    <tableColumn id="2" xr3:uid="{053BFC14-4828-417C-9F9F-95B6E232A945}" name="Amount" totalsRowFunction="custom" dataDxfId="25" totalsRowDxfId="2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3" totalsRowDxfId="2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2" totalsRowDxfId="1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0" totalsRowDxfId="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8">
      <calculatedColumnFormula>Billing!O5</calculatedColumnFormula>
    </tableColumn>
    <tableColumn id="2" xr3:uid="{7093A59E-B58F-487D-888A-9AA8156B5F9A}" name="Amount Paid" dataDxfId="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3"/>
  <sheetViews>
    <sheetView topLeftCell="O1" zoomScale="103" workbookViewId="0">
      <selection activeCell="J41" sqref="J41"/>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554687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396608.4491587418</v>
      </c>
      <c r="D4">
        <v>10</v>
      </c>
      <c r="E4" s="14">
        <f>(SUMIFS(ledger!G:G, ledger!B:B, B4, ledger!E:E, "&lt;&gt;*RD*",ledger!D:D, "Silky") / 1.0936)*12 + (SUMIFS(ledger!G:G, ledger!B:B, B4, ledger!E:E, "&lt;&gt;*RD*",ledger!D:D, "Chamki") / 1.0936)*10</f>
        <v>3896708.1199707394</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396608.4491587418</v>
      </c>
      <c r="K5" s="18">
        <v>3896708.1199707394</v>
      </c>
      <c r="O5" s="25" t="str" cm="1">
        <f t="array" ref="O5:O14">_xlfn.UNIQUE(Table1[Party Name])</f>
        <v>BSC</v>
      </c>
      <c r="P5" s="23" cm="1">
        <f t="array" ref="P5">_xlfn.BYROW(B26,_xlfn.LAMBDA(_xlpm.party,SUMIFS(ledger!G:G,ledger!B:B,_xlpm.party,ledger!E:E,"&lt;&gt;*RD*")))+_xlfn.IFNA(C44,0)</f>
        <v>886774</v>
      </c>
      <c r="Q5" s="23" cm="1">
        <f t="array" ref="Q5">_xlfn.BYROW(B26, _xlfn.LAMBDA(_xlpm.party, SUMIFS(ledger!G:G, ledger!B:B, _xlpm.party, ledger!E:E, "&lt;&gt;*RD*") / 1.0936 ))+_xlfn.IFNA(D44,0)</f>
        <v>810876.00585223129</v>
      </c>
      <c r="R5" s="23" cm="1">
        <f t="array" ref="R5">(_xlfn.BYROW(B26,_xlfn.LAMBDA(_xlpm.party,SUMIFS(ledger!G:G,ledger!B:B,_xlpm.party,ledger!E:E,"&lt;&gt;*RD*",ledger!D:D,"Chamki")+SUMIFS(ledger!G:G, ledger!B:B, _xlpm.party, ledger!E:E, "&lt;&gt;*RD*", ledger!D:D, "Crinkle")))/1.0936)+_xlfn.IFNA(E44,0)</f>
        <v>810876.00585223129</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8108760.058522312</v>
      </c>
      <c r="U5" s="23" cm="1">
        <f t="array" ref="U5">(_xlfn.BYROW(B26,_xlfn.LAMBDA(_xlpm.party,SUMIFS(ledger!G:G,ledger!B:B,_xlpm.party,ledger!E:E,"&lt;&gt;*RD*",ledger!D:D, "Silky")/1.0936))* 12)+_xlfn.IFNA(H44,0)</f>
        <v>0</v>
      </c>
      <c r="V5" s="44">
        <f>T5+U5</f>
        <v>8108760.058522312</v>
      </c>
      <c r="W5" s="23">
        <f>(SUMIF(Table14[Party],O5,Table14[Credit]))+_xlfn.IFNA(J44,0)</f>
        <v>6315144</v>
      </c>
      <c r="X5" s="98">
        <f>V5-W5</f>
        <v>1793616.058522312</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8">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654210</v>
      </c>
      <c r="X7" s="98">
        <f>V7-W7</f>
        <v>664608.5808339431</v>
      </c>
      <c r="Y7" s="22">
        <v>10</v>
      </c>
      <c r="Z7" s="22">
        <v>12</v>
      </c>
    </row>
    <row r="8" spans="2:26" x14ac:dyDescent="0.3">
      <c r="B8" t="str">
        <f t="shared" si="0"/>
        <v>Sufi Nawaz Sahab</v>
      </c>
      <c r="C8" s="18">
        <f>SUMIFS(ledger!G:G, ledger!B:B, B8, ledger!E:E, "&lt;&gt;*RD*") / 1.0936</f>
        <v>184279.44403803951</v>
      </c>
      <c r="D8">
        <v>10</v>
      </c>
      <c r="E8" s="14">
        <f>((SUMIFS(ledger!G:G, ledger!B:B, B8, ledger!E:E, "&lt;&gt;*RD*",ledger!D:D, "Silky") / 1.0936) *12) + ((SUMIFS(ledger!G:G, ledger!B:B, B8, ledger!E:E, "&lt;&gt;*RD*",ledger!D:D, "Chamki") / 1.0936)* 9)</f>
        <v>1852815.4718361376</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850000.04411119246</v>
      </c>
      <c r="U8" s="23" cm="1">
        <f t="array" ref="U8">(_xlfn.BYROW(B29,_xlfn.LAMBDA(_xlpm.party,SUMIFS(ledger!G:G,ledger!B:B,_xlpm.party,ledger!E:E,"&lt;&gt;*RD*",ledger!D:D, "Silky")/1.0936))* 12)+_xlfn.IFNA(H47,0)</f>
        <v>0</v>
      </c>
      <c r="V8" s="44">
        <f t="shared" si="1"/>
        <v>850000.04411119246</v>
      </c>
      <c r="W8" s="23">
        <f>(SUMIF(Table14[Party],O8,Table14[Credit]))+_xlfn.IFNA(J47,0)</f>
        <v>850000</v>
      </c>
      <c r="X8" s="98">
        <f t="shared" ref="X8:X17" si="2">V8-W8</f>
        <v>4.4111192459240556E-2</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184279.44403803951</v>
      </c>
      <c r="K9" s="18">
        <v>1852815.4718361376</v>
      </c>
      <c r="O9" s="25" t="str">
        <v>Sufi Nawaz Sahab</v>
      </c>
      <c r="P9" s="23" cm="1">
        <f t="array" ref="P9">_xlfn.BYROW(B30,_xlfn.LAMBDA(_xlpm.party,SUMIFS(ledger!G:G,ledger!B:B,_xlpm.party,ledger!E:E,"&lt;&gt;*RD*")))+_xlfn.IFNA(C48,0)</f>
        <v>354063</v>
      </c>
      <c r="Q9" s="23" cm="1">
        <f t="array" ref="Q9">_xlfn.BYROW(B30, _xlfn.LAMBDA(_xlpm.party, SUMIFS(ledger!G:G, ledger!B:B, _xlpm.party, ledger!E:E, "&lt;&gt;*RD*") / 1.0936 ))+_xlfn.IFNA(D48,0)</f>
        <v>323759.14411119244</v>
      </c>
      <c r="R9" s="23" cm="1">
        <f t="array" ref="R9">(_xlfn.BYROW(B30,_xlfn.LAMBDA(_xlpm.party,SUMIFS(ledger!G:G,ledger!B:B,_xlpm.party,ledger!E:E,"&lt;&gt;*RD*",ledger!D:D,"Chamki")+SUMIFS(ledger!G:G, ledger!B:B, _xlpm.party, ledger!E:E, "&lt;&gt;*RD*", ledger!D:D, "Crinkle")))/1.0936)+_xlfn.IFNA(E48,0)</f>
        <v>238909.10753474763</v>
      </c>
      <c r="S9" s="78" cm="1">
        <f t="array" ref="S9">(_xlfn.BYROW(B30,_xlfn.LAMBDA(_xlpm.party,SUMIFS(ledger!G:G,ledger!B:B,_xlpm.party,ledger!E:E,"&lt;&gt;*RD*",ledger!D:D,"Silky")))/1.0936)+_xlfn.IFNA(F48,0)</f>
        <v>84850.036576444778</v>
      </c>
      <c r="T9" s="23" cm="1">
        <f t="array" ref="T9">(_xlfn.BYROW(B30,_xlfn.LAMBDA(_xlpm.party,(SUMIFS(ledger!G:G,ledger!B:B,_xlpm.party,ledger!E:E,"&lt;&gt;*RD*",ledger!D:D, "Chamki")+SUMIFS(ledger!G:G, ledger!B:B, _xlpm.party, ledger!E:E, "&lt;&gt;*RD*", ledger!D:D, "Crinkle"))/1.0936))*L30)+_xlfn.IFNA(G48,0)</f>
        <v>2150181.9678127291</v>
      </c>
      <c r="U9" s="23" cm="1">
        <f t="array" ref="U9">(_xlfn.BYROW(B30,_xlfn.LAMBDA(_xlpm.party,SUMIFS(ledger!G:G,ledger!B:B,_xlpm.party,ledger!E:E,"&lt;&gt;*RD*",ledger!D:D, "Silky")/1.0936))* 12)+_xlfn.IFNA(H48,0)</f>
        <v>1018200.4389173373</v>
      </c>
      <c r="V9" s="44">
        <f t="shared" si="1"/>
        <v>3168382.4067300665</v>
      </c>
      <c r="W9" s="23">
        <f>(SUMIF(Table14[Party],O9,Table14[Credit]))+_xlfn.IFNA(J48,0)</f>
        <v>2579100</v>
      </c>
      <c r="X9" s="98">
        <f t="shared" si="2"/>
        <v>589282.40673006652</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1800000</v>
      </c>
      <c r="X10" s="98">
        <f t="shared" si="2"/>
        <v>710570.59253840521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28</v>
      </c>
      <c r="J15" s="14">
        <v>805458.11997073889</v>
      </c>
      <c r="K15" s="14">
        <v>7995225.8595464528</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8107222.933430871</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8107222.933430871</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5">_xlfn.UNIQUE(Table1[Party Name])</f>
        <v>BSC</v>
      </c>
      <c r="C26" s="23" cm="1">
        <f t="array" ref="C26:C35">_xlfn.BYROW(_xlfn.ANCHORARRAY(B26),_xlfn.LAMBDA(_xlpm.party,SUMIFS(ledger!G:G,ledger!B:B,_xlpm.party,ledger!E:E,"&lt;&gt;*RD*")))</f>
        <v>433731</v>
      </c>
      <c r="D26" s="23" cm="1">
        <f t="array" ref="D26:D35">_xlfn.BYROW(_xlfn.ANCHORARRAY(B26), _xlfn.LAMBDA(_xlpm.party, SUMIFS(ledger!G:G, ledger!B:B, _xlpm.party, ledger!E:E, "&lt;&gt;*RD*") / 1.0936 ))</f>
        <v>396608.4491587418</v>
      </c>
      <c r="E26" s="71" cm="1">
        <f t="array" ref="E26:E35">(_xlfn.BYROW(_xlfn.ANCHORARRAY(B26),_xlfn.LAMBDA(_xlpm.party,SUMIFS(ledger!G:G,ledger!B:B,_xlpm.party,ledger!E:E,"&lt;&gt;*RD*",ledger!D:D,"Chamki")+SUMIFS(ledger!G:G, ledger!B:B, _xlpm.party, ledger!E:E, "&lt;&gt;*RD*", ledger!D:D, "Crinkle")))/1.0936)</f>
        <v>396608.4491587418</v>
      </c>
      <c r="F26" s="78" cm="1">
        <f t="array" ref="F26:F35">(_xlfn.BYROW(_xlfn.ANCHORARRAY(B26),_xlfn.LAMBDA(_xlpm.party,SUMIFS(ledger!G:G,ledger!B:B,_xlpm.party,ledger!E:E,"&lt;&gt;*RD*",ledger!D:D,"Silky")))/1.0936)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3966084.4915874181</v>
      </c>
      <c r="H26" s="23" cm="1">
        <f t="array" ref="H26">(_xlfn.BYROW(B26,_xlfn.LAMBDA(_xlpm.party,SUMIFS(ledger!G:G,ledger!B:B,_xlpm.party,ledger!E:E,"&lt;&gt;*RD*",ledger!D:D, "Silky")/1.0936))* M26)</f>
        <v>0</v>
      </c>
      <c r="I26" s="44">
        <f t="shared" ref="I26:I34" si="7">G26+H26</f>
        <v>3966084.4915874181</v>
      </c>
      <c r="J26" s="23">
        <f>(SUMIF(Table14[Party],B26,Table14[Credit]))</f>
        <v>2486306</v>
      </c>
      <c r="K26" s="42">
        <f>I26-J26</f>
        <v>1479778.4915874181</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554210</v>
      </c>
      <c r="K28" s="42">
        <f>I28-J28</f>
        <v>-570.6437454278348</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500000</v>
      </c>
      <c r="K29" s="42">
        <f t="shared" ref="K29:K32" si="8">I29-J29</f>
        <v>-500000</v>
      </c>
      <c r="L29" s="22">
        <v>10.5</v>
      </c>
      <c r="M29" s="22">
        <v>13</v>
      </c>
    </row>
    <row r="30" spans="1:26" x14ac:dyDescent="0.3">
      <c r="B30" s="25" t="str">
        <v>Sufi Nawaz Sahab</v>
      </c>
      <c r="C30" s="23">
        <v>201528</v>
      </c>
      <c r="D30" s="23">
        <v>184279.44403803951</v>
      </c>
      <c r="E30" s="71">
        <v>119512.61887344551</v>
      </c>
      <c r="F30" s="78">
        <v>64766.825164594004</v>
      </c>
      <c r="G30" s="23" cm="1">
        <f t="array" ref="G30">(_xlfn.BYROW(B30,_xlfn.LAMBDA(_xlpm.party,(SUMIFS(ledger!G:G,ledger!B:B,_xlpm.party,ledger!E:E,"&lt;&gt;*RD*",ledger!D:D, "Chamki")+SUMIFS(ledger!G:G, ledger!B:B, _xlpm.party, ledger!E:E, "&lt;&gt;*RD*", ledger!D:D, "Crinkle"))/1.0936))*L30)</f>
        <v>1075613.5698610095</v>
      </c>
      <c r="H30" s="23" cm="1">
        <f t="array" ref="H30">(_xlfn.BYROW(B30,_xlfn.LAMBDA(_xlpm.party,SUMIFS(ledger!G:G,ledger!B:B,_xlpm.party,ledger!E:E,"&lt;&gt;*RD*",ledger!D:D, "Silky")/1.0936))* M30)</f>
        <v>777201.9019751281</v>
      </c>
      <c r="I30" s="44">
        <f t="shared" si="7"/>
        <v>1852815.4718361376</v>
      </c>
      <c r="J30" s="23">
        <f>(SUMIF(Table14[Party],B30,Table14[Credit]))</f>
        <v>2279100</v>
      </c>
      <c r="K30" s="42">
        <f t="shared" si="8"/>
        <v>-426284.52816386241</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1500000</v>
      </c>
      <c r="K31" s="42">
        <f t="shared" si="8"/>
        <v>-553639.35625457193</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3">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3">+_xlfn.XLOOKUP(_xlfn.ANCHORARRAY(B26),[1]Billing!$B$21:$B$29,[1]Billing!$F$21:$F$29)</f>
        <v>0</v>
      </c>
      <c r="G44" s="23" cm="1">
        <f t="array" ref="G44:G53">_xlfn.XLOOKUP(_xlfn.ANCHORARRAY(B26),[1]Billing!$B$21:$B$29,[1]Billing!$G$21:$G$29)</f>
        <v>4142675.5669348943</v>
      </c>
      <c r="H44" s="23" cm="1">
        <f t="array" ref="H44:H53">+_xlfn.XLOOKUP(_xlfn.ANCHORARRAY(B26),[1]Billing!$B$21:$B$29,[1]Billing!$H$21:$H$29)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10" zoomScale="139" workbookViewId="0">
      <selection activeCell="G19" sqref="G19"/>
    </sheetView>
  </sheetViews>
  <sheetFormatPr defaultRowHeight="14.4" x14ac:dyDescent="0.3"/>
  <cols>
    <col min="2" max="2" width="23.109375" customWidth="1"/>
    <col min="3" max="3" width="14.6640625" customWidth="1"/>
    <col min="4" max="4" width="16.6640625" bestFit="1" customWidth="1"/>
    <col min="5" max="5" width="13.33203125" bestFit="1" customWidth="1"/>
    <col min="9" max="9" width="11.6640625" customWidth="1"/>
    <col min="10" max="10" width="12.88671875" customWidth="1"/>
  </cols>
  <sheetData>
    <row r="4" spans="2:10" ht="15.6" x14ac:dyDescent="0.3">
      <c r="C4" s="70"/>
      <c r="D4" s="70"/>
      <c r="I4" t="s">
        <v>36</v>
      </c>
      <c r="J4" t="str" cm="1">
        <f t="array" ref="J4:J13">_xlfn.UNIQUE(Table1[Party Name])</f>
        <v>BSC</v>
      </c>
    </row>
    <row r="5" spans="2:10" x14ac:dyDescent="0.3">
      <c r="J5" t="str">
        <v>Ejaz Sahab</v>
      </c>
    </row>
    <row r="6" spans="2:10" ht="21" x14ac:dyDescent="0.4">
      <c r="B6" s="72" t="s">
        <v>312</v>
      </c>
      <c r="J6" t="str">
        <v>Arshad</v>
      </c>
    </row>
    <row r="7" spans="2:10" ht="15.6" x14ac:dyDescent="0.3">
      <c r="B7" s="70" t="s">
        <v>38</v>
      </c>
      <c r="C7" s="70" t="s">
        <v>4</v>
      </c>
      <c r="D7" s="70" t="s">
        <v>313</v>
      </c>
      <c r="E7" s="70" t="s">
        <v>314</v>
      </c>
      <c r="J7" t="str">
        <v>Shehzad Kamoki</v>
      </c>
    </row>
    <row r="8" spans="2:10" ht="18" x14ac:dyDescent="0.35">
      <c r="B8" s="63" t="s">
        <v>39</v>
      </c>
      <c r="C8" s="74"/>
      <c r="D8" s="76" cm="1">
        <f t="array" ref="D8">_xlfn.XLOOKUP($B$6,_xlfn.ANCHORARRAY( Billing!O5), INDEX(Billing!P5:P19, _xlfn.SEQUENCE(ROWS(_xlfn.ANCHORARRAY(Billing!$O$5)))), "Not Found")</f>
        <v>90939</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83155.632772494515</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10.5</v>
      </c>
      <c r="D12" s="74" cm="1">
        <f t="array" ref="D12">_xlfn.XLOOKUP($B$6,_xlfn.ANCHORARRAY( Billing!$O$5), INDEX(Billing!R5:R19, _xlfn.SEQUENCE(ROWS(_xlfn.ANCHORARRAY(Billing!$O$5)))), "Not Found")</f>
        <v>83155.632772494515</v>
      </c>
      <c r="E12" s="103">
        <f ca="1">Table21[[#This Row],[gazana]]*Table21[[#This Row],[Rate]]</f>
        <v>873134.14411119244</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13</v>
      </c>
      <c r="D14" s="74" cm="1">
        <f t="array" ref="D14">_xlfn.XLOOKUP($B$6,_xlfn.ANCHORARRAY( Billing!$O$5), INDEX(Billing!S5:S19, _xlfn.SEQUENCE(ROWS(_xlfn.ANCHORARRAY(Billing!$O$5)))), "Not Found")</f>
        <v>0</v>
      </c>
      <c r="E14" s="74">
        <f ca="1">Table21[[#This Row],[gazana]]*Table21[[#This Row],[Rate]]</f>
        <v>0</v>
      </c>
    </row>
    <row r="15" spans="2:10" ht="18.600000000000001" thickBot="1" x14ac:dyDescent="0.4">
      <c r="B15" s="73"/>
      <c r="C15" s="75"/>
      <c r="D15" s="75"/>
      <c r="E15" s="74"/>
    </row>
    <row r="16" spans="2:10" ht="18.600000000000001" thickBot="1" x14ac:dyDescent="0.4">
      <c r="B16" s="63" t="s">
        <v>43</v>
      </c>
      <c r="C16" s="74"/>
      <c r="D16" s="102"/>
      <c r="E16" s="104">
        <f ca="1">E12+E14</f>
        <v>873134.14411119244</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850000</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4.4111192459240556E-2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4821335</v>
      </c>
    </row>
    <row r="5" spans="1:4" x14ac:dyDescent="0.3">
      <c r="B5" t="s">
        <v>50</v>
      </c>
      <c r="C5" s="11">
        <f>SUM(Table8[Price])</f>
        <v>1000350</v>
      </c>
    </row>
    <row r="6" spans="1:4" x14ac:dyDescent="0.3">
      <c r="B6" t="s">
        <v>51</v>
      </c>
      <c r="C6" s="11">
        <f>SUM(Table2[Price])</f>
        <v>478400</v>
      </c>
    </row>
    <row r="7" spans="1:4" x14ac:dyDescent="0.3">
      <c r="B7" t="s">
        <v>52</v>
      </c>
      <c r="C7" s="11">
        <f>SUMIFS(Table14[Debit], Table14[Party],Table12[[#This Row],[Type]])</f>
        <v>57465</v>
      </c>
    </row>
    <row r="8" spans="1:4" x14ac:dyDescent="0.3">
      <c r="B8" t="s">
        <v>53</v>
      </c>
      <c r="C8" s="11">
        <f>Electricity!E3</f>
        <v>0</v>
      </c>
    </row>
    <row r="9" spans="1:4" x14ac:dyDescent="0.3">
      <c r="B9" t="s">
        <v>54</v>
      </c>
      <c r="C9" s="11">
        <f>Table11[[#Totals],[Amount]]+'Salary Acc'!I35</f>
        <v>376800</v>
      </c>
    </row>
    <row r="10" spans="1:4" x14ac:dyDescent="0.3">
      <c r="B10" t="s">
        <v>55</v>
      </c>
      <c r="C10" s="11">
        <f>Table5[[#Totals],[Amount]]</f>
        <v>77819</v>
      </c>
    </row>
    <row r="11" spans="1:4" x14ac:dyDescent="0.3">
      <c r="B11" t="s">
        <v>56</v>
      </c>
      <c r="C11" s="11">
        <f>Table13[[#Totals],[Debit]]</f>
        <v>115455</v>
      </c>
    </row>
    <row r="12" spans="1:4" x14ac:dyDescent="0.3">
      <c r="B12" t="s">
        <v>57</v>
      </c>
      <c r="C12" s="11">
        <f>Table15[[#Totals],[Amount]]</f>
        <v>601131</v>
      </c>
    </row>
    <row r="13" spans="1:4" x14ac:dyDescent="0.3">
      <c r="C13" s="11"/>
    </row>
    <row r="14" spans="1:4" x14ac:dyDescent="0.3">
      <c r="C14" s="14">
        <f>SUM(Table12[Amount])</f>
        <v>7528755</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8107222.933430871</v>
      </c>
      <c r="D3" t="s">
        <v>70</v>
      </c>
    </row>
    <row r="4" spans="1:4" x14ac:dyDescent="0.3">
      <c r="B4" s="11" t="s">
        <v>46</v>
      </c>
      <c r="C4" s="11">
        <f>Table12[[#Totals],[Amount]]</f>
        <v>7528755</v>
      </c>
    </row>
    <row r="5" spans="1:4" x14ac:dyDescent="0.3">
      <c r="A5" s="6"/>
      <c r="B5" s="15" t="s">
        <v>71</v>
      </c>
      <c r="C5" s="15">
        <f ca="1">C3-C4</f>
        <v>578467.93343087099</v>
      </c>
    </row>
    <row r="10" spans="1:4" ht="15" thickBot="1" x14ac:dyDescent="0.35">
      <c r="B10" t="s">
        <v>68</v>
      </c>
      <c r="C10" s="14" t="s">
        <v>69</v>
      </c>
    </row>
    <row r="11" spans="1:4" x14ac:dyDescent="0.3">
      <c r="B11" s="64" t="s">
        <v>0</v>
      </c>
      <c r="C11" s="65">
        <f ca="1">C3</f>
        <v>8107222.933430871</v>
      </c>
    </row>
    <row r="12" spans="1:4" x14ac:dyDescent="0.3">
      <c r="B12" s="66" t="s">
        <v>72</v>
      </c>
      <c r="C12" s="67">
        <f>SUM(Table14[Credit])</f>
        <v>7625247</v>
      </c>
    </row>
    <row r="13" spans="1:4" ht="15" thickBot="1" x14ac:dyDescent="0.35">
      <c r="B13" s="82" t="s">
        <v>101</v>
      </c>
      <c r="C13" s="81">
        <f ca="1">(C11-C12)</f>
        <v>481975.93343087099</v>
      </c>
    </row>
    <row r="14" spans="1:4" ht="15" thickBot="1" x14ac:dyDescent="0.35">
      <c r="B14" s="66"/>
      <c r="C14" s="67"/>
    </row>
    <row r="15" spans="1:4" x14ac:dyDescent="0.3">
      <c r="B15" s="64" t="s">
        <v>46</v>
      </c>
      <c r="C15" s="65">
        <f>C4</f>
        <v>7528755</v>
      </c>
    </row>
    <row r="16" spans="1:4" x14ac:dyDescent="0.3">
      <c r="B16" s="66" t="s">
        <v>73</v>
      </c>
      <c r="C16" s="67">
        <f>SUM(Table14[Debit])</f>
        <v>7133346</v>
      </c>
    </row>
    <row r="17" spans="2:6" ht="15" thickBot="1" x14ac:dyDescent="0.35">
      <c r="B17" s="82" t="s">
        <v>74</v>
      </c>
      <c r="C17" s="81">
        <f>C15-C16</f>
        <v>395409</v>
      </c>
    </row>
    <row r="18" spans="2:6" ht="15" thickBot="1" x14ac:dyDescent="0.35">
      <c r="B18" s="66"/>
      <c r="C18" s="67"/>
    </row>
    <row r="19" spans="2:6" ht="15" thickBot="1" x14ac:dyDescent="0.35">
      <c r="B19" s="83" t="s">
        <v>75</v>
      </c>
      <c r="C19" s="84">
        <f>Table18[[#Totals],[amount]]</f>
        <v>491901</v>
      </c>
    </row>
    <row r="20" spans="2:6" ht="15" thickBot="1" x14ac:dyDescent="0.35">
      <c r="B20" s="79"/>
      <c r="C20" s="80"/>
    </row>
    <row r="21" spans="2:6" ht="15" thickBot="1" x14ac:dyDescent="0.35">
      <c r="B21" s="68" t="s">
        <v>76</v>
      </c>
      <c r="C21" s="69">
        <f ca="1">(C13-C17)+C19</f>
        <v>578467.93343087099</v>
      </c>
      <c r="E21" s="87" t="s">
        <v>77</v>
      </c>
      <c r="F21" s="88">
        <f ca="1">C5*0.05</f>
        <v>28923.396671543553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115455</v>
      </c>
      <c r="E35">
        <f>SUBTOTAL(109,Table13[Credit])</f>
        <v>0</v>
      </c>
      <c r="F35">
        <f>Table13[[#Totals],[Debit]]-Table13[[#Totals],[Credit]]</f>
        <v>115455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5"/>
  <sheetViews>
    <sheetView topLeftCell="C1" zoomScale="139" workbookViewId="0">
      <selection activeCell="J6" sqref="J6"/>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109375" style="10" bestFit="1" customWidth="1"/>
    <col min="5" max="5" width="16.21875" style="10" bestFit="1" customWidth="1"/>
    <col min="6" max="6" width="18.109375" style="10" bestFit="1" customWidth="1"/>
    <col min="7" max="7" width="12.77734375" style="10" bestFit="1" customWidth="1"/>
    <col min="8" max="8" width="18" style="10" bestFit="1" customWidth="1"/>
    <col min="9" max="9" width="12.33203125" style="10" bestFit="1" customWidth="1"/>
    <col min="10" max="10" width="18.109375" style="10" bestFit="1" customWidth="1"/>
    <col min="11" max="11" width="14.44140625" style="10"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18.010748246585834</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18.010748246585834</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18.010748246585834</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18.010748246585834</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18.010748246585834</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18.010748246585834</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50.258226725742091</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18.010748246585834</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18.010748246585834</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45.90798194165059</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18.010748246585834</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45.90798194165059</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c r="B75"/>
      <c r="C75"/>
      <c r="D75"/>
      <c r="E75" s="14"/>
      <c r="F75" s="14"/>
      <c r="G75" s="14"/>
      <c r="H75" s="50"/>
      <c r="I75" s="50" cm="1">
        <f t="array" aca="1" ref="I75" ca="1">SUMPRODUCT( SUBTOTAL(109, OFFSET(Table1[tiyar/meters], ROW(Table1[tiyar/meters])-MIN(ROW(Table1[tiyar/meters])), 0, 1)), --(Table1[Bill Number]&lt;&gt;"July Closing CF") )</f>
        <v>805458.11997073889</v>
      </c>
      <c r="J75" s="50" cm="1">
        <f t="array" aca="1" ref="J75" ca="1">SUMPRODUCT( SUBTOTAL(109, OFFSET(Table1[billing], ROW(Table1[billing])-MIN(ROW(Table1[billing])), 0, 1)), --(Table1[Bill Number]&lt;&gt;"July Closing CF") )</f>
        <v>8107222.9334308729</v>
      </c>
      <c r="K75" s="33">
        <f>SUMIFS(Table1[billing], Table1[Bill Number], "&lt;&gt;July Closing CF")</f>
        <v>8107222.9334308729</v>
      </c>
      <c r="O75"/>
      <c r="P75"/>
      <c r="Q75"/>
    </row>
    <row r="76" spans="1:19" x14ac:dyDescent="0.3">
      <c r="O76"/>
      <c r="P76"/>
      <c r="Q76"/>
    </row>
    <row r="77" spans="1:19" x14ac:dyDescent="0.3">
      <c r="O77"/>
      <c r="P77"/>
      <c r="Q77"/>
    </row>
    <row r="78" spans="1:19" x14ac:dyDescent="0.3">
      <c r="O78"/>
      <c r="P78"/>
      <c r="Q78"/>
    </row>
    <row r="79" spans="1:19" x14ac:dyDescent="0.3">
      <c r="O79"/>
      <c r="P79"/>
      <c r="Q79"/>
    </row>
    <row r="80" spans="1:19" x14ac:dyDescent="0.3">
      <c r="O80"/>
      <c r="P80"/>
      <c r="Q80"/>
    </row>
    <row r="81" spans="4:17" x14ac:dyDescent="0.3">
      <c r="O81"/>
      <c r="P81"/>
      <c r="Q81"/>
    </row>
    <row r="82" spans="4:17" x14ac:dyDescent="0.3">
      <c r="O82"/>
      <c r="P82"/>
      <c r="Q82"/>
    </row>
    <row r="83" spans="4:17" x14ac:dyDescent="0.3">
      <c r="O83"/>
      <c r="P83"/>
      <c r="Q83"/>
    </row>
    <row r="84" spans="4:17" x14ac:dyDescent="0.3">
      <c r="O84"/>
      <c r="P84"/>
      <c r="Q84"/>
    </row>
    <row r="85" spans="4:17" x14ac:dyDescent="0.3">
      <c r="D85" s="3" t="s">
        <v>2</v>
      </c>
      <c r="E85" t="s">
        <v>93</v>
      </c>
      <c r="O85"/>
      <c r="P85"/>
      <c r="Q85"/>
    </row>
    <row r="86" spans="4:17" x14ac:dyDescent="0.3">
      <c r="D86" s="3" t="s">
        <v>78</v>
      </c>
      <c r="E86" t="s">
        <v>93</v>
      </c>
      <c r="O86"/>
      <c r="P86"/>
      <c r="Q86"/>
    </row>
    <row r="87" spans="4:17" x14ac:dyDescent="0.3">
      <c r="D87" s="3" t="s">
        <v>82</v>
      </c>
      <c r="E87" t="s">
        <v>93</v>
      </c>
      <c r="L87"/>
      <c r="M87"/>
      <c r="O87"/>
      <c r="P87"/>
      <c r="Q87"/>
    </row>
    <row r="88" spans="4:17" x14ac:dyDescent="0.3">
      <c r="L88"/>
      <c r="M88"/>
      <c r="O88"/>
      <c r="P88"/>
      <c r="Q88"/>
    </row>
    <row r="89" spans="4:17" x14ac:dyDescent="0.3">
      <c r="D89" s="3" t="s">
        <v>6</v>
      </c>
      <c r="E89" t="s">
        <v>94</v>
      </c>
      <c r="F89" t="s">
        <v>95</v>
      </c>
      <c r="G89" t="s">
        <v>96</v>
      </c>
      <c r="I89" s="3" t="s">
        <v>6</v>
      </c>
      <c r="J89" t="s">
        <v>95</v>
      </c>
      <c r="K89" t="s">
        <v>96</v>
      </c>
      <c r="L89"/>
      <c r="M89"/>
      <c r="O89"/>
      <c r="P89"/>
      <c r="Q89"/>
    </row>
    <row r="90" spans="4:17" x14ac:dyDescent="0.3">
      <c r="D90" s="16" t="s">
        <v>88</v>
      </c>
      <c r="E90"/>
      <c r="F90" s="33">
        <v>972869.42209217278</v>
      </c>
      <c r="G90">
        <v>9691041.9714703746</v>
      </c>
      <c r="I90" s="27">
        <v>45885</v>
      </c>
      <c r="J90" s="50">
        <v>2050.1097293343087</v>
      </c>
      <c r="K90" s="14">
        <v>20501.097293343086</v>
      </c>
      <c r="L90"/>
      <c r="M90"/>
      <c r="N90"/>
      <c r="O90"/>
      <c r="P90"/>
      <c r="Q90"/>
    </row>
    <row r="91" spans="4:17" x14ac:dyDescent="0.3">
      <c r="D91" s="16">
        <v>716</v>
      </c>
      <c r="E91">
        <v>43689</v>
      </c>
      <c r="F91" s="33">
        <v>39949.70738844185</v>
      </c>
      <c r="G91">
        <v>399497.07388441847</v>
      </c>
      <c r="I91" s="27">
        <v>45886</v>
      </c>
      <c r="J91" s="50">
        <v>972869.42209217278</v>
      </c>
      <c r="K91" s="14">
        <v>9691041.9714703746</v>
      </c>
      <c r="L91"/>
      <c r="M91"/>
      <c r="N91"/>
      <c r="O91"/>
      <c r="P91"/>
      <c r="Q91"/>
    </row>
    <row r="92" spans="4:17" x14ac:dyDescent="0.3">
      <c r="D92" s="16">
        <v>722</v>
      </c>
      <c r="E92">
        <v>25952</v>
      </c>
      <c r="F92" s="33">
        <v>23730.797366495979</v>
      </c>
      <c r="G92">
        <v>237307.97366495978</v>
      </c>
      <c r="I92" s="27">
        <v>45888</v>
      </c>
      <c r="J92" s="50">
        <v>71674.286759327006</v>
      </c>
      <c r="K92" s="14">
        <v>716742.86759327003</v>
      </c>
      <c r="L92"/>
      <c r="M92"/>
      <c r="N92"/>
      <c r="O92"/>
      <c r="P92"/>
      <c r="Q92"/>
    </row>
    <row r="93" spans="4:17" x14ac:dyDescent="0.3">
      <c r="D93" s="16">
        <v>723</v>
      </c>
      <c r="E93">
        <v>8742</v>
      </c>
      <c r="F93" s="33">
        <v>7993.7820043891743</v>
      </c>
      <c r="G93">
        <v>79937.820043891741</v>
      </c>
      <c r="I93" s="27">
        <v>45890</v>
      </c>
      <c r="J93" s="50">
        <v>50132.589612289696</v>
      </c>
      <c r="K93" s="14">
        <v>501325.89612289687</v>
      </c>
      <c r="L93"/>
      <c r="M93"/>
      <c r="N93"/>
      <c r="O93"/>
      <c r="P93"/>
      <c r="Q93"/>
    </row>
    <row r="94" spans="4:17" x14ac:dyDescent="0.3">
      <c r="D94" s="16">
        <v>724</v>
      </c>
      <c r="E94">
        <v>48705</v>
      </c>
      <c r="F94" s="33">
        <v>44536.393562545723</v>
      </c>
      <c r="G94">
        <v>445363.9356254572</v>
      </c>
      <c r="I94" s="27">
        <v>45891</v>
      </c>
      <c r="J94" s="50">
        <v>37560.351133869786</v>
      </c>
      <c r="K94" s="14">
        <v>375603.51133869792</v>
      </c>
      <c r="L94"/>
      <c r="M94"/>
      <c r="N94"/>
      <c r="O94"/>
      <c r="P94"/>
      <c r="Q94"/>
    </row>
    <row r="95" spans="4:17" x14ac:dyDescent="0.3">
      <c r="D95" s="16">
        <v>725</v>
      </c>
      <c r="E95">
        <v>4140</v>
      </c>
      <c r="F95" s="33">
        <v>3785.6620336503297</v>
      </c>
      <c r="G95">
        <v>37856.6203365033</v>
      </c>
      <c r="I95" s="27">
        <v>45892</v>
      </c>
      <c r="J95" s="50">
        <v>76884.601316752029</v>
      </c>
      <c r="K95" s="14">
        <v>764915.87417703005</v>
      </c>
      <c r="L95"/>
      <c r="M95"/>
      <c r="N95"/>
      <c r="O95"/>
      <c r="P95"/>
      <c r="Q95"/>
    </row>
    <row r="96" spans="4:17" x14ac:dyDescent="0.3">
      <c r="D96" s="16">
        <v>726</v>
      </c>
      <c r="E96">
        <v>1980</v>
      </c>
      <c r="F96" s="33">
        <v>1810.534016093636</v>
      </c>
      <c r="G96">
        <v>18105.340160936361</v>
      </c>
      <c r="I96" s="27">
        <v>45894</v>
      </c>
      <c r="J96" s="50">
        <v>81706.291148500371</v>
      </c>
      <c r="K96" s="14">
        <v>806219.82443306514</v>
      </c>
      <c r="L96"/>
      <c r="M96"/>
      <c r="N96"/>
      <c r="O96"/>
      <c r="P96"/>
      <c r="Q96"/>
    </row>
    <row r="97" spans="4:17" x14ac:dyDescent="0.3">
      <c r="D97" s="16">
        <v>727</v>
      </c>
      <c r="E97">
        <v>21621</v>
      </c>
      <c r="F97" s="33">
        <v>19770.48280907096</v>
      </c>
      <c r="G97">
        <v>197704.82809070961</v>
      </c>
      <c r="I97" s="27">
        <v>45895</v>
      </c>
      <c r="J97" s="50">
        <v>17298.829553767377</v>
      </c>
      <c r="K97" s="14">
        <v>155689.46598390638</v>
      </c>
      <c r="L97"/>
      <c r="M97"/>
      <c r="N97"/>
      <c r="O97"/>
      <c r="P97"/>
      <c r="Q97"/>
    </row>
    <row r="98" spans="4:17" x14ac:dyDescent="0.3">
      <c r="D98" s="16">
        <v>728</v>
      </c>
      <c r="E98">
        <v>6406</v>
      </c>
      <c r="F98" s="33">
        <v>5857.7176298463792</v>
      </c>
      <c r="G98">
        <v>58577.17629846379</v>
      </c>
      <c r="I98" s="27">
        <v>45896</v>
      </c>
      <c r="J98" s="50">
        <v>59752.194586686186</v>
      </c>
      <c r="K98" s="14">
        <v>555856.80321872712</v>
      </c>
      <c r="L98"/>
      <c r="M98"/>
      <c r="N98"/>
      <c r="O98"/>
      <c r="P98"/>
      <c r="Q98"/>
    </row>
    <row r="99" spans="4:17" x14ac:dyDescent="0.3">
      <c r="D99" s="16">
        <v>729</v>
      </c>
      <c r="E99">
        <v>7452</v>
      </c>
      <c r="F99" s="33">
        <v>6814.1916605705928</v>
      </c>
      <c r="G99">
        <v>68141.916605705934</v>
      </c>
      <c r="I99" s="27">
        <v>45897</v>
      </c>
      <c r="J99" s="50">
        <v>41335.040234089247</v>
      </c>
      <c r="K99" s="14">
        <v>413350.40234089253</v>
      </c>
      <c r="L99"/>
      <c r="M99"/>
      <c r="N99"/>
      <c r="O99"/>
      <c r="P99"/>
      <c r="Q99"/>
    </row>
    <row r="100" spans="4:17" x14ac:dyDescent="0.3">
      <c r="D100" s="16">
        <v>731</v>
      </c>
      <c r="E100">
        <v>5597</v>
      </c>
      <c r="F100" s="33">
        <v>5117.9590343818581</v>
      </c>
      <c r="G100">
        <v>51179.590343818578</v>
      </c>
      <c r="I100" s="27">
        <v>45898</v>
      </c>
      <c r="J100" s="50">
        <v>40317.300658376014</v>
      </c>
      <c r="K100" s="14">
        <v>393712.50914411119</v>
      </c>
      <c r="L100"/>
      <c r="M100"/>
      <c r="N100"/>
      <c r="O100"/>
      <c r="P100"/>
      <c r="Q100"/>
    </row>
    <row r="101" spans="4:17" x14ac:dyDescent="0.3">
      <c r="D101" s="16">
        <v>732</v>
      </c>
      <c r="E101">
        <v>21167</v>
      </c>
      <c r="F101" s="33">
        <v>19355.340160936357</v>
      </c>
      <c r="G101">
        <v>193553.40160936356</v>
      </c>
      <c r="I101" s="27">
        <v>45899</v>
      </c>
      <c r="J101" s="50">
        <v>53495.793708851503</v>
      </c>
      <c r="K101" s="14">
        <v>624926.84711046098</v>
      </c>
      <c r="L101"/>
      <c r="M101"/>
      <c r="N101"/>
      <c r="O101"/>
      <c r="P101"/>
      <c r="Q101"/>
    </row>
    <row r="102" spans="4:17" x14ac:dyDescent="0.3">
      <c r="D102" s="16">
        <v>733</v>
      </c>
      <c r="E102">
        <v>2010</v>
      </c>
      <c r="F102" s="33">
        <v>0</v>
      </c>
      <c r="G102">
        <v>0</v>
      </c>
      <c r="I102" s="27">
        <v>45900</v>
      </c>
      <c r="J102" s="50">
        <v>112115.94732991954</v>
      </c>
      <c r="K102" s="14">
        <v>1113504.0234089247</v>
      </c>
      <c r="L102"/>
      <c r="M102"/>
      <c r="N102"/>
      <c r="O102"/>
      <c r="P102"/>
      <c r="Q102"/>
    </row>
    <row r="103" spans="4:17" x14ac:dyDescent="0.3">
      <c r="D103" s="16">
        <v>734</v>
      </c>
      <c r="E103">
        <v>16253</v>
      </c>
      <c r="F103" s="33">
        <v>14861.923920994881</v>
      </c>
      <c r="G103">
        <v>148619.23920994881</v>
      </c>
      <c r="I103" s="27">
        <v>45901</v>
      </c>
      <c r="J103" s="50">
        <v>33280.907095830291</v>
      </c>
      <c r="K103" s="14">
        <v>332430.50475493784</v>
      </c>
      <c r="L103"/>
      <c r="M103"/>
      <c r="N103"/>
      <c r="O103"/>
      <c r="P103"/>
      <c r="Q103"/>
    </row>
    <row r="104" spans="4:17" x14ac:dyDescent="0.3">
      <c r="D104" s="16">
        <v>735</v>
      </c>
      <c r="E104">
        <v>33788</v>
      </c>
      <c r="F104" s="33">
        <v>30896.122896854427</v>
      </c>
      <c r="G104">
        <v>308961.22896854428</v>
      </c>
      <c r="I104" s="27">
        <v>45902</v>
      </c>
      <c r="J104" s="50">
        <v>39340.709583028533</v>
      </c>
      <c r="K104" s="14">
        <v>447311.63130943681</v>
      </c>
      <c r="L104"/>
      <c r="M104"/>
      <c r="N104"/>
      <c r="O104"/>
      <c r="P104"/>
      <c r="Q104"/>
    </row>
    <row r="105" spans="4:17" x14ac:dyDescent="0.3">
      <c r="D105" s="16">
        <v>736</v>
      </c>
      <c r="E105">
        <v>8575</v>
      </c>
      <c r="F105" s="33">
        <v>7841.0753474762259</v>
      </c>
      <c r="G105">
        <v>78410.753474762256</v>
      </c>
      <c r="I105" s="27">
        <v>45903</v>
      </c>
      <c r="J105" s="50">
        <v>45768.105340160946</v>
      </c>
      <c r="K105" s="14">
        <v>457681.05340160942</v>
      </c>
      <c r="L105"/>
      <c r="M105"/>
      <c r="N105"/>
    </row>
    <row r="106" spans="4:17" x14ac:dyDescent="0.3">
      <c r="D106" s="16">
        <v>737</v>
      </c>
      <c r="E106">
        <v>4298</v>
      </c>
      <c r="F106" s="33">
        <v>3930.1389904901248</v>
      </c>
      <c r="G106">
        <v>35371.250914411125</v>
      </c>
      <c r="I106" s="27">
        <v>45905</v>
      </c>
      <c r="J106" s="50"/>
      <c r="K106" s="14">
        <v>0</v>
      </c>
      <c r="L106"/>
      <c r="M106"/>
      <c r="N106"/>
    </row>
    <row r="107" spans="4:17" x14ac:dyDescent="0.3">
      <c r="D107" s="16">
        <v>738</v>
      </c>
      <c r="E107">
        <v>22478</v>
      </c>
      <c r="F107" s="33">
        <v>20554.133138258963</v>
      </c>
      <c r="G107">
        <v>205541.33138258965</v>
      </c>
      <c r="I107" s="27" t="s">
        <v>28</v>
      </c>
      <c r="J107" s="50">
        <v>1735582.4798829553</v>
      </c>
      <c r="K107" s="14">
        <v>17370814.283101685</v>
      </c>
      <c r="L107"/>
      <c r="M107"/>
      <c r="N107"/>
    </row>
    <row r="108" spans="4:17" x14ac:dyDescent="0.3">
      <c r="D108" s="16">
        <v>739</v>
      </c>
      <c r="E108">
        <v>8540</v>
      </c>
      <c r="F108" s="33">
        <v>7809.0709583028538</v>
      </c>
      <c r="G108">
        <v>78090.70958302854</v>
      </c>
      <c r="L108"/>
      <c r="M108"/>
      <c r="N108"/>
    </row>
    <row r="109" spans="4:17" x14ac:dyDescent="0.3">
      <c r="D109" s="16">
        <v>740</v>
      </c>
      <c r="E109">
        <v>7214</v>
      </c>
      <c r="F109" s="33">
        <v>6596.5618141916611</v>
      </c>
      <c r="G109">
        <v>65965.61814191661</v>
      </c>
      <c r="L109"/>
      <c r="M109"/>
      <c r="N109"/>
    </row>
    <row r="110" spans="4:17" x14ac:dyDescent="0.3">
      <c r="D110" s="16">
        <v>741</v>
      </c>
      <c r="E110">
        <v>6688</v>
      </c>
      <c r="F110" s="33">
        <v>6115.5815654718363</v>
      </c>
      <c r="G110">
        <v>61155.815654718361</v>
      </c>
      <c r="L110"/>
      <c r="M110"/>
      <c r="N110"/>
    </row>
    <row r="111" spans="4:17" x14ac:dyDescent="0.3">
      <c r="D111" s="16">
        <v>742</v>
      </c>
      <c r="E111">
        <v>1914</v>
      </c>
      <c r="F111" s="33">
        <v>1750.1828822238481</v>
      </c>
      <c r="G111">
        <v>17501.82882223848</v>
      </c>
      <c r="L111"/>
      <c r="M111"/>
      <c r="N111"/>
    </row>
    <row r="112" spans="4:17" x14ac:dyDescent="0.3">
      <c r="D112" s="16">
        <v>743</v>
      </c>
      <c r="E112">
        <v>9214</v>
      </c>
      <c r="F112" s="33">
        <v>8425.3840526700806</v>
      </c>
      <c r="G112">
        <v>84253.840526700806</v>
      </c>
      <c r="L112"/>
      <c r="M112"/>
      <c r="N112"/>
    </row>
    <row r="113" spans="4:14" x14ac:dyDescent="0.3">
      <c r="D113" s="16">
        <v>744</v>
      </c>
      <c r="E113">
        <v>21448</v>
      </c>
      <c r="F113" s="33">
        <v>19612.289685442578</v>
      </c>
      <c r="G113">
        <v>196122.89685442578</v>
      </c>
      <c r="L113"/>
      <c r="M113"/>
      <c r="N113"/>
    </row>
    <row r="114" spans="4:14" x14ac:dyDescent="0.3">
      <c r="D114" s="16">
        <v>745</v>
      </c>
      <c r="E114">
        <v>11858</v>
      </c>
      <c r="F114" s="33">
        <v>10843.087051938552</v>
      </c>
      <c r="G114">
        <v>97587.783467446963</v>
      </c>
      <c r="L114"/>
      <c r="M114"/>
      <c r="N114"/>
    </row>
    <row r="115" spans="4:14" x14ac:dyDescent="0.3">
      <c r="D115" s="16">
        <v>746</v>
      </c>
      <c r="E115">
        <v>18918</v>
      </c>
      <c r="F115" s="33">
        <v>17298.829553767377</v>
      </c>
      <c r="G115">
        <v>155689.46598390638</v>
      </c>
      <c r="L115"/>
      <c r="M115"/>
      <c r="N115"/>
    </row>
    <row r="116" spans="4:14" x14ac:dyDescent="0.3">
      <c r="D116" s="16">
        <v>747</v>
      </c>
      <c r="E116">
        <v>19780</v>
      </c>
      <c r="F116" s="33">
        <v>18087.051938551573</v>
      </c>
      <c r="G116">
        <v>180870.51938551571</v>
      </c>
      <c r="L116"/>
      <c r="M116"/>
      <c r="N116"/>
    </row>
    <row r="117" spans="4:14" x14ac:dyDescent="0.3">
      <c r="D117" s="16">
        <v>748</v>
      </c>
      <c r="E117">
        <v>4342</v>
      </c>
      <c r="F117" s="33">
        <v>3970.3730797366497</v>
      </c>
      <c r="G117">
        <v>35733.35771762985</v>
      </c>
      <c r="L117"/>
      <c r="M117"/>
      <c r="N117"/>
    </row>
    <row r="118" spans="4:14" x14ac:dyDescent="0.3">
      <c r="D118" s="16">
        <v>749</v>
      </c>
      <c r="E118">
        <v>28098</v>
      </c>
      <c r="F118" s="33">
        <v>25693.123628383324</v>
      </c>
      <c r="G118">
        <v>231238.11265544992</v>
      </c>
      <c r="L118"/>
      <c r="M118"/>
      <c r="N118"/>
    </row>
    <row r="119" spans="4:14" x14ac:dyDescent="0.3">
      <c r="D119" s="16">
        <v>750</v>
      </c>
      <c r="E119">
        <v>13125</v>
      </c>
      <c r="F119" s="33">
        <v>12001.645940014632</v>
      </c>
      <c r="G119">
        <v>108014.81346013169</v>
      </c>
      <c r="L119"/>
      <c r="M119"/>
      <c r="N119"/>
    </row>
    <row r="120" spans="4:14" x14ac:dyDescent="0.3">
      <c r="D120" s="16">
        <v>721</v>
      </c>
      <c r="E120">
        <v>2242</v>
      </c>
      <c r="F120" s="33">
        <v>2050.1097293343087</v>
      </c>
      <c r="G120">
        <v>20501.097293343086</v>
      </c>
      <c r="L120"/>
      <c r="M120"/>
      <c r="N120"/>
    </row>
    <row r="121" spans="4:14" x14ac:dyDescent="0.3">
      <c r="D121" s="16">
        <v>751</v>
      </c>
      <c r="E121">
        <v>33502</v>
      </c>
      <c r="F121" s="33">
        <v>30634.601316752014</v>
      </c>
      <c r="G121">
        <v>306346.01316752017</v>
      </c>
      <c r="L121"/>
      <c r="M121"/>
      <c r="N121"/>
    </row>
    <row r="122" spans="4:14" x14ac:dyDescent="0.3">
      <c r="D122" s="16">
        <v>752</v>
      </c>
      <c r="E122">
        <v>11702</v>
      </c>
      <c r="F122" s="33">
        <v>10700.438917337236</v>
      </c>
      <c r="G122">
        <v>107004.38917337236</v>
      </c>
    </row>
    <row r="123" spans="4:14" x14ac:dyDescent="0.3">
      <c r="D123" s="16">
        <v>753</v>
      </c>
      <c r="E123">
        <v>26158</v>
      </c>
      <c r="F123" s="33">
        <v>23919.166057059258</v>
      </c>
      <c r="G123">
        <v>239191.66057059256</v>
      </c>
    </row>
    <row r="124" spans="4:14" x14ac:dyDescent="0.3">
      <c r="D124" s="16">
        <v>754</v>
      </c>
      <c r="E124">
        <v>10346</v>
      </c>
      <c r="F124" s="33">
        <v>9460.4974396488669</v>
      </c>
      <c r="G124">
        <v>85144.476956839804</v>
      </c>
    </row>
    <row r="125" spans="4:14" x14ac:dyDescent="0.3">
      <c r="D125" s="16">
        <v>755</v>
      </c>
      <c r="E125">
        <v>7587</v>
      </c>
      <c r="F125" s="33">
        <v>6937.6371616678862</v>
      </c>
      <c r="G125">
        <v>69376.371616678865</v>
      </c>
    </row>
    <row r="126" spans="4:14" x14ac:dyDescent="0.3">
      <c r="D126" s="16">
        <v>756</v>
      </c>
      <c r="E126">
        <v>2244</v>
      </c>
      <c r="F126" s="33">
        <v>0</v>
      </c>
      <c r="G126">
        <v>0</v>
      </c>
    </row>
    <row r="127" spans="4:14" x14ac:dyDescent="0.3">
      <c r="D127" s="16">
        <v>757</v>
      </c>
      <c r="E127">
        <v>14872</v>
      </c>
      <c r="F127" s="33">
        <v>13599.122165325531</v>
      </c>
      <c r="G127">
        <v>163189.46598390635</v>
      </c>
    </row>
    <row r="128" spans="4:14" x14ac:dyDescent="0.3">
      <c r="D128" s="16">
        <v>758</v>
      </c>
      <c r="E128">
        <v>11018</v>
      </c>
      <c r="F128" s="33">
        <v>10074.981711777617</v>
      </c>
      <c r="G128">
        <v>120899.78054133139</v>
      </c>
    </row>
    <row r="129" spans="4:7" x14ac:dyDescent="0.3">
      <c r="D129" s="16">
        <v>759</v>
      </c>
      <c r="E129">
        <v>23305</v>
      </c>
      <c r="F129" s="33">
        <v>21310.35113386979</v>
      </c>
      <c r="G129">
        <v>255724.21360643749</v>
      </c>
    </row>
    <row r="130" spans="4:7" x14ac:dyDescent="0.3">
      <c r="D130" s="16">
        <v>760</v>
      </c>
      <c r="E130">
        <v>9308</v>
      </c>
      <c r="F130" s="33">
        <v>8511.3386978785675</v>
      </c>
      <c r="G130">
        <v>85113.386978785682</v>
      </c>
    </row>
    <row r="131" spans="4:7" x14ac:dyDescent="0.3">
      <c r="D131" s="16">
        <v>761</v>
      </c>
      <c r="E131">
        <v>20380</v>
      </c>
      <c r="F131" s="33">
        <v>18635.6986100951</v>
      </c>
      <c r="G131">
        <v>186356.98610095101</v>
      </c>
    </row>
    <row r="132" spans="4:7" x14ac:dyDescent="0.3">
      <c r="D132" s="16">
        <v>762</v>
      </c>
      <c r="E132">
        <v>7020</v>
      </c>
      <c r="F132" s="33">
        <v>6419.1660570592539</v>
      </c>
      <c r="G132">
        <v>77029.992684711047</v>
      </c>
    </row>
    <row r="133" spans="4:7" x14ac:dyDescent="0.3">
      <c r="D133" s="16">
        <v>763</v>
      </c>
      <c r="E133">
        <v>2776</v>
      </c>
      <c r="F133" s="33">
        <v>2538.4052670080468</v>
      </c>
      <c r="G133">
        <v>25384.052670080469</v>
      </c>
    </row>
    <row r="134" spans="4:7" x14ac:dyDescent="0.3">
      <c r="D134" s="16">
        <v>764</v>
      </c>
      <c r="E134">
        <v>25394</v>
      </c>
      <c r="F134" s="33">
        <v>23220.555961960501</v>
      </c>
      <c r="G134">
        <v>232205.55961960502</v>
      </c>
    </row>
    <row r="135" spans="4:7" x14ac:dyDescent="0.3">
      <c r="D135" s="16">
        <v>765</v>
      </c>
      <c r="E135">
        <v>10496</v>
      </c>
      <c r="F135" s="33">
        <v>9597.6591075347478</v>
      </c>
      <c r="G135">
        <v>95976.591075347475</v>
      </c>
    </row>
    <row r="136" spans="4:7" x14ac:dyDescent="0.3">
      <c r="D136" s="16">
        <v>766</v>
      </c>
      <c r="E136">
        <v>9552</v>
      </c>
      <c r="F136" s="33">
        <v>8734.4550109729335</v>
      </c>
      <c r="G136">
        <v>87344.550109729331</v>
      </c>
    </row>
    <row r="137" spans="4:7" x14ac:dyDescent="0.3">
      <c r="D137" s="16">
        <v>767</v>
      </c>
      <c r="E137">
        <v>13908</v>
      </c>
      <c r="F137" s="33">
        <v>12717.629846378934</v>
      </c>
      <c r="G137">
        <v>127176.29846378934</v>
      </c>
    </row>
    <row r="138" spans="4:7" x14ac:dyDescent="0.3">
      <c r="D138" s="16">
        <v>768</v>
      </c>
      <c r="E138">
        <v>10672</v>
      </c>
      <c r="F138" s="33">
        <v>9758.5954645208494</v>
      </c>
      <c r="G138">
        <v>97585.954645208491</v>
      </c>
    </row>
    <row r="139" spans="4:7" x14ac:dyDescent="0.3">
      <c r="D139" s="16">
        <v>769</v>
      </c>
      <c r="E139">
        <v>15800</v>
      </c>
      <c r="F139" s="33">
        <v>14447.695683979518</v>
      </c>
      <c r="G139">
        <v>130029.26115581566</v>
      </c>
    </row>
    <row r="140" spans="4:7" x14ac:dyDescent="0.3">
      <c r="D140" s="16">
        <v>770</v>
      </c>
      <c r="E140">
        <v>6612</v>
      </c>
      <c r="F140" s="33">
        <v>6046.0863204096568</v>
      </c>
      <c r="G140">
        <v>54414.776883686907</v>
      </c>
    </row>
    <row r="141" spans="4:7" x14ac:dyDescent="0.3">
      <c r="D141" s="16">
        <v>771</v>
      </c>
      <c r="E141">
        <v>10650</v>
      </c>
      <c r="F141" s="33">
        <v>9738.4784198975867</v>
      </c>
      <c r="G141">
        <v>97384.78419897586</v>
      </c>
    </row>
    <row r="142" spans="4:7" x14ac:dyDescent="0.3">
      <c r="D142" s="16">
        <v>772</v>
      </c>
      <c r="E142">
        <v>17302</v>
      </c>
      <c r="F142" s="33">
        <v>15821.141185076813</v>
      </c>
      <c r="G142">
        <v>142390.27066569132</v>
      </c>
    </row>
    <row r="143" spans="4:7" x14ac:dyDescent="0.3">
      <c r="D143" s="16">
        <v>773</v>
      </c>
      <c r="E143">
        <v>8444</v>
      </c>
      <c r="F143" s="33">
        <v>7721.2874908558897</v>
      </c>
      <c r="G143">
        <v>92655.449890270684</v>
      </c>
    </row>
    <row r="144" spans="4:7" x14ac:dyDescent="0.3">
      <c r="D144" s="16">
        <v>774</v>
      </c>
      <c r="E144">
        <v>24391</v>
      </c>
      <c r="F144" s="33">
        <v>22303.401609363573</v>
      </c>
      <c r="G144">
        <v>267640.81931236287</v>
      </c>
    </row>
    <row r="145" spans="4:7" x14ac:dyDescent="0.3">
      <c r="D145" s="16">
        <v>775</v>
      </c>
      <c r="E145">
        <v>5084</v>
      </c>
      <c r="F145" s="33">
        <v>4648.8661302121436</v>
      </c>
      <c r="G145">
        <v>55786.393562545723</v>
      </c>
    </row>
    <row r="146" spans="4:7" x14ac:dyDescent="0.3">
      <c r="D146" s="16">
        <v>776</v>
      </c>
      <c r="E146">
        <v>4760</v>
      </c>
      <c r="F146" s="33">
        <v>4352.5969275786401</v>
      </c>
      <c r="G146">
        <v>43525.969275786403</v>
      </c>
    </row>
    <row r="147" spans="4:7" x14ac:dyDescent="0.3">
      <c r="D147" s="16">
        <v>777</v>
      </c>
      <c r="E147">
        <v>888</v>
      </c>
      <c r="F147" s="33">
        <v>811.99707388441846</v>
      </c>
      <c r="G147">
        <v>8119.9707388441848</v>
      </c>
    </row>
    <row r="148" spans="4:7" x14ac:dyDescent="0.3">
      <c r="D148" s="16">
        <v>778</v>
      </c>
      <c r="E148">
        <v>7900</v>
      </c>
      <c r="F148" s="33">
        <v>7223.8478419897592</v>
      </c>
      <c r="G148">
        <v>72238.478419897598</v>
      </c>
    </row>
    <row r="149" spans="4:7" x14ac:dyDescent="0.3">
      <c r="D149" s="16">
        <v>779</v>
      </c>
      <c r="E149">
        <v>17788</v>
      </c>
      <c r="F149" s="33">
        <v>16265.544989027068</v>
      </c>
      <c r="G149">
        <v>162655.44989027068</v>
      </c>
    </row>
    <row r="150" spans="4:7" x14ac:dyDescent="0.3">
      <c r="D150" s="16">
        <v>780</v>
      </c>
      <c r="E150">
        <v>19577</v>
      </c>
      <c r="F150" s="33">
        <v>17901.426481346014</v>
      </c>
      <c r="G150">
        <v>179014.26481346015</v>
      </c>
    </row>
    <row r="151" spans="4:7" x14ac:dyDescent="0.3">
      <c r="D151" s="16">
        <v>781</v>
      </c>
      <c r="E151">
        <v>12687</v>
      </c>
      <c r="F151" s="33">
        <v>11601.133869787858</v>
      </c>
      <c r="G151">
        <v>116011.33869787859</v>
      </c>
    </row>
    <row r="152" spans="4:7" x14ac:dyDescent="0.3">
      <c r="D152" s="16">
        <v>782</v>
      </c>
      <c r="E152">
        <v>14207</v>
      </c>
      <c r="F152" s="33"/>
      <c r="G152">
        <v>0</v>
      </c>
    </row>
    <row r="153" spans="4:7" x14ac:dyDescent="0.3">
      <c r="D153" s="16">
        <v>783</v>
      </c>
      <c r="E153">
        <v>19240</v>
      </c>
      <c r="F153" s="33"/>
      <c r="G153">
        <v>0</v>
      </c>
    </row>
    <row r="154" spans="4:7" x14ac:dyDescent="0.3">
      <c r="D154" s="16">
        <v>784</v>
      </c>
      <c r="E154">
        <v>13299</v>
      </c>
      <c r="F154" s="33"/>
      <c r="G154">
        <v>0</v>
      </c>
    </row>
    <row r="155" spans="4:7" x14ac:dyDescent="0.3">
      <c r="D155" s="16" t="s">
        <v>28</v>
      </c>
      <c r="E155">
        <v>885103</v>
      </c>
      <c r="F155" s="33">
        <v>1735582.4798829553</v>
      </c>
      <c r="G155">
        <v>17370814.283101682</v>
      </c>
    </row>
  </sheetData>
  <phoneticPr fontId="7" alignment="center"/>
  <pageMargins left="0.7" right="0.7" top="0.75" bottom="0.75" header="0.3" footer="0.3"/>
  <pageSetup paperSize="12"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59"/>
  <sheetViews>
    <sheetView tabSelected="1" topLeftCell="A22" zoomScale="122" workbookViewId="0">
      <selection activeCell="L36" sqref="L36"/>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4821335</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t="s">
        <v>106</v>
      </c>
      <c r="D39" s="14"/>
      <c r="E39" s="14"/>
      <c r="F39" s="14"/>
      <c r="G39" s="14">
        <f>SUBTOTAL(109,Table3[Total])</f>
        <v>4821335</v>
      </c>
      <c r="H39" s="14">
        <f>SUBTOTAL(109,Table3[Paid])</f>
        <v>3791280</v>
      </c>
      <c r="I39" s="14">
        <f>SUBTOTAL(109,Table3[balance])</f>
        <v>2255502</v>
      </c>
    </row>
    <row r="44" spans="1:9" x14ac:dyDescent="0.3">
      <c r="E44" s="3" t="s">
        <v>2</v>
      </c>
      <c r="F44" t="s">
        <v>104</v>
      </c>
    </row>
    <row r="46" spans="1:9" x14ac:dyDescent="0.3">
      <c r="E46" s="3" t="s">
        <v>107</v>
      </c>
      <c r="F46" t="s">
        <v>108</v>
      </c>
      <c r="G46" t="s">
        <v>109</v>
      </c>
      <c r="H46" t="s">
        <v>110</v>
      </c>
      <c r="I46" t="s">
        <v>111</v>
      </c>
    </row>
    <row r="47" spans="1:9" x14ac:dyDescent="0.3">
      <c r="E47" s="27">
        <v>45882</v>
      </c>
      <c r="F47" s="14">
        <v>100</v>
      </c>
      <c r="G47" s="14">
        <v>70000</v>
      </c>
      <c r="H47" s="14">
        <v>0</v>
      </c>
      <c r="I47" s="14">
        <v>70000</v>
      </c>
    </row>
    <row r="48" spans="1:9" x14ac:dyDescent="0.3">
      <c r="E48" s="49">
        <v>1055</v>
      </c>
      <c r="F48" s="14">
        <v>100</v>
      </c>
      <c r="G48" s="14">
        <v>70000</v>
      </c>
      <c r="H48" s="14">
        <v>0</v>
      </c>
      <c r="I48" s="14">
        <v>70000</v>
      </c>
    </row>
    <row r="49" spans="5:9" x14ac:dyDescent="0.3">
      <c r="E49" s="27">
        <v>45885</v>
      </c>
      <c r="F49" s="14"/>
      <c r="G49" s="14">
        <v>0</v>
      </c>
      <c r="H49" s="14"/>
      <c r="I49" s="14">
        <v>-27400</v>
      </c>
    </row>
    <row r="50" spans="5:9" x14ac:dyDescent="0.3">
      <c r="E50" s="49" t="s">
        <v>103</v>
      </c>
      <c r="F50" s="14"/>
      <c r="G50" s="14">
        <v>0</v>
      </c>
      <c r="H50" s="14"/>
      <c r="I50" s="14">
        <v>-27400</v>
      </c>
    </row>
    <row r="51" spans="5:9" x14ac:dyDescent="0.3">
      <c r="E51" s="27">
        <v>45893</v>
      </c>
      <c r="F51" s="14">
        <v>29</v>
      </c>
      <c r="G51" s="14">
        <v>20300</v>
      </c>
      <c r="H51" s="14">
        <v>0</v>
      </c>
      <c r="I51" s="14">
        <v>20300</v>
      </c>
    </row>
    <row r="52" spans="5:9" x14ac:dyDescent="0.3">
      <c r="E52" s="49" t="s">
        <v>105</v>
      </c>
      <c r="F52" s="14">
        <v>29</v>
      </c>
      <c r="G52" s="14">
        <v>20300</v>
      </c>
      <c r="H52" s="14">
        <v>0</v>
      </c>
      <c r="I52" s="14">
        <v>20300</v>
      </c>
    </row>
    <row r="53" spans="5:9" x14ac:dyDescent="0.3">
      <c r="E53" s="27">
        <v>45896</v>
      </c>
      <c r="F53" s="14">
        <v>133</v>
      </c>
      <c r="G53" s="14">
        <v>93100</v>
      </c>
      <c r="H53" s="14">
        <v>75000</v>
      </c>
      <c r="I53" s="14">
        <v>18100</v>
      </c>
    </row>
    <row r="54" spans="5:9" x14ac:dyDescent="0.3">
      <c r="E54" s="49">
        <v>5946</v>
      </c>
      <c r="F54" s="14">
        <v>133</v>
      </c>
      <c r="G54" s="14">
        <v>93100</v>
      </c>
      <c r="H54" s="14">
        <v>75000</v>
      </c>
      <c r="I54" s="14">
        <v>18100</v>
      </c>
    </row>
    <row r="55" spans="5:9" x14ac:dyDescent="0.3">
      <c r="E55" s="27">
        <v>45899</v>
      </c>
      <c r="F55" s="14"/>
      <c r="G55" s="14">
        <v>0</v>
      </c>
      <c r="H55" s="14">
        <v>40000</v>
      </c>
      <c r="I55" s="14">
        <v>-40000</v>
      </c>
    </row>
    <row r="56" spans="5:9" x14ac:dyDescent="0.3">
      <c r="E56" s="49" t="s">
        <v>112</v>
      </c>
      <c r="F56" s="14"/>
      <c r="G56" s="14">
        <v>0</v>
      </c>
      <c r="H56" s="14">
        <v>40000</v>
      </c>
      <c r="I56" s="14">
        <v>-40000</v>
      </c>
    </row>
    <row r="57" spans="5:9" x14ac:dyDescent="0.3">
      <c r="E57" s="27">
        <v>45903</v>
      </c>
      <c r="F57" s="14"/>
      <c r="G57" s="14">
        <v>0</v>
      </c>
      <c r="H57" s="14">
        <v>30000</v>
      </c>
      <c r="I57" s="14">
        <v>-30000</v>
      </c>
    </row>
    <row r="58" spans="5:9" x14ac:dyDescent="0.3">
      <c r="E58" s="49" t="s">
        <v>112</v>
      </c>
      <c r="F58" s="14"/>
      <c r="G58" s="14">
        <v>0</v>
      </c>
      <c r="H58" s="14">
        <v>30000</v>
      </c>
      <c r="I58" s="14">
        <v>-30000</v>
      </c>
    </row>
    <row r="59" spans="5:9" x14ac:dyDescent="0.3">
      <c r="E59" s="27" t="s">
        <v>28</v>
      </c>
      <c r="F59" s="14">
        <v>262</v>
      </c>
      <c r="G59" s="14">
        <v>183400</v>
      </c>
      <c r="H59" s="14">
        <v>145000</v>
      </c>
      <c r="I59" s="14">
        <v>11000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06"/>
  <sheetViews>
    <sheetView topLeftCell="A294" zoomScale="132" workbookViewId="0">
      <selection activeCell="A306" sqref="A30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x14ac:dyDescent="0.3">
      <c r="A2" s="94">
        <v>45886</v>
      </c>
      <c r="B2" s="89" t="s">
        <v>122</v>
      </c>
      <c r="C2" s="11"/>
      <c r="D2" s="95">
        <f>[1]Cashbook!$R$10</f>
        <v>-145318</v>
      </c>
      <c r="E2" s="89"/>
      <c r="F2" s="96" t="s">
        <v>117</v>
      </c>
    </row>
    <row r="3" spans="1:16" x14ac:dyDescent="0.3">
      <c r="A3" s="94">
        <v>45886</v>
      </c>
      <c r="B3" s="89" t="s">
        <v>122</v>
      </c>
      <c r="C3" s="11"/>
      <c r="D3" s="95">
        <f>[1]Cashbook!$R$11</f>
        <v>-716401</v>
      </c>
      <c r="E3" s="89"/>
      <c r="F3" s="96" t="s">
        <v>118</v>
      </c>
      <c r="J3" s="55" t="s">
        <v>47</v>
      </c>
      <c r="K3" s="40" t="s">
        <v>48</v>
      </c>
      <c r="M3" s="55" t="s">
        <v>47</v>
      </c>
      <c r="N3" s="58" t="s">
        <v>113</v>
      </c>
      <c r="O3" s="99" t="s">
        <v>114</v>
      </c>
      <c r="P3" t="s">
        <v>115</v>
      </c>
    </row>
    <row r="4" spans="1:16" x14ac:dyDescent="0.3">
      <c r="A4" s="1">
        <v>45886</v>
      </c>
      <c r="B4" t="s">
        <v>21</v>
      </c>
      <c r="C4" s="11"/>
      <c r="D4" s="11">
        <v>26650</v>
      </c>
      <c r="E4" t="s">
        <v>123</v>
      </c>
      <c r="F4" s="52" t="s">
        <v>117</v>
      </c>
      <c r="J4" s="53" t="s">
        <v>73</v>
      </c>
      <c r="K4" s="54">
        <f>Table14[[#Totals],[Debit]]</f>
        <v>7133346</v>
      </c>
      <c r="M4" s="53" t="s">
        <v>116</v>
      </c>
      <c r="N4" s="59">
        <f>SUMIFS(Table14[Withdrawal],Table14[Party],"Cash",Table14[Mode],"Transfer")</f>
        <v>420000</v>
      </c>
    </row>
    <row r="5" spans="1:16" x14ac:dyDescent="0.3">
      <c r="A5" s="43">
        <v>45886</v>
      </c>
      <c r="B5" t="s">
        <v>102</v>
      </c>
      <c r="C5" s="47">
        <v>26650</v>
      </c>
      <c r="D5" s="47"/>
      <c r="E5" t="s">
        <v>124</v>
      </c>
      <c r="F5" s="52" t="s">
        <v>117</v>
      </c>
      <c r="J5" s="53" t="s">
        <v>72</v>
      </c>
      <c r="K5" s="54">
        <f>Table14[[#Totals],[Credit]]</f>
        <v>7625247</v>
      </c>
      <c r="M5" s="53" t="s">
        <v>117</v>
      </c>
      <c r="N5" s="54">
        <f>(SUMIFS(Table14[Credit],Table14[Mode],"Bank")-SUMIFS(Table14[Debit],Table14[Mode],"Bank")-SUMIFS(Table14[Withdrawal],Table14[Mode],"Transfer"))</f>
        <v>488614</v>
      </c>
      <c r="O5">
        <v>320</v>
      </c>
    </row>
    <row r="6" spans="1:16" x14ac:dyDescent="0.3">
      <c r="A6" s="97">
        <v>45887</v>
      </c>
      <c r="B6" t="s">
        <v>125</v>
      </c>
      <c r="C6" s="11"/>
      <c r="D6" s="11">
        <v>17500</v>
      </c>
      <c r="E6" t="s">
        <v>126</v>
      </c>
      <c r="F6" s="52" t="s">
        <v>117</v>
      </c>
      <c r="J6" s="60" t="s">
        <v>45</v>
      </c>
      <c r="K6" s="61">
        <f>(K5-K4)</f>
        <v>491901</v>
      </c>
      <c r="M6" s="53" t="s">
        <v>118</v>
      </c>
      <c r="N6" s="54">
        <f>((SUMIFS(Table14[Credit],Table14[Mode],"Cash")-SUMIFS(Table14[Debit],Table14[Mode],"Cash"))+SUMIFS(Table14[Withdrawal],Table14[Party],"Cash",Table14[Mode],"Transfer"))</f>
        <v>3287</v>
      </c>
      <c r="O6">
        <v>1520</v>
      </c>
    </row>
    <row r="7" spans="1:16" x14ac:dyDescent="0.3">
      <c r="A7" s="97">
        <v>45887</v>
      </c>
      <c r="B7" t="s">
        <v>57</v>
      </c>
      <c r="C7" s="11">
        <v>4500</v>
      </c>
      <c r="D7" s="11"/>
      <c r="E7" t="s">
        <v>127</v>
      </c>
      <c r="F7" s="52" t="s">
        <v>117</v>
      </c>
      <c r="M7" s="56" t="s">
        <v>5</v>
      </c>
      <c r="N7" s="57">
        <f>SUM(N5:N6)</f>
        <v>491901</v>
      </c>
      <c r="O7" s="100">
        <f>SUM(O5,O6)</f>
        <v>1840</v>
      </c>
      <c r="P7" s="14">
        <f>Table18[[#Totals],[amount]]-Table18[[#Totals],[Actual]]</f>
        <v>490061</v>
      </c>
    </row>
    <row r="8" spans="1:16" x14ac:dyDescent="0.3">
      <c r="A8" s="97">
        <v>45887</v>
      </c>
      <c r="B8" t="s">
        <v>21</v>
      </c>
      <c r="C8" s="11"/>
      <c r="D8" s="11">
        <v>400000</v>
      </c>
      <c r="E8" t="s">
        <v>87</v>
      </c>
      <c r="F8" s="52" t="s">
        <v>117</v>
      </c>
    </row>
    <row r="9" spans="1:16" x14ac:dyDescent="0.3">
      <c r="A9" s="97">
        <v>45887</v>
      </c>
      <c r="B9" t="s">
        <v>102</v>
      </c>
      <c r="C9" s="11">
        <v>300000</v>
      </c>
      <c r="D9" s="11"/>
      <c r="E9" t="s">
        <v>128</v>
      </c>
      <c r="F9" s="52" t="s">
        <v>117</v>
      </c>
    </row>
    <row r="10" spans="1:16" x14ac:dyDescent="0.3">
      <c r="A10" s="97">
        <v>45887</v>
      </c>
      <c r="B10" t="s">
        <v>57</v>
      </c>
      <c r="C10" s="11">
        <v>1100</v>
      </c>
      <c r="D10" s="11"/>
      <c r="E10" t="s">
        <v>129</v>
      </c>
      <c r="F10" s="52" t="s">
        <v>118</v>
      </c>
    </row>
    <row r="11" spans="1:16" x14ac:dyDescent="0.3">
      <c r="A11" s="97">
        <v>45887</v>
      </c>
      <c r="B11" t="s">
        <v>56</v>
      </c>
      <c r="C11" s="11">
        <v>1000</v>
      </c>
      <c r="D11" s="11"/>
      <c r="E11" t="s">
        <v>130</v>
      </c>
      <c r="F11" s="52" t="s">
        <v>118</v>
      </c>
    </row>
    <row r="12" spans="1:16" x14ac:dyDescent="0.3">
      <c r="A12" s="97">
        <v>45887</v>
      </c>
      <c r="B12" t="s">
        <v>52</v>
      </c>
      <c r="C12" s="11">
        <v>260</v>
      </c>
      <c r="D12" s="11"/>
      <c r="E12" t="s">
        <v>131</v>
      </c>
      <c r="F12" s="52" t="s">
        <v>118</v>
      </c>
    </row>
    <row r="13" spans="1:16" x14ac:dyDescent="0.3">
      <c r="A13" s="97">
        <v>45887</v>
      </c>
      <c r="B13" t="s">
        <v>56</v>
      </c>
      <c r="C13" s="47">
        <v>4869</v>
      </c>
      <c r="D13" s="47"/>
      <c r="E13" t="s">
        <v>132</v>
      </c>
      <c r="F13" s="52" t="s">
        <v>117</v>
      </c>
    </row>
    <row r="14" spans="1:16" x14ac:dyDescent="0.3">
      <c r="A14" s="43">
        <v>45887</v>
      </c>
      <c r="B14" t="s">
        <v>25</v>
      </c>
      <c r="C14" s="47"/>
      <c r="D14" s="47">
        <v>100000</v>
      </c>
      <c r="E14" t="s">
        <v>133</v>
      </c>
      <c r="F14" s="52" t="s">
        <v>117</v>
      </c>
    </row>
    <row r="15" spans="1:16" x14ac:dyDescent="0.3">
      <c r="A15" s="97">
        <v>45887</v>
      </c>
      <c r="B15" t="s">
        <v>25</v>
      </c>
      <c r="C15" s="47"/>
      <c r="D15" s="47">
        <v>140000</v>
      </c>
      <c r="E15" t="s">
        <v>87</v>
      </c>
      <c r="F15" s="52" t="s">
        <v>117</v>
      </c>
    </row>
    <row r="16" spans="1:16"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171000</v>
      </c>
    </row>
    <row r="165" spans="1:12" x14ac:dyDescent="0.3">
      <c r="A165" s="97">
        <v>45896</v>
      </c>
      <c r="B165" t="s">
        <v>56</v>
      </c>
      <c r="C165" s="11">
        <v>5070</v>
      </c>
      <c r="D165" s="11"/>
      <c r="F165" s="52" t="s">
        <v>117</v>
      </c>
      <c r="J165" s="4" t="s">
        <v>9</v>
      </c>
      <c r="K165" s="14">
        <v>554210</v>
      </c>
      <c r="L165" s="14"/>
    </row>
    <row r="166" spans="1:12" x14ac:dyDescent="0.3">
      <c r="A166" s="97">
        <v>45896</v>
      </c>
      <c r="B166" t="s">
        <v>9</v>
      </c>
      <c r="C166" s="11"/>
      <c r="D166" s="11">
        <v>75000</v>
      </c>
      <c r="E166" t="s">
        <v>87</v>
      </c>
      <c r="F166" s="52" t="s">
        <v>117</v>
      </c>
      <c r="J166" s="4" t="s">
        <v>21</v>
      </c>
      <c r="K166" s="14">
        <v>2478162</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72100</v>
      </c>
    </row>
    <row r="169" spans="1:12" x14ac:dyDescent="0.3">
      <c r="A169" s="97">
        <v>45896</v>
      </c>
      <c r="B169" t="s">
        <v>141</v>
      </c>
      <c r="C169" s="11">
        <v>6000</v>
      </c>
      <c r="D169" s="11"/>
      <c r="E169" t="s">
        <v>235</v>
      </c>
      <c r="F169" s="52" t="s">
        <v>117</v>
      </c>
      <c r="J169" s="4" t="s">
        <v>168</v>
      </c>
      <c r="K169" s="14"/>
      <c r="L169" s="14">
        <v>408450</v>
      </c>
    </row>
    <row r="170" spans="1:12" x14ac:dyDescent="0.3">
      <c r="A170" s="97">
        <v>45896</v>
      </c>
      <c r="B170" t="s">
        <v>152</v>
      </c>
      <c r="C170" s="11">
        <v>8000</v>
      </c>
      <c r="D170" s="11"/>
      <c r="E170" t="s">
        <v>241</v>
      </c>
      <c r="F170" s="52" t="s">
        <v>117</v>
      </c>
      <c r="J170" s="4" t="s">
        <v>102</v>
      </c>
      <c r="K170" s="14"/>
      <c r="L170" s="14">
        <v>3594950</v>
      </c>
    </row>
    <row r="171" spans="1:12" x14ac:dyDescent="0.3">
      <c r="A171" s="97">
        <v>45896</v>
      </c>
      <c r="B171" t="s">
        <v>52</v>
      </c>
      <c r="C171" s="11">
        <v>500</v>
      </c>
      <c r="D171" s="11"/>
      <c r="E171" t="s">
        <v>185</v>
      </c>
      <c r="F171" s="52" t="s">
        <v>118</v>
      </c>
      <c r="J171" s="4" t="s">
        <v>52</v>
      </c>
      <c r="K171" s="14"/>
      <c r="L171" s="14">
        <v>57465</v>
      </c>
    </row>
    <row r="172" spans="1:12" x14ac:dyDescent="0.3">
      <c r="A172" s="97">
        <v>45896</v>
      </c>
      <c r="B172" t="s">
        <v>137</v>
      </c>
      <c r="C172" s="47">
        <v>3690</v>
      </c>
      <c r="D172" s="47"/>
      <c r="E172" t="s">
        <v>242</v>
      </c>
      <c r="F172" s="52" t="s">
        <v>117</v>
      </c>
      <c r="J172" s="4" t="s">
        <v>57</v>
      </c>
      <c r="K172" s="14"/>
      <c r="L172" s="14">
        <v>512987</v>
      </c>
    </row>
    <row r="173" spans="1:12" x14ac:dyDescent="0.3">
      <c r="A173" s="97">
        <v>45897</v>
      </c>
      <c r="B173" t="s">
        <v>118</v>
      </c>
      <c r="C173" s="11"/>
      <c r="D173" s="11"/>
      <c r="F173" s="52" t="s">
        <v>159</v>
      </c>
      <c r="G173">
        <v>60000</v>
      </c>
      <c r="J173" s="4" t="s">
        <v>137</v>
      </c>
      <c r="K173" s="14"/>
      <c r="L173" s="14">
        <v>67689</v>
      </c>
    </row>
    <row r="174" spans="1:12" x14ac:dyDescent="0.3">
      <c r="A174" s="97">
        <v>45897</v>
      </c>
      <c r="B174" t="s">
        <v>21</v>
      </c>
      <c r="C174" s="11"/>
      <c r="D174" s="11">
        <v>350000</v>
      </c>
      <c r="E174" t="s">
        <v>87</v>
      </c>
      <c r="F174" s="52" t="s">
        <v>117</v>
      </c>
      <c r="J174" s="4" t="s">
        <v>23</v>
      </c>
      <c r="K174" s="14">
        <v>250000</v>
      </c>
      <c r="L174" s="14"/>
    </row>
    <row r="175" spans="1:12" x14ac:dyDescent="0.3">
      <c r="A175" s="97">
        <v>45897</v>
      </c>
      <c r="B175" t="s">
        <v>102</v>
      </c>
      <c r="C175" s="11">
        <v>302000</v>
      </c>
      <c r="D175" s="11"/>
      <c r="E175" t="s">
        <v>128</v>
      </c>
      <c r="F175" s="52" t="s">
        <v>117</v>
      </c>
      <c r="J175" s="4" t="s">
        <v>56</v>
      </c>
      <c r="K175" s="14"/>
      <c r="L175" s="14">
        <v>115455</v>
      </c>
    </row>
    <row r="176" spans="1:12" x14ac:dyDescent="0.3">
      <c r="A176" s="97">
        <v>45897</v>
      </c>
      <c r="B176" t="s">
        <v>102</v>
      </c>
      <c r="C176" s="11">
        <v>43250</v>
      </c>
      <c r="D176" s="11"/>
      <c r="E176" t="s">
        <v>244</v>
      </c>
      <c r="F176" s="52" t="s">
        <v>118</v>
      </c>
      <c r="J176" s="4" t="s">
        <v>153</v>
      </c>
      <c r="K176" s="14"/>
      <c r="L176" s="14">
        <v>60000</v>
      </c>
    </row>
    <row r="177" spans="1:12" x14ac:dyDescent="0.3">
      <c r="A177" s="97">
        <v>45897</v>
      </c>
      <c r="B177" t="s">
        <v>52</v>
      </c>
      <c r="C177" s="11">
        <v>1000</v>
      </c>
      <c r="D177" s="11"/>
      <c r="E177" t="s">
        <v>245</v>
      </c>
      <c r="F177" s="52" t="s">
        <v>118</v>
      </c>
      <c r="J177" s="4" t="s">
        <v>104</v>
      </c>
      <c r="K177" s="14"/>
      <c r="L177" s="14">
        <v>145000</v>
      </c>
    </row>
    <row r="178" spans="1:12" x14ac:dyDescent="0.3">
      <c r="A178" s="97">
        <v>45897</v>
      </c>
      <c r="B178" t="s">
        <v>21</v>
      </c>
      <c r="C178" s="47"/>
      <c r="D178" s="47">
        <v>1000</v>
      </c>
      <c r="E178" t="s">
        <v>142</v>
      </c>
      <c r="F178" s="52" t="s">
        <v>117</v>
      </c>
      <c r="J178" s="4" t="s">
        <v>141</v>
      </c>
      <c r="K178" s="14">
        <v>21826</v>
      </c>
      <c r="L178" s="14">
        <v>27654</v>
      </c>
    </row>
    <row r="179" spans="1:12" x14ac:dyDescent="0.3">
      <c r="A179" s="43">
        <v>45897</v>
      </c>
      <c r="B179" t="s">
        <v>56</v>
      </c>
      <c r="C179" s="47">
        <v>1000</v>
      </c>
      <c r="D179" s="47"/>
      <c r="E179" t="s">
        <v>142</v>
      </c>
      <c r="F179" s="52" t="s">
        <v>117</v>
      </c>
      <c r="J179" s="4" t="s">
        <v>177</v>
      </c>
      <c r="K179" s="14">
        <v>4600</v>
      </c>
      <c r="L179" s="14">
        <v>4600</v>
      </c>
    </row>
    <row r="180" spans="1:12" x14ac:dyDescent="0.3">
      <c r="A180" s="43">
        <v>45897</v>
      </c>
      <c r="B180" t="s">
        <v>152</v>
      </c>
      <c r="C180" s="47">
        <v>18000</v>
      </c>
      <c r="D180" s="47"/>
      <c r="E180" t="s">
        <v>173</v>
      </c>
      <c r="F180" s="52" t="s">
        <v>117</v>
      </c>
      <c r="J180" s="4" t="s">
        <v>125</v>
      </c>
      <c r="K180" s="14">
        <v>129420</v>
      </c>
      <c r="L180" s="14">
        <v>118586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112</v>
      </c>
      <c r="K182" s="14"/>
      <c r="L182" s="14"/>
    </row>
    <row r="183" spans="1:12" x14ac:dyDescent="0.3">
      <c r="A183" s="43">
        <v>45898</v>
      </c>
      <c r="B183" t="s">
        <v>56</v>
      </c>
      <c r="C183" s="11">
        <v>5316</v>
      </c>
      <c r="D183" s="11"/>
      <c r="E183" t="s">
        <v>229</v>
      </c>
      <c r="F183" s="52" t="s">
        <v>117</v>
      </c>
      <c r="J183" s="4" t="s">
        <v>25</v>
      </c>
      <c r="K183" s="14">
        <v>1500000</v>
      </c>
      <c r="L183" s="14"/>
    </row>
    <row r="184" spans="1:12" x14ac:dyDescent="0.3">
      <c r="A184" s="97">
        <v>45898</v>
      </c>
      <c r="B184" t="s">
        <v>21</v>
      </c>
      <c r="C184" s="47"/>
      <c r="D184" s="47">
        <v>1600</v>
      </c>
      <c r="F184" s="52" t="s">
        <v>117</v>
      </c>
      <c r="J184" s="4" t="s">
        <v>24</v>
      </c>
      <c r="K184" s="14">
        <v>2279100</v>
      </c>
      <c r="L184" s="14"/>
    </row>
    <row r="185" spans="1:12" x14ac:dyDescent="0.3">
      <c r="A185" s="43">
        <v>45898</v>
      </c>
      <c r="B185" t="s">
        <v>56</v>
      </c>
      <c r="C185" s="11">
        <v>1600</v>
      </c>
      <c r="D185" s="11"/>
      <c r="E185" t="s">
        <v>175</v>
      </c>
      <c r="F185" s="52" t="s">
        <v>117</v>
      </c>
      <c r="J185" s="4" t="s">
        <v>122</v>
      </c>
      <c r="K185" s="14">
        <v>-861719</v>
      </c>
      <c r="L185" s="14"/>
    </row>
    <row r="186" spans="1:12" x14ac:dyDescent="0.3">
      <c r="A186" s="97">
        <v>45898</v>
      </c>
      <c r="B186" t="s">
        <v>57</v>
      </c>
      <c r="C186" s="11">
        <f>10310+3600</f>
        <v>13910</v>
      </c>
      <c r="D186" s="11"/>
      <c r="E186" t="s">
        <v>246</v>
      </c>
      <c r="F186" s="52" t="s">
        <v>117</v>
      </c>
      <c r="J186" s="4" t="s">
        <v>143</v>
      </c>
      <c r="K186" s="14"/>
      <c r="L186" s="14">
        <v>567500</v>
      </c>
    </row>
    <row r="187" spans="1:12" x14ac:dyDescent="0.3">
      <c r="A187" s="43">
        <v>45898</v>
      </c>
      <c r="B187" t="s">
        <v>57</v>
      </c>
      <c r="C187" s="11">
        <v>6000</v>
      </c>
      <c r="D187" s="11"/>
      <c r="E187" t="s">
        <v>247</v>
      </c>
      <c r="F187" s="52" t="s">
        <v>117</v>
      </c>
      <c r="J187" s="4" t="s">
        <v>145</v>
      </c>
      <c r="K187" s="14">
        <v>200000</v>
      </c>
      <c r="L187" s="14"/>
    </row>
    <row r="188" spans="1:12" x14ac:dyDescent="0.3">
      <c r="A188" s="97">
        <v>45898</v>
      </c>
      <c r="B188" t="s">
        <v>57</v>
      </c>
      <c r="C188" s="11">
        <v>30000</v>
      </c>
      <c r="D188" s="11"/>
      <c r="E188" t="s">
        <v>248</v>
      </c>
      <c r="F188" s="52" t="s">
        <v>117</v>
      </c>
      <c r="J188" s="4" t="s">
        <v>160</v>
      </c>
      <c r="K188" s="14"/>
      <c r="L188" s="14">
        <v>8218</v>
      </c>
    </row>
    <row r="189" spans="1:12" x14ac:dyDescent="0.3">
      <c r="A189" s="97">
        <v>45898</v>
      </c>
      <c r="B189" t="s">
        <v>137</v>
      </c>
      <c r="C189" s="11">
        <v>4380</v>
      </c>
      <c r="D189" s="11"/>
      <c r="F189" s="52" t="s">
        <v>117</v>
      </c>
      <c r="J189" s="4" t="s">
        <v>163</v>
      </c>
      <c r="K189" s="14"/>
      <c r="L189" s="14">
        <v>827438</v>
      </c>
    </row>
    <row r="190" spans="1:12" x14ac:dyDescent="0.3">
      <c r="A190" s="43">
        <v>45898</v>
      </c>
      <c r="B190" t="s">
        <v>52</v>
      </c>
      <c r="C190" s="11">
        <v>1500</v>
      </c>
      <c r="D190" s="11"/>
      <c r="E190" t="s">
        <v>249</v>
      </c>
      <c r="F190" s="52" t="s">
        <v>117</v>
      </c>
      <c r="J190" s="4" t="s">
        <v>180</v>
      </c>
      <c r="K190" s="14"/>
      <c r="L190" s="14">
        <v>100000</v>
      </c>
    </row>
    <row r="191" spans="1:12" x14ac:dyDescent="0.3">
      <c r="A191" s="97">
        <v>45898</v>
      </c>
      <c r="B191" t="s">
        <v>56</v>
      </c>
      <c r="C191" s="11">
        <v>1000</v>
      </c>
      <c r="D191" s="11"/>
      <c r="E191" t="s">
        <v>130</v>
      </c>
      <c r="F191" s="52" t="s">
        <v>117</v>
      </c>
      <c r="J191" s="4" t="s">
        <v>37</v>
      </c>
      <c r="K191" s="14">
        <v>199150</v>
      </c>
      <c r="L191" s="14"/>
    </row>
    <row r="192" spans="1:12" x14ac:dyDescent="0.3">
      <c r="A192" s="97">
        <v>45898</v>
      </c>
      <c r="B192" t="s">
        <v>56</v>
      </c>
      <c r="C192" s="11">
        <v>5500</v>
      </c>
      <c r="D192" s="11"/>
      <c r="E192" t="s">
        <v>132</v>
      </c>
      <c r="F192" s="52" t="s">
        <v>117</v>
      </c>
      <c r="J192" s="4" t="s">
        <v>194</v>
      </c>
      <c r="K192" s="14"/>
      <c r="L192" s="14">
        <v>201800</v>
      </c>
    </row>
    <row r="193" spans="1:12" x14ac:dyDescent="0.3">
      <c r="A193" s="97">
        <v>45899</v>
      </c>
      <c r="B193" t="s">
        <v>24</v>
      </c>
      <c r="C193" s="11"/>
      <c r="D193" s="11">
        <v>163600</v>
      </c>
      <c r="E193" t="s">
        <v>87</v>
      </c>
      <c r="F193" s="52" t="s">
        <v>117</v>
      </c>
      <c r="J193" s="4" t="s">
        <v>250</v>
      </c>
      <c r="K193" s="14">
        <v>200000</v>
      </c>
      <c r="L193" s="14"/>
    </row>
    <row r="194" spans="1:12" x14ac:dyDescent="0.3">
      <c r="A194" s="97">
        <v>45899</v>
      </c>
      <c r="B194" t="s">
        <v>250</v>
      </c>
      <c r="C194" s="11"/>
      <c r="D194" s="11">
        <v>200000</v>
      </c>
      <c r="E194" t="s">
        <v>87</v>
      </c>
      <c r="F194" s="52" t="s">
        <v>117</v>
      </c>
      <c r="J194" s="4" t="s">
        <v>295</v>
      </c>
      <c r="K194" s="14"/>
      <c r="L194" s="14">
        <v>51330</v>
      </c>
    </row>
    <row r="195" spans="1:12" x14ac:dyDescent="0.3">
      <c r="A195" s="97">
        <v>45899</v>
      </c>
      <c r="B195" t="s">
        <v>102</v>
      </c>
      <c r="C195" s="11">
        <v>300250</v>
      </c>
      <c r="D195" s="11"/>
      <c r="E195" t="s">
        <v>49</v>
      </c>
      <c r="F195" s="52" t="s">
        <v>117</v>
      </c>
      <c r="J195" s="4" t="s">
        <v>28</v>
      </c>
      <c r="K195" s="14">
        <v>7367103</v>
      </c>
      <c r="L195" s="14">
        <v>7112222</v>
      </c>
    </row>
    <row r="196" spans="1:12" x14ac:dyDescent="0.3">
      <c r="A196" s="97">
        <v>45899</v>
      </c>
      <c r="B196" t="s">
        <v>57</v>
      </c>
      <c r="C196" s="11">
        <v>8218</v>
      </c>
      <c r="D196" s="11"/>
      <c r="E196" t="s">
        <v>160</v>
      </c>
      <c r="F196" s="52" t="s">
        <v>117</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117</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6" x14ac:dyDescent="0.3">
      <c r="A305" s="43"/>
      <c r="C305" s="47"/>
      <c r="D305" s="47"/>
      <c r="F305" s="52"/>
    </row>
    <row r="306" spans="1:6" x14ac:dyDescent="0.3">
      <c r="A306" s="43"/>
      <c r="C306" s="14">
        <f>SUBTOTAL(109,Table14[Debit])</f>
        <v>7133346</v>
      </c>
      <c r="D306" s="14">
        <f>SUBTOTAL(109,Table14[Credit])</f>
        <v>7625247</v>
      </c>
      <c r="F306" s="62">
        <f>(Table14[[#Totals],[Credit]]-Table14[[#Totals],[Debit]])</f>
        <v>491901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93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v>60100</v>
      </c>
      <c r="M10">
        <v>-567500</v>
      </c>
    </row>
    <row r="11" spans="1:14" x14ac:dyDescent="0.3">
      <c r="A11" s="1">
        <v>45889</v>
      </c>
      <c r="B11" t="s">
        <v>210</v>
      </c>
      <c r="C11">
        <v>2</v>
      </c>
      <c r="D11">
        <v>1130</v>
      </c>
      <c r="E11">
        <f>Table8[[#This Row],[Boxes]]*Table8[[#This Row],[Rate]]*25</f>
        <v>56500</v>
      </c>
      <c r="F11" t="s">
        <v>143</v>
      </c>
      <c r="H11">
        <f>Table8[[#This Row],[Price]]-Table8[[#This Row],[Paid]]</f>
        <v>56500</v>
      </c>
      <c r="K11" s="27">
        <v>45889</v>
      </c>
      <c r="L11">
        <v>659500</v>
      </c>
      <c r="M11">
        <v>659500</v>
      </c>
    </row>
    <row r="12" spans="1:14" x14ac:dyDescent="0.3">
      <c r="A12" s="1">
        <v>45889</v>
      </c>
      <c r="B12" t="s">
        <v>211</v>
      </c>
      <c r="C12">
        <v>2</v>
      </c>
      <c r="D12">
        <v>1650</v>
      </c>
      <c r="E12">
        <f>Table8[[#This Row],[Boxes]]*Table8[[#This Row],[Rate]]*25</f>
        <v>82500</v>
      </c>
      <c r="F12" t="s">
        <v>143</v>
      </c>
      <c r="H12">
        <f>Table8[[#This Row],[Price]]-Table8[[#This Row],[Paid]]</f>
        <v>82500</v>
      </c>
      <c r="K12" s="27">
        <v>45892</v>
      </c>
      <c r="L12">
        <v>166500</v>
      </c>
      <c r="M12">
        <v>154500</v>
      </c>
    </row>
    <row r="13" spans="1:14" x14ac:dyDescent="0.3">
      <c r="A13" s="1">
        <v>45889</v>
      </c>
      <c r="B13" t="s">
        <v>212</v>
      </c>
      <c r="C13">
        <v>1</v>
      </c>
      <c r="D13">
        <v>1400</v>
      </c>
      <c r="E13">
        <f>Table8[[#This Row],[Boxes]]*Table8[[#This Row],[Rate]]*25</f>
        <v>35000</v>
      </c>
      <c r="F13" t="s">
        <v>143</v>
      </c>
      <c r="H13">
        <f>Table8[[#This Row],[Price]]-Table8[[#This Row],[Paid]]</f>
        <v>35000</v>
      </c>
      <c r="K13" s="27">
        <v>45885</v>
      </c>
      <c r="L13">
        <v>114250</v>
      </c>
      <c r="M13">
        <v>567500</v>
      </c>
    </row>
    <row r="14" spans="1:14" x14ac:dyDescent="0.3">
      <c r="A14" s="1">
        <v>45889</v>
      </c>
      <c r="B14" t="s">
        <v>213</v>
      </c>
      <c r="C14">
        <v>1</v>
      </c>
      <c r="D14">
        <v>1450</v>
      </c>
      <c r="E14">
        <f>Table8[[#This Row],[Boxes]]*Table8[[#This Row],[Rate]]*25</f>
        <v>36250</v>
      </c>
      <c r="F14" t="s">
        <v>143</v>
      </c>
      <c r="H14">
        <f>Table8[[#This Row],[Price]]-Table8[[#This Row],[Paid]]</f>
        <v>36250</v>
      </c>
      <c r="K14" s="4" t="s">
        <v>28</v>
      </c>
      <c r="L14">
        <v>1000350</v>
      </c>
      <c r="M14">
        <v>814000</v>
      </c>
    </row>
    <row r="15" spans="1:14" x14ac:dyDescent="0.3">
      <c r="A15" s="1">
        <v>45889</v>
      </c>
      <c r="B15" t="s">
        <v>214</v>
      </c>
      <c r="C15">
        <v>1</v>
      </c>
      <c r="D15">
        <v>1650</v>
      </c>
      <c r="E15">
        <f>Table8[[#This Row],[Boxes]]*Table8[[#This Row],[Rate]]*25</f>
        <v>41250</v>
      </c>
      <c r="F15" t="s">
        <v>143</v>
      </c>
      <c r="H15">
        <f>Table8[[#This Row],[Price]]-Table8[[#This Row],[Paid]]</f>
        <v>41250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8" x14ac:dyDescent="0.3">
      <c r="A17" s="1">
        <v>45892</v>
      </c>
      <c r="B17" t="s">
        <v>238</v>
      </c>
      <c r="C17">
        <v>3</v>
      </c>
      <c r="D17">
        <v>1300</v>
      </c>
      <c r="E17">
        <f>Table8[[#This Row],[Boxes]]*Table8[[#This Row],[Rate]]*25</f>
        <v>97500</v>
      </c>
      <c r="F17" t="s">
        <v>143</v>
      </c>
      <c r="H17">
        <f>Table8[[#This Row],[Price]]-Table8[[#This Row],[Paid]]</f>
        <v>97500</v>
      </c>
    </row>
    <row r="18" spans="1:8" x14ac:dyDescent="0.3">
      <c r="A18" s="1">
        <v>45892</v>
      </c>
      <c r="B18" t="s">
        <v>239</v>
      </c>
      <c r="C18">
        <v>2</v>
      </c>
      <c r="D18">
        <v>1140</v>
      </c>
      <c r="E18">
        <f>Table8[[#This Row],[Boxes]]*Table8[[#This Row],[Rate]]*25</f>
        <v>57000</v>
      </c>
      <c r="F18" t="s">
        <v>143</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J61" sqref="J61"/>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112</v>
      </c>
      <c r="L5">
        <v>0</v>
      </c>
      <c r="M5">
        <v>0</v>
      </c>
    </row>
    <row r="6" spans="1:13" x14ac:dyDescent="0.3">
      <c r="A6" s="1">
        <v>45885</v>
      </c>
      <c r="B6" s="1" t="s">
        <v>105</v>
      </c>
      <c r="C6" t="s">
        <v>63</v>
      </c>
      <c r="D6">
        <v>10</v>
      </c>
      <c r="F6">
        <v>69950</v>
      </c>
      <c r="G6">
        <v>69950</v>
      </c>
      <c r="H6">
        <f>Table2[[#This Row],[Price]]-Table2[[#This Row],[Paid]]</f>
        <v>0</v>
      </c>
      <c r="J6" s="4" t="s">
        <v>153</v>
      </c>
      <c r="L6">
        <v>60000</v>
      </c>
      <c r="M6">
        <v>35000</v>
      </c>
    </row>
    <row r="7" spans="1:13" x14ac:dyDescent="0.3">
      <c r="A7" s="1">
        <v>45889</v>
      </c>
      <c r="B7" s="1" t="s">
        <v>153</v>
      </c>
      <c r="G7">
        <f>SUMIFS(Table14[Debit], Table14[Date], Table2[[#This Row],[Date]], Table14[Party], Table2[[#This Row],[Party Name]])</f>
        <v>60000</v>
      </c>
      <c r="H7">
        <f>Table2[[#This Row],[Price]]-Table2[[#This Row],[Paid]]</f>
        <v>-60000</v>
      </c>
      <c r="J7" s="4" t="s">
        <v>105</v>
      </c>
      <c r="K7">
        <v>123050</v>
      </c>
      <c r="L7">
        <v>123050</v>
      </c>
      <c r="M7">
        <v>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168</v>
      </c>
      <c r="K8">
        <v>355350</v>
      </c>
      <c r="L8">
        <v>355350</v>
      </c>
      <c r="M8">
        <v>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c r="J9" s="4" t="s">
        <v>28</v>
      </c>
      <c r="K9">
        <v>478400</v>
      </c>
      <c r="L9">
        <v>538400</v>
      </c>
      <c r="M9">
        <v>35000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c r="B12" s="1"/>
      <c r="G12">
        <f>SUMIFS(Table14[Debit], Table14[Date], Table2[[#This Row],[Date]], Table14[Party], Table2[[#This Row],[Party Name]])</f>
        <v>0</v>
      </c>
      <c r="H12">
        <f>Table2[[#This Row],[Price]]-Table2[[#This Row],[Paid]]</f>
        <v>0</v>
      </c>
    </row>
    <row r="13" spans="1:13" x14ac:dyDescent="0.3">
      <c r="A13" s="1"/>
      <c r="F13">
        <f>SUBTOTAL(109,Table2[Price])</f>
        <v>478400</v>
      </c>
      <c r="G13">
        <f>SUBTOTAL(109,Table2[Paid])</f>
        <v>538400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topLeftCell="A9" zoomScale="118" workbookViewId="0">
      <selection activeCell="J26" sqref="J26"/>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252</v>
      </c>
      <c r="H9" s="1">
        <v>45892</v>
      </c>
      <c r="I9">
        <f>SUMIFS(Table14[Debit], Table14[Date], Table16[[#This Row],[Date]], Table14[Party], "Advance Salary", Table14[Description], Table16[[#This Row],[Person]] )</f>
        <v>10000</v>
      </c>
      <c r="J9" t="s">
        <v>173</v>
      </c>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45894</v>
      </c>
      <c r="I12">
        <f>SUMIFS(Table14[Debit], Table14[Date], Table16[[#This Row],[Date]], Table14[Party], "Advance Salary", Table14[Description], Table16[[#This Row],[Person]] )</f>
        <v>0</v>
      </c>
    </row>
    <row r="13" spans="2:10" x14ac:dyDescent="0.3">
      <c r="B13" s="1">
        <v>45902</v>
      </c>
      <c r="C13" s="20">
        <f>SUMIFS(Table14[Debit], Table14[Date], Table11[[#This Row],[Date]], Table14[Party],"Salary ", Table14[Description],Table11[[#This Row],[Column1]])</f>
        <v>8400</v>
      </c>
      <c r="D13" t="s">
        <v>271</v>
      </c>
      <c r="H13" s="1">
        <v>45895</v>
      </c>
      <c r="I13">
        <f>SUMIFS(Table14[Debit], Table14[Date], Table16[[#This Row],[Date]], Table14[Party], "Advance Salary", Table14[Description], Table16[[#This Row],[Person]] )</f>
        <v>38000</v>
      </c>
      <c r="J13" t="s">
        <v>173</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234</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237</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241</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173</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251</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176</v>
      </c>
    </row>
    <row r="21" spans="2:10" x14ac:dyDescent="0.3">
      <c r="B21" s="1">
        <v>45904</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45905</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45906</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201800</v>
      </c>
      <c r="H35" s="1"/>
      <c r="I35">
        <f>SUBTOTAL(109,Table16[Advance])</f>
        <v>175000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948153</v>
      </c>
      <c r="C2" s="37">
        <f>GETPIVOTDATA("Sum of Tiyaar/gaz",$A$3)</f>
        <v>885103</v>
      </c>
      <c r="D2" s="36">
        <f>((B2*48)+((C2/1.0936)*10))/C2</f>
        <v>60.563374261210079</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5084</v>
      </c>
      <c r="D4" s="33">
        <f>I4</f>
        <v>97.383292939048275</v>
      </c>
      <c r="E4" s="11">
        <f>B4 * 1.0936</f>
        <v>10220.785599999999</v>
      </c>
      <c r="F4" s="11">
        <f t="shared" si="0"/>
        <v>5084</v>
      </c>
      <c r="G4" s="86">
        <f>100- (F4/E4 *100)</f>
        <v>50.258226725742091</v>
      </c>
      <c r="H4" s="33">
        <f>F4/1.0936</f>
        <v>4648.8661302121436</v>
      </c>
      <c r="I4" s="33">
        <f>((B4*48)+(H4*10))/C4</f>
        <v>97.383292939048275</v>
      </c>
      <c r="J4" s="33"/>
      <c r="K4" s="33"/>
      <c r="L4" s="33"/>
    </row>
    <row r="5" spans="1:12" x14ac:dyDescent="0.3">
      <c r="A5" s="16">
        <v>1624</v>
      </c>
      <c r="B5" s="14">
        <v>30782</v>
      </c>
      <c r="C5" s="14">
        <v>2242</v>
      </c>
      <c r="D5" s="33">
        <f t="shared" ref="D5:D38" si="1">I5</f>
        <v>668.16998095153576</v>
      </c>
      <c r="E5" s="11">
        <f t="shared" ref="E5:E38" si="2">B5 * 1.0936</f>
        <v>33663.195199999995</v>
      </c>
      <c r="F5" s="11">
        <f t="shared" si="0"/>
        <v>2242</v>
      </c>
      <c r="G5" s="86">
        <f>100- (F5/E5 *100)</f>
        <v>93.339907318126478</v>
      </c>
      <c r="H5" s="33">
        <f t="shared" ref="H5:H38" si="3">F5/1.0936</f>
        <v>2050.1097293343087</v>
      </c>
      <c r="I5" s="33">
        <f>((B5*48)+(H5*10))/C5</f>
        <v>668.16998095153576</v>
      </c>
      <c r="J5" s="33"/>
      <c r="K5" s="33"/>
      <c r="L5" s="33"/>
    </row>
    <row r="6" spans="1:12" x14ac:dyDescent="0.3">
      <c r="A6" s="16" t="s">
        <v>112</v>
      </c>
      <c r="B6" s="14"/>
      <c r="C6" s="14"/>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A7" s="16">
        <v>1605</v>
      </c>
      <c r="B7" s="14">
        <v>103550</v>
      </c>
      <c r="C7" s="14">
        <v>110048</v>
      </c>
      <c r="D7" s="33">
        <f t="shared" si="1"/>
        <v>54.309857048745691</v>
      </c>
      <c r="E7" s="11">
        <f t="shared" si="2"/>
        <v>113242.27999999998</v>
      </c>
      <c r="F7" s="11">
        <f t="shared" si="0"/>
        <v>110048</v>
      </c>
      <c r="G7" s="86">
        <f t="shared" si="4"/>
        <v>2.8207485755320221</v>
      </c>
      <c r="H7" s="33">
        <f t="shared" si="3"/>
        <v>100629.11485003658</v>
      </c>
      <c r="I7" s="33">
        <f>((B7*48)+(H7*10))/C7</f>
        <v>54.309857048745691</v>
      </c>
      <c r="J7" s="33"/>
      <c r="K7" s="33"/>
      <c r="L7" s="33"/>
    </row>
    <row r="8" spans="1:12" x14ac:dyDescent="0.3">
      <c r="A8" s="16">
        <v>1646</v>
      </c>
      <c r="B8" s="14">
        <v>24008</v>
      </c>
      <c r="C8" s="14">
        <v>25952</v>
      </c>
      <c r="D8" s="33">
        <f t="shared" si="1"/>
        <v>53.54855015663378</v>
      </c>
      <c r="E8" s="11">
        <f t="shared" si="2"/>
        <v>26255.148799999999</v>
      </c>
      <c r="F8" s="11">
        <f t="shared" si="0"/>
        <v>25952</v>
      </c>
      <c r="G8" s="86">
        <f t="shared" si="4"/>
        <v>1.1546260975675722</v>
      </c>
      <c r="H8" s="33">
        <f t="shared" si="3"/>
        <v>23730.797366495979</v>
      </c>
      <c r="I8" s="33">
        <f t="shared" ref="I8:I38" si="5">((B8*48)+(H8*10))/C8</f>
        <v>53.54855015663378</v>
      </c>
      <c r="J8" s="33"/>
      <c r="K8" s="33"/>
      <c r="L8" s="33"/>
    </row>
    <row r="9" spans="1:12" x14ac:dyDescent="0.3">
      <c r="A9" s="16">
        <v>1640</v>
      </c>
      <c r="B9" s="14">
        <v>50373</v>
      </c>
      <c r="C9" s="14">
        <v>54302</v>
      </c>
      <c r="D9" s="33">
        <f t="shared" si="1"/>
        <v>53.671089940872818</v>
      </c>
      <c r="E9" s="11">
        <f t="shared" si="2"/>
        <v>55087.912799999998</v>
      </c>
      <c r="F9" s="11">
        <f t="shared" si="0"/>
        <v>54302</v>
      </c>
      <c r="G9" s="86">
        <f t="shared" si="4"/>
        <v>1.4266519823564607</v>
      </c>
      <c r="H9" s="33">
        <f t="shared" si="3"/>
        <v>49654.35259692758</v>
      </c>
      <c r="I9" s="33">
        <f t="shared" si="5"/>
        <v>53.671089940872818</v>
      </c>
      <c r="J9" s="33"/>
      <c r="K9" s="33"/>
      <c r="L9" s="33"/>
    </row>
    <row r="10" spans="1:12" x14ac:dyDescent="0.3">
      <c r="A10" s="16">
        <v>1649</v>
      </c>
      <c r="B10" s="14">
        <v>3826</v>
      </c>
      <c r="C10" s="14">
        <v>4140</v>
      </c>
      <c r="D10" s="33">
        <f t="shared" si="1"/>
        <v>53.503531482247176</v>
      </c>
      <c r="E10" s="11">
        <f t="shared" si="2"/>
        <v>4184.1135999999997</v>
      </c>
      <c r="F10" s="11">
        <f t="shared" si="0"/>
        <v>4140</v>
      </c>
      <c r="G10" s="86">
        <f t="shared" si="4"/>
        <v>1.0543117184963648</v>
      </c>
      <c r="H10" s="33">
        <f t="shared" si="3"/>
        <v>3785.6620336503297</v>
      </c>
      <c r="I10" s="33">
        <f t="shared" si="5"/>
        <v>53.503531482247176</v>
      </c>
      <c r="J10" s="33"/>
      <c r="K10" s="33"/>
      <c r="L10" s="33"/>
    </row>
    <row r="11" spans="1:12" x14ac:dyDescent="0.3">
      <c r="A11" s="16">
        <v>1607</v>
      </c>
      <c r="B11" s="14">
        <v>60737</v>
      </c>
      <c r="C11" s="14">
        <v>64371</v>
      </c>
      <c r="D11" s="33"/>
      <c r="E11" s="11">
        <f t="shared" si="2"/>
        <v>66421.983199999988</v>
      </c>
      <c r="F11" s="11">
        <f t="shared" si="0"/>
        <v>64371</v>
      </c>
      <c r="G11" s="86">
        <f t="shared" si="4"/>
        <v>3.0878078328742049</v>
      </c>
      <c r="H11" s="33">
        <f t="shared" si="3"/>
        <v>58861.558156547188</v>
      </c>
      <c r="I11" s="33">
        <f t="shared" si="5"/>
        <v>54.434319516016089</v>
      </c>
      <c r="J11" s="33"/>
      <c r="K11" s="33"/>
      <c r="L11" s="33"/>
    </row>
    <row r="12" spans="1:12" x14ac:dyDescent="0.3">
      <c r="A12" s="16">
        <v>1647</v>
      </c>
      <c r="B12" s="14">
        <v>20004</v>
      </c>
      <c r="C12" s="14">
        <v>21621</v>
      </c>
      <c r="D12" s="33">
        <f t="shared" si="1"/>
        <v>53.554267984399871</v>
      </c>
      <c r="E12" s="11">
        <f t="shared" si="2"/>
        <v>21876.374399999997</v>
      </c>
      <c r="F12" s="11">
        <f t="shared" si="0"/>
        <v>21621</v>
      </c>
      <c r="G12" s="86">
        <f t="shared" si="4"/>
        <v>1.1673524841483669</v>
      </c>
      <c r="H12" s="33">
        <f t="shared" si="3"/>
        <v>19770.48280907096</v>
      </c>
      <c r="I12" s="33">
        <f t="shared" si="5"/>
        <v>53.554267984399871</v>
      </c>
    </row>
    <row r="13" spans="1:12" x14ac:dyDescent="0.3">
      <c r="A13" s="16">
        <v>1643</v>
      </c>
      <c r="B13" s="14">
        <v>26739</v>
      </c>
      <c r="C13" s="14">
        <v>28619</v>
      </c>
      <c r="D13" s="33">
        <f t="shared" si="1"/>
        <v>53.99096118715083</v>
      </c>
      <c r="E13" s="11">
        <f t="shared" si="2"/>
        <v>29241.770399999998</v>
      </c>
      <c r="F13" s="11">
        <f t="shared" si="0"/>
        <v>28619</v>
      </c>
      <c r="G13" s="86">
        <f t="shared" si="4"/>
        <v>2.1297287800330906</v>
      </c>
      <c r="H13" s="33">
        <f t="shared" si="3"/>
        <v>26169.531821506953</v>
      </c>
      <c r="I13" s="33">
        <f t="shared" si="5"/>
        <v>53.99096118715083</v>
      </c>
    </row>
    <row r="14" spans="1:12" x14ac:dyDescent="0.3">
      <c r="A14" s="16" t="s">
        <v>92</v>
      </c>
      <c r="B14" s="14"/>
      <c r="C14" s="14">
        <v>4254</v>
      </c>
      <c r="D14" s="33">
        <f t="shared" si="1"/>
        <v>9.1441111923920992</v>
      </c>
      <c r="E14" s="11">
        <f t="shared" si="2"/>
        <v>0</v>
      </c>
      <c r="F14" s="11">
        <f t="shared" si="0"/>
        <v>4254</v>
      </c>
      <c r="G14" s="86" t="e">
        <f t="shared" si="4"/>
        <v>#DIV/0!</v>
      </c>
      <c r="H14" s="33">
        <f t="shared" si="3"/>
        <v>3889.9049012435994</v>
      </c>
      <c r="I14" s="33">
        <f t="shared" si="5"/>
        <v>9.1441111923920992</v>
      </c>
    </row>
    <row r="15" spans="1:12" x14ac:dyDescent="0.3">
      <c r="A15" s="16">
        <v>1644</v>
      </c>
      <c r="B15" s="14">
        <v>32450</v>
      </c>
      <c r="C15" s="14">
        <v>35074</v>
      </c>
      <c r="D15" s="33">
        <f t="shared" si="1"/>
        <v>53.553075097278906</v>
      </c>
      <c r="E15" s="11">
        <f>B15 * 1.0936</f>
        <v>35487.32</v>
      </c>
      <c r="F15" s="11">
        <f t="shared" si="0"/>
        <v>35074</v>
      </c>
      <c r="G15" s="86">
        <f t="shared" si="4"/>
        <v>1.1646977004744201</v>
      </c>
      <c r="H15" s="33">
        <f t="shared" si="3"/>
        <v>32072.055596196053</v>
      </c>
      <c r="I15" s="33">
        <f>((B15*48)+(H15*10))/C15</f>
        <v>53.553075097278906</v>
      </c>
    </row>
    <row r="16" spans="1:12" x14ac:dyDescent="0.3">
      <c r="A16" s="16">
        <v>1651</v>
      </c>
      <c r="B16" s="14">
        <v>20493</v>
      </c>
      <c r="C16" s="14">
        <v>22478</v>
      </c>
      <c r="D16" s="33">
        <f t="shared" si="1"/>
        <v>52.90529991024956</v>
      </c>
      <c r="E16" s="11">
        <f t="shared" si="2"/>
        <v>22411.144799999998</v>
      </c>
      <c r="F16" s="11">
        <f t="shared" si="0"/>
        <v>22478</v>
      </c>
      <c r="G16" s="86">
        <f t="shared" si="4"/>
        <v>-0.29831229326579489</v>
      </c>
      <c r="H16" s="33">
        <f t="shared" si="3"/>
        <v>20554.133138258963</v>
      </c>
      <c r="I16" s="33">
        <f>((B16*48)+(H16*10))/C16</f>
        <v>52.90529991024956</v>
      </c>
    </row>
    <row r="17" spans="1:9" x14ac:dyDescent="0.3">
      <c r="A17" s="16">
        <v>1641</v>
      </c>
      <c r="B17" s="14">
        <v>6605</v>
      </c>
      <c r="C17" s="14">
        <v>7214</v>
      </c>
      <c r="D17" s="33">
        <f t="shared" si="1"/>
        <v>53.091990316317798</v>
      </c>
      <c r="E17" s="11">
        <f t="shared" si="2"/>
        <v>7223.2279999999992</v>
      </c>
      <c r="F17" s="11">
        <f t="shared" si="0"/>
        <v>7214</v>
      </c>
      <c r="G17" s="86">
        <f t="shared" si="4"/>
        <v>0.1277545164018079</v>
      </c>
      <c r="H17" s="33">
        <f t="shared" si="3"/>
        <v>6596.5618141916611</v>
      </c>
      <c r="I17" s="33">
        <f>((B17*48)+(H17*10))/C17</f>
        <v>53.091990316317798</v>
      </c>
    </row>
    <row r="18" spans="1:9" x14ac:dyDescent="0.3">
      <c r="A18" s="16">
        <v>1652</v>
      </c>
      <c r="B18" s="14">
        <v>10175</v>
      </c>
      <c r="C18" s="14">
        <v>11128</v>
      </c>
      <c r="D18" s="33">
        <f t="shared" si="1"/>
        <v>53.033399474203748</v>
      </c>
      <c r="E18" s="11">
        <f t="shared" si="2"/>
        <v>11127.38</v>
      </c>
      <c r="F18" s="11">
        <f t="shared" si="0"/>
        <v>11128</v>
      </c>
      <c r="G18" s="86">
        <f t="shared" si="4"/>
        <v>-5.5718417093686412E-3</v>
      </c>
      <c r="H18" s="33">
        <f t="shared" si="3"/>
        <v>10175.56693489393</v>
      </c>
      <c r="I18" s="33">
        <f>((B18*48)+(H18*10))/C18</f>
        <v>53.033399474203748</v>
      </c>
    </row>
    <row r="19" spans="1:9" x14ac:dyDescent="0.3">
      <c r="A19" s="16">
        <v>1655</v>
      </c>
      <c r="B19" s="14">
        <v>167135</v>
      </c>
      <c r="C19" s="14">
        <v>149859</v>
      </c>
      <c r="D19" s="33">
        <f t="shared" si="1"/>
        <v>62.677632702611703</v>
      </c>
      <c r="E19" s="11">
        <f t="shared" si="2"/>
        <v>182778.83599999998</v>
      </c>
      <c r="F19" s="11">
        <f t="shared" si="0"/>
        <v>149859</v>
      </c>
      <c r="G19" s="86">
        <f t="shared" ref="G19:G38" si="6">100- (F19/E19 *100)</f>
        <v>18.010748246585834</v>
      </c>
      <c r="H19" s="33">
        <f t="shared" si="3"/>
        <v>137032.73591806876</v>
      </c>
      <c r="I19" s="33">
        <f t="shared" si="5"/>
        <v>62.677632702611703</v>
      </c>
    </row>
    <row r="20" spans="1:9" x14ac:dyDescent="0.3">
      <c r="A20" s="16">
        <v>1650</v>
      </c>
      <c r="B20" s="14">
        <v>30156</v>
      </c>
      <c r="C20" s="14">
        <v>32440</v>
      </c>
      <c r="D20" s="33">
        <f t="shared" si="1"/>
        <v>53.764579749728725</v>
      </c>
      <c r="E20" s="11">
        <f>B20 * 1.0936</f>
        <v>32978.601599999995</v>
      </c>
      <c r="F20" s="11">
        <f t="shared" si="0"/>
        <v>32440</v>
      </c>
      <c r="G20" s="86">
        <f t="shared" si="6"/>
        <v>1.6331850771986467</v>
      </c>
      <c r="H20" s="33">
        <f t="shared" si="3"/>
        <v>29663.496708119972</v>
      </c>
      <c r="I20" s="33">
        <f t="shared" si="5"/>
        <v>53.764579749728725</v>
      </c>
    </row>
    <row r="21" spans="1:9" x14ac:dyDescent="0.3">
      <c r="A21" s="16">
        <v>1653</v>
      </c>
      <c r="B21" s="14">
        <v>21812</v>
      </c>
      <c r="C21" s="14">
        <v>23471</v>
      </c>
      <c r="D21" s="33">
        <f t="shared" si="1"/>
        <v>53.751328609630391</v>
      </c>
      <c r="E21" s="11">
        <f t="shared" si="2"/>
        <v>23853.603199999998</v>
      </c>
      <c r="F21" s="11">
        <f t="shared" si="0"/>
        <v>23471</v>
      </c>
      <c r="G21" s="86">
        <f t="shared" si="6"/>
        <v>1.6039639663327563</v>
      </c>
      <c r="H21" s="33">
        <f t="shared" si="3"/>
        <v>21462.143379663499</v>
      </c>
      <c r="I21" s="33">
        <f t="shared" si="5"/>
        <v>53.751328609630391</v>
      </c>
    </row>
    <row r="22" spans="1:9" x14ac:dyDescent="0.3">
      <c r="A22" s="16">
        <v>1628</v>
      </c>
      <c r="B22" s="14">
        <v>48198</v>
      </c>
      <c r="C22" s="14">
        <v>7587</v>
      </c>
      <c r="D22" s="33">
        <f t="shared" si="1"/>
        <v>314.07412305478829</v>
      </c>
      <c r="E22" s="11">
        <f t="shared" si="2"/>
        <v>52709.332799999996</v>
      </c>
      <c r="F22" s="11">
        <f t="shared" si="0"/>
        <v>7587</v>
      </c>
      <c r="G22" s="86">
        <f t="shared" si="6"/>
        <v>85.60596464237544</v>
      </c>
      <c r="H22" s="33">
        <f t="shared" si="3"/>
        <v>6937.6371616678862</v>
      </c>
      <c r="I22" s="33">
        <f t="shared" si="5"/>
        <v>314.07412305478829</v>
      </c>
    </row>
    <row r="23" spans="1:9" x14ac:dyDescent="0.3">
      <c r="A23" s="16" t="s">
        <v>243</v>
      </c>
      <c r="B23" s="14">
        <v>40502</v>
      </c>
      <c r="C23" s="14">
        <v>42810</v>
      </c>
      <c r="D23" s="33">
        <f t="shared" si="1"/>
        <v>54.556304605146124</v>
      </c>
      <c r="E23" s="11">
        <f t="shared" si="2"/>
        <v>44292.987199999996</v>
      </c>
      <c r="F23" s="11">
        <f t="shared" si="0"/>
        <v>42810</v>
      </c>
      <c r="G23" s="86">
        <f t="shared" si="6"/>
        <v>3.3481309203728671</v>
      </c>
      <c r="H23" s="33">
        <f t="shared" si="3"/>
        <v>39145.940014630578</v>
      </c>
      <c r="I23" s="33">
        <f t="shared" si="5"/>
        <v>54.556304605146124</v>
      </c>
    </row>
    <row r="24" spans="1:9" x14ac:dyDescent="0.3">
      <c r="A24" s="16">
        <v>1662</v>
      </c>
      <c r="B24" s="14">
        <v>13594</v>
      </c>
      <c r="C24" s="14">
        <v>14872</v>
      </c>
      <c r="D24" s="33">
        <f t="shared" si="1"/>
        <v>53.019312913747669</v>
      </c>
      <c r="E24" s="11">
        <f t="shared" si="2"/>
        <v>14866.398399999998</v>
      </c>
      <c r="F24" s="11">
        <f t="shared" si="0"/>
        <v>14872</v>
      </c>
      <c r="G24" s="86">
        <f t="shared" si="6"/>
        <v>-3.7679603689369401E-2</v>
      </c>
      <c r="H24" s="33">
        <f t="shared" si="3"/>
        <v>13599.122165325531</v>
      </c>
      <c r="I24" s="33">
        <f t="shared" si="5"/>
        <v>53.019312913747669</v>
      </c>
    </row>
    <row r="25" spans="1:9" x14ac:dyDescent="0.3">
      <c r="A25" s="16">
        <v>1663</v>
      </c>
      <c r="B25" s="14">
        <v>10374</v>
      </c>
      <c r="C25" s="14">
        <v>11018</v>
      </c>
      <c r="D25" s="33">
        <f t="shared" si="1"/>
        <v>54.338520341057915</v>
      </c>
      <c r="E25" s="11">
        <f t="shared" si="2"/>
        <v>11345.006399999998</v>
      </c>
      <c r="F25" s="11">
        <f t="shared" si="0"/>
        <v>11018</v>
      </c>
      <c r="G25" s="86">
        <f t="shared" si="6"/>
        <v>2.882381802799145</v>
      </c>
      <c r="H25" s="33">
        <f t="shared" si="3"/>
        <v>10074.981711777617</v>
      </c>
      <c r="I25" s="33">
        <f t="shared" si="5"/>
        <v>54.338520341057915</v>
      </c>
    </row>
    <row r="26" spans="1:9" x14ac:dyDescent="0.3">
      <c r="A26" s="16">
        <v>1598</v>
      </c>
      <c r="B26" s="14">
        <v>22631</v>
      </c>
      <c r="C26" s="14">
        <v>23305</v>
      </c>
      <c r="D26" s="33">
        <f t="shared" si="1"/>
        <v>55.755911235301348</v>
      </c>
      <c r="E26" s="11">
        <f t="shared" si="2"/>
        <v>24749.261599999998</v>
      </c>
      <c r="F26" s="11">
        <f t="shared" si="0"/>
        <v>23305</v>
      </c>
      <c r="G26" s="86">
        <f t="shared" si="6"/>
        <v>5.8355745045743106</v>
      </c>
      <c r="H26" s="33">
        <f t="shared" si="3"/>
        <v>21310.35113386979</v>
      </c>
      <c r="I26" s="33">
        <f t="shared" si="5"/>
        <v>55.755911235301348</v>
      </c>
    </row>
    <row r="27" spans="1:9" x14ac:dyDescent="0.3">
      <c r="A27" s="16">
        <v>1661</v>
      </c>
      <c r="B27" s="14">
        <v>6217</v>
      </c>
      <c r="C27" s="14">
        <v>7020</v>
      </c>
      <c r="D27" s="33">
        <f t="shared" si="1"/>
        <v>51.65351290179381</v>
      </c>
      <c r="E27" s="11">
        <f t="shared" si="2"/>
        <v>6798.9111999999996</v>
      </c>
      <c r="F27" s="11">
        <f t="shared" si="0"/>
        <v>7020</v>
      </c>
      <c r="G27" s="86">
        <f t="shared" si="6"/>
        <v>-3.2518265571699345</v>
      </c>
      <c r="H27" s="33">
        <f t="shared" si="3"/>
        <v>6419.1660570592539</v>
      </c>
      <c r="I27" s="33">
        <f t="shared" si="5"/>
        <v>51.65351290179381</v>
      </c>
    </row>
    <row r="28" spans="1:9" x14ac:dyDescent="0.3">
      <c r="A28" s="16">
        <v>1658</v>
      </c>
      <c r="B28" s="14">
        <v>26004</v>
      </c>
      <c r="C28" s="14">
        <v>28170</v>
      </c>
      <c r="D28" s="33">
        <f t="shared" si="1"/>
        <v>53.453376368110952</v>
      </c>
      <c r="E28" s="11">
        <f t="shared" si="2"/>
        <v>28437.974399999999</v>
      </c>
      <c r="F28" s="11">
        <f t="shared" si="0"/>
        <v>28170</v>
      </c>
      <c r="G28" s="86">
        <f t="shared" si="6"/>
        <v>0.9423118406070472</v>
      </c>
      <c r="H28" s="33">
        <f t="shared" si="3"/>
        <v>25758.961228968546</v>
      </c>
      <c r="I28" s="33">
        <f t="shared" si="5"/>
        <v>53.453376368110952</v>
      </c>
    </row>
    <row r="29" spans="1:9" x14ac:dyDescent="0.3">
      <c r="A29" s="16">
        <v>1656</v>
      </c>
      <c r="B29" s="14">
        <v>9784</v>
      </c>
      <c r="C29" s="14">
        <v>10672</v>
      </c>
      <c r="D29" s="33">
        <f t="shared" si="1"/>
        <v>53.150108193891356</v>
      </c>
      <c r="E29" s="11">
        <f t="shared" si="2"/>
        <v>10699.782399999998</v>
      </c>
      <c r="F29" s="11">
        <f t="shared" si="0"/>
        <v>10672</v>
      </c>
      <c r="G29" s="86">
        <f t="shared" si="6"/>
        <v>0.25965387856857092</v>
      </c>
      <c r="H29" s="33">
        <f t="shared" si="3"/>
        <v>9758.5954645208494</v>
      </c>
      <c r="I29" s="33">
        <f t="shared" si="5"/>
        <v>53.150108193891356</v>
      </c>
    </row>
    <row r="30" spans="1:9" x14ac:dyDescent="0.3">
      <c r="A30" s="16">
        <v>1654</v>
      </c>
      <c r="B30" s="14">
        <v>14999</v>
      </c>
      <c r="C30" s="14">
        <v>15800</v>
      </c>
      <c r="D30" s="33">
        <f t="shared" si="1"/>
        <v>54.710693470873117</v>
      </c>
      <c r="E30" s="11">
        <f t="shared" si="2"/>
        <v>16402.9064</v>
      </c>
      <c r="F30" s="11">
        <f t="shared" si="0"/>
        <v>15800</v>
      </c>
      <c r="G30" s="86">
        <f t="shared" si="6"/>
        <v>3.6756071472797061</v>
      </c>
      <c r="H30" s="33">
        <f t="shared" si="3"/>
        <v>14447.695683979518</v>
      </c>
      <c r="I30" s="33">
        <f t="shared" si="5"/>
        <v>54.710693470873117</v>
      </c>
    </row>
    <row r="31" spans="1:9" x14ac:dyDescent="0.3">
      <c r="A31" s="16">
        <v>1659</v>
      </c>
      <c r="B31" s="14">
        <v>21934</v>
      </c>
      <c r="C31" s="14">
        <v>23914</v>
      </c>
      <c r="D31" s="33">
        <f t="shared" si="1"/>
        <v>53.169870162033313</v>
      </c>
      <c r="E31" s="11">
        <f t="shared" si="2"/>
        <v>23987.022399999998</v>
      </c>
      <c r="F31" s="11">
        <f t="shared" si="0"/>
        <v>23914</v>
      </c>
      <c r="G31" s="86">
        <f t="shared" si="6"/>
        <v>0.30442461253548458</v>
      </c>
      <c r="H31" s="33">
        <f t="shared" si="3"/>
        <v>21867.227505486469</v>
      </c>
      <c r="I31" s="33">
        <f t="shared" si="5"/>
        <v>53.169870162033313</v>
      </c>
    </row>
    <row r="32" spans="1:9" x14ac:dyDescent="0.3">
      <c r="A32" s="16">
        <v>1669</v>
      </c>
      <c r="B32" s="14">
        <v>30140</v>
      </c>
      <c r="C32" s="14">
        <v>32835</v>
      </c>
      <c r="D32" s="33">
        <f t="shared" si="1"/>
        <v>53.204412699929783</v>
      </c>
      <c r="E32" s="11">
        <f t="shared" si="2"/>
        <v>32961.103999999999</v>
      </c>
      <c r="F32" s="11">
        <f t="shared" si="0"/>
        <v>32835</v>
      </c>
      <c r="G32" s="86">
        <f t="shared" si="6"/>
        <v>0.38258427266271156</v>
      </c>
      <c r="H32" s="33">
        <f t="shared" si="3"/>
        <v>30024.689100219461</v>
      </c>
      <c r="I32" s="33">
        <f t="shared" si="5"/>
        <v>53.204412699929783</v>
      </c>
    </row>
    <row r="33" spans="1:9" x14ac:dyDescent="0.3">
      <c r="A33" s="16">
        <v>1657</v>
      </c>
      <c r="B33" s="14">
        <v>55576</v>
      </c>
      <c r="C33" s="14">
        <v>32876</v>
      </c>
      <c r="D33" s="33">
        <f t="shared" ref="D33:D37" si="7">I33</f>
        <v>90.28682928461744</v>
      </c>
      <c r="E33" s="11">
        <f t="shared" ref="E33:E37" si="8">B33 * 1.0936</f>
        <v>60777.913599999993</v>
      </c>
      <c r="F33" s="11">
        <f t="shared" ref="F33:F37" si="9">C33</f>
        <v>32876</v>
      </c>
      <c r="G33" s="86">
        <f t="shared" ref="G33:G37" si="10">100- (F33/E33 *100)</f>
        <v>45.90798194165059</v>
      </c>
      <c r="H33" s="33">
        <f t="shared" ref="H33:H37" si="11">F33/1.0936</f>
        <v>30062.17995610827</v>
      </c>
      <c r="I33" s="33">
        <f t="shared" ref="I33:I37" si="12">((B33*48)+(H33*10))/C33</f>
        <v>90.28682928461744</v>
      </c>
    </row>
    <row r="34" spans="1:9" x14ac:dyDescent="0.3">
      <c r="A34" s="16">
        <v>1676</v>
      </c>
      <c r="B34" s="14">
        <v>30009</v>
      </c>
      <c r="C34" s="14">
        <v>31927</v>
      </c>
      <c r="D34" s="33">
        <f t="shared" si="7"/>
        <v>54.260533029708483</v>
      </c>
      <c r="E34" s="11">
        <f t="shared" si="8"/>
        <v>32817.842399999994</v>
      </c>
      <c r="F34" s="11">
        <f t="shared" si="9"/>
        <v>31927</v>
      </c>
      <c r="G34" s="86">
        <f t="shared" si="10"/>
        <v>2.7145063016086368</v>
      </c>
      <c r="H34" s="33">
        <f t="shared" si="11"/>
        <v>29194.403803950259</v>
      </c>
      <c r="I34" s="33">
        <f t="shared" si="12"/>
        <v>54.260533029708483</v>
      </c>
    </row>
    <row r="35" spans="1:9" x14ac:dyDescent="0.3">
      <c r="A35" s="16" t="s">
        <v>28</v>
      </c>
      <c r="B35" s="35">
        <v>167135</v>
      </c>
      <c r="C35" s="35">
        <v>885103</v>
      </c>
      <c r="D35" s="33">
        <f t="shared" si="7"/>
        <v>18.208005451026409</v>
      </c>
      <c r="E35" s="11">
        <f t="shared" si="8"/>
        <v>182778.83599999998</v>
      </c>
      <c r="F35" s="11">
        <f t="shared" si="9"/>
        <v>885103</v>
      </c>
      <c r="G35" s="86">
        <f t="shared" si="10"/>
        <v>-384.24807782450267</v>
      </c>
      <c r="H35" s="33">
        <f t="shared" si="11"/>
        <v>809348.02487198252</v>
      </c>
      <c r="I35" s="33">
        <f t="shared" si="12"/>
        <v>18.208005451026409</v>
      </c>
    </row>
    <row r="36" spans="1:9" x14ac:dyDescent="0.3">
      <c r="D36" s="33" t="e">
        <f t="shared" si="7"/>
        <v>#DIV/0!</v>
      </c>
      <c r="E36" s="11">
        <f t="shared" si="8"/>
        <v>0</v>
      </c>
      <c r="F36" s="11">
        <f t="shared" si="9"/>
        <v>0</v>
      </c>
      <c r="G36" s="86" t="e">
        <f t="shared" si="10"/>
        <v>#DIV/0!</v>
      </c>
      <c r="H36" s="33">
        <f t="shared" si="11"/>
        <v>0</v>
      </c>
      <c r="I36" s="33" t="e">
        <f t="shared" si="12"/>
        <v>#DIV/0!</v>
      </c>
    </row>
    <row r="37" spans="1:9" x14ac:dyDescent="0.3">
      <c r="D37" s="33" t="e">
        <f t="shared" si="7"/>
        <v>#DIV/0!</v>
      </c>
      <c r="E37" s="11">
        <f t="shared" si="8"/>
        <v>0</v>
      </c>
      <c r="F37" s="11">
        <f t="shared" si="9"/>
        <v>0</v>
      </c>
      <c r="G37" s="86" t="e">
        <f t="shared" si="10"/>
        <v>#DIV/0!</v>
      </c>
      <c r="H37" s="33">
        <f t="shared" si="11"/>
        <v>0</v>
      </c>
      <c r="I37" s="33" t="e">
        <f t="shared" si="12"/>
        <v>#DIV/0!</v>
      </c>
    </row>
    <row r="38" spans="1:9" x14ac:dyDescent="0.3">
      <c r="D38" s="33" t="e">
        <f t="shared" si="1"/>
        <v>#DIV/0!</v>
      </c>
      <c r="E38" s="11">
        <f t="shared" si="2"/>
        <v>0</v>
      </c>
      <c r="F38" s="11">
        <f t="shared" si="0"/>
        <v>0</v>
      </c>
      <c r="G38" s="86" t="e">
        <f t="shared" si="6"/>
        <v>#DIV/0!</v>
      </c>
      <c r="H38" s="33">
        <f t="shared" si="3"/>
        <v>0</v>
      </c>
      <c r="I38" s="33" t="e">
        <f t="shared" si="5"/>
        <v>#DIV/0!</v>
      </c>
    </row>
    <row r="39" spans="1: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1:9" x14ac:dyDescent="0.3">
      <c r="D40" s="33" t="e">
        <f t="shared" si="13"/>
        <v>#DIV/0!</v>
      </c>
      <c r="E40" s="11">
        <f t="shared" si="14"/>
        <v>0</v>
      </c>
      <c r="F40" s="11">
        <f t="shared" si="15"/>
        <v>0</v>
      </c>
      <c r="G40" s="86" t="e">
        <f t="shared" si="16"/>
        <v>#DIV/0!</v>
      </c>
      <c r="H40" s="33">
        <f t="shared" si="17"/>
        <v>0</v>
      </c>
      <c r="I40" s="33" t="e">
        <f t="shared" si="18"/>
        <v>#DIV/0!</v>
      </c>
    </row>
    <row r="41" spans="1:9" x14ac:dyDescent="0.3">
      <c r="D41" s="33" t="e">
        <f t="shared" si="13"/>
        <v>#DIV/0!</v>
      </c>
      <c r="E41" s="11">
        <f t="shared" si="14"/>
        <v>0</v>
      </c>
      <c r="F41" s="11">
        <f t="shared" si="15"/>
        <v>0</v>
      </c>
      <c r="G41" s="86" t="e">
        <f t="shared" si="16"/>
        <v>#DIV/0!</v>
      </c>
      <c r="H41" s="33">
        <f t="shared" si="17"/>
        <v>0</v>
      </c>
      <c r="I41" s="33" t="e">
        <f t="shared" si="18"/>
        <v>#DIV/0!</v>
      </c>
    </row>
    <row r="42" spans="1:9" x14ac:dyDescent="0.3">
      <c r="D42" s="33" t="e">
        <f t="shared" si="13"/>
        <v>#DIV/0!</v>
      </c>
      <c r="E42" s="11">
        <f t="shared" si="14"/>
        <v>0</v>
      </c>
      <c r="F42" s="11">
        <f t="shared" si="15"/>
        <v>0</v>
      </c>
      <c r="G42" s="86" t="e">
        <f t="shared" si="16"/>
        <v>#DIV/0!</v>
      </c>
      <c r="H42" s="33">
        <f t="shared" si="17"/>
        <v>0</v>
      </c>
      <c r="I42" s="33" t="e">
        <f t="shared" si="18"/>
        <v>#DIV/0!</v>
      </c>
    </row>
    <row r="43" spans="1:9" x14ac:dyDescent="0.3">
      <c r="D43" s="33" t="e">
        <f t="shared" si="13"/>
        <v>#DIV/0!</v>
      </c>
      <c r="E43" s="11">
        <f t="shared" si="14"/>
        <v>0</v>
      </c>
      <c r="F43" s="11">
        <f t="shared" si="15"/>
        <v>0</v>
      </c>
      <c r="G43" s="86" t="e">
        <f t="shared" si="16"/>
        <v>#DIV/0!</v>
      </c>
      <c r="H43" s="33">
        <f t="shared" si="17"/>
        <v>0</v>
      </c>
      <c r="I43" s="33" t="e">
        <f t="shared" si="18"/>
        <v>#DIV/0!</v>
      </c>
    </row>
    <row r="44" spans="1:9" x14ac:dyDescent="0.3">
      <c r="D44" s="33" t="e">
        <f t="shared" si="13"/>
        <v>#DIV/0!</v>
      </c>
      <c r="E44" s="11">
        <f t="shared" si="14"/>
        <v>0</v>
      </c>
      <c r="F44" s="11">
        <f t="shared" si="15"/>
        <v>0</v>
      </c>
      <c r="G44" s="86" t="e">
        <f t="shared" si="16"/>
        <v>#DIV/0!</v>
      </c>
      <c r="H44" s="33">
        <f t="shared" si="17"/>
        <v>0</v>
      </c>
      <c r="I44" s="33" t="e">
        <f t="shared" si="18"/>
        <v>#DIV/0!</v>
      </c>
    </row>
    <row r="45" spans="1:9" x14ac:dyDescent="0.3">
      <c r="D45" s="33" t="e">
        <f t="shared" si="13"/>
        <v>#DIV/0!</v>
      </c>
      <c r="E45" s="11">
        <f t="shared" si="14"/>
        <v>0</v>
      </c>
      <c r="F45" s="11">
        <f t="shared" si="15"/>
        <v>0</v>
      </c>
      <c r="G45" s="86" t="e">
        <f t="shared" si="16"/>
        <v>#DIV/0!</v>
      </c>
      <c r="H45" s="33">
        <f t="shared" si="17"/>
        <v>0</v>
      </c>
      <c r="I45" s="33" t="e">
        <f t="shared" si="18"/>
        <v>#DIV/0!</v>
      </c>
    </row>
    <row r="46" spans="1: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0</v>
      </c>
    </row>
    <row r="26" spans="2:10" x14ac:dyDescent="0.3">
      <c r="B26" s="1">
        <v>45909</v>
      </c>
      <c r="C26" t="s">
        <v>137</v>
      </c>
      <c r="D26">
        <f>SUMIFS(Table14[Debit], Table14[Date], Table5[[#This Row],[Date]], Table14[Party], "Rashan")</f>
        <v>0</v>
      </c>
      <c r="H26" s="1">
        <v>45909</v>
      </c>
      <c r="J26">
        <f>SUMIFS(Table14[Debit], Table14[Date], Table15[[#This Row],[Date]], Table14[Party], "Parts")</f>
        <v>0</v>
      </c>
    </row>
    <row r="27" spans="2:10" x14ac:dyDescent="0.3">
      <c r="B27" s="1">
        <v>45910</v>
      </c>
      <c r="C27" t="s">
        <v>137</v>
      </c>
      <c r="D27">
        <f>SUMIFS(Table14[Debit], Table14[Date], Table5[[#This Row],[Date]], Table14[Party], "Rashan")</f>
        <v>0</v>
      </c>
      <c r="H27" s="1">
        <v>45910</v>
      </c>
      <c r="J27">
        <f>SUMIFS(Table14[Debit], Table14[Date], Table15[[#This Row],[Date]], Table14[Party], "Parts")</f>
        <v>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0</v>
      </c>
      <c r="H30" s="1">
        <v>45913</v>
      </c>
      <c r="J30">
        <f>SUMIFS(Table14[Debit], Table14[Date], Table15[[#This Row],[Date]], Table14[Party], "Parts")</f>
        <v>0</v>
      </c>
    </row>
    <row r="31" spans="2:10" x14ac:dyDescent="0.3">
      <c r="B31" s="1">
        <v>45914</v>
      </c>
      <c r="C31" t="s">
        <v>137</v>
      </c>
      <c r="D31">
        <f>SUMIFS(Table14[Debit], Table14[Date], Table5[[#This Row],[Date]], Table14[Party], "Rashan")</f>
        <v>0</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77819</v>
      </c>
      <c r="H35" s="1"/>
      <c r="J35">
        <f>SUM(Table15[Amount])</f>
        <v>601131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6315144</v>
      </c>
    </row>
    <row r="3" spans="1:2" x14ac:dyDescent="0.3">
      <c r="A3" t="str">
        <f>Billing!O6</f>
        <v>Ejaz Sahab</v>
      </c>
      <c r="B3" s="14">
        <f>Billing!W6</f>
        <v>612354</v>
      </c>
    </row>
    <row r="4" spans="1:2" x14ac:dyDescent="0.3">
      <c r="A4" t="str">
        <f>Billing!O7</f>
        <v>Arshad</v>
      </c>
      <c r="B4" s="14">
        <f>Billing!W7</f>
        <v>654210</v>
      </c>
    </row>
    <row r="5" spans="1:2" x14ac:dyDescent="0.3">
      <c r="A5" t="str">
        <f>Billing!O8</f>
        <v>Shehzad Kamoki</v>
      </c>
      <c r="B5" s="14">
        <f>Billing!W8</f>
        <v>850000</v>
      </c>
    </row>
    <row r="6" spans="1:2" x14ac:dyDescent="0.3">
      <c r="A6" t="str">
        <f>Billing!O9</f>
        <v>Sufi Nawaz Sahab</v>
      </c>
      <c r="B6" s="14">
        <f>Billing!W9</f>
        <v>2579100</v>
      </c>
    </row>
    <row r="7" spans="1:2" x14ac:dyDescent="0.3">
      <c r="A7" t="str">
        <f>Billing!O10</f>
        <v>Sajad Khan</v>
      </c>
      <c r="B7" s="14">
        <f>Billing!W10</f>
        <v>1800000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2025-09-07T21:38:17Z</dcterms:modified>
  <cp:category/>
  <cp:contentStatus/>
</cp:coreProperties>
</file>