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68" documentId="8_{04F26ED9-7C3F-46BE-B42F-003E2A3A444E}" xr6:coauthVersionLast="47" xr6:coauthVersionMax="47" xr10:uidLastSave="{5F953717-20D7-44A1-8BA3-956B24B7C6CF}"/>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calcCompleted="0"/>
  <pivotCaches>
    <pivotCache cacheId="81" r:id="rId18"/>
    <pivotCache cacheId="85" r:id="rId19"/>
    <pivotCache cacheId="90" r:id="rId20"/>
    <pivotCache cacheId="96" r:id="rId21"/>
    <pivotCache cacheId="103" r:id="rId22"/>
    <pivotCache cacheId="10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6" l="1"/>
  <c r="I8" i="6"/>
  <c r="G5" i="6"/>
  <c r="G6" i="6"/>
  <c r="G7" i="6"/>
  <c r="I5" i="6"/>
  <c r="I6" i="6"/>
  <c r="I7" i="6"/>
  <c r="G4" i="6"/>
  <c r="E51" i="9"/>
  <c r="E53" i="9"/>
  <c r="D51" i="9"/>
  <c r="D53" i="9"/>
  <c r="C51" i="9"/>
  <c r="C53" i="9"/>
  <c r="K15" i="1"/>
  <c r="I11" i="1"/>
  <c r="J11" i="1" s="1" a="1"/>
  <c r="J11" i="1" s="1"/>
  <c r="I9" i="1"/>
  <c r="J9" i="1" s="1" a="1"/>
  <c r="J9" i="1" s="1"/>
  <c r="D2" i="17"/>
  <c r="J51" i="9" l="1"/>
  <c r="C49" i="9"/>
  <c r="C45" i="9"/>
  <c r="C46" i="9"/>
  <c r="D47" i="9"/>
  <c r="D54" i="9"/>
  <c r="C47" i="9"/>
  <c r="C54" i="9"/>
  <c r="D46" i="9"/>
  <c r="D49" i="9"/>
  <c r="D48" i="9"/>
  <c r="C48" i="9"/>
  <c r="D50" i="9"/>
  <c r="D52" i="9"/>
  <c r="C52" i="9"/>
  <c r="C50" i="9"/>
  <c r="D45" i="9"/>
  <c r="D3" i="17" l="1"/>
  <c r="J49" i="9"/>
  <c r="E52" i="9"/>
  <c r="I10" i="1"/>
  <c r="J10" i="1" s="1" a="1"/>
  <c r="J10" i="1" s="1"/>
  <c r="I6" i="1"/>
  <c r="E48" i="9"/>
  <c r="E54" i="9"/>
  <c r="I12" i="1"/>
  <c r="J46" i="9"/>
  <c r="J45" i="9"/>
  <c r="J53" i="9"/>
  <c r="J47" i="9"/>
  <c r="E46" i="9"/>
  <c r="I4" i="1"/>
  <c r="J48" i="9"/>
  <c r="E47" i="9"/>
  <c r="I5" i="1"/>
  <c r="J5" i="1" s="1" a="1"/>
  <c r="J5" i="1" s="1"/>
  <c r="I8" i="1"/>
  <c r="E50" i="9"/>
  <c r="I7" i="1"/>
  <c r="E49" i="9"/>
  <c r="J50" i="9"/>
  <c r="E45" i="9"/>
  <c r="I3" i="1"/>
  <c r="J52" i="9"/>
  <c r="J54" i="9"/>
  <c r="J44" i="9"/>
  <c r="D44" i="9" l="1"/>
  <c r="C44" i="9"/>
  <c r="P5" i="9" s="1" a="1"/>
  <c r="P5" i="9" s="1"/>
  <c r="E44" i="9"/>
  <c r="I2" i="1"/>
  <c r="F46" i="9"/>
  <c r="F49" i="9"/>
  <c r="F47" i="9"/>
  <c r="F53" i="9"/>
  <c r="F54" i="9"/>
  <c r="F51" i="9"/>
  <c r="F45" i="9"/>
  <c r="F52" i="9"/>
  <c r="F50" i="9"/>
  <c r="G52" i="9"/>
  <c r="I52" i="9" s="1"/>
  <c r="K52" i="9" s="1"/>
  <c r="G46" i="9"/>
  <c r="G53" i="9"/>
  <c r="G48" i="9"/>
  <c r="G45" i="9"/>
  <c r="G50" i="9"/>
  <c r="I50" i="9" s="1"/>
  <c r="K50" i="9" s="1"/>
  <c r="G47" i="9"/>
  <c r="G49" i="9"/>
  <c r="I49" i="9" s="1"/>
  <c r="K49" i="9" s="1"/>
  <c r="G51" i="9"/>
  <c r="G54" i="9"/>
  <c r="H51" i="9"/>
  <c r="H49" i="9"/>
  <c r="H44" i="9"/>
  <c r="H47" i="9"/>
  <c r="H45" i="9"/>
  <c r="H52" i="9"/>
  <c r="H50" i="9"/>
  <c r="H48" i="9"/>
  <c r="H54" i="9"/>
  <c r="H53" i="9"/>
  <c r="H46" i="9"/>
  <c r="I47" i="9" l="1"/>
  <c r="I45" i="9"/>
  <c r="I48" i="9"/>
  <c r="K48" i="9" s="1"/>
  <c r="I13" i="1"/>
  <c r="F48" i="9"/>
  <c r="I53" i="9"/>
  <c r="K53" i="9" s="1"/>
  <c r="I15" i="1" a="1"/>
  <c r="I15" i="1" s="1"/>
  <c r="I51" i="9"/>
  <c r="K51" i="9" s="1"/>
  <c r="F44" i="9"/>
  <c r="I14" i="1"/>
  <c r="J14" i="1" s="1" a="1"/>
  <c r="J14" i="1" s="1"/>
  <c r="I54" i="9"/>
  <c r="K54" i="9" s="1"/>
  <c r="I46" i="9"/>
  <c r="G44" i="9" l="1"/>
  <c r="G15" i="15"/>
  <c r="H15" i="15" s="1"/>
  <c r="O5" i="9" a="1"/>
  <c r="E24" i="7"/>
  <c r="E25" i="7"/>
  <c r="E26" i="7"/>
  <c r="E27" i="7"/>
  <c r="E28" i="7"/>
  <c r="E29" i="7"/>
  <c r="H29" i="7"/>
  <c r="E23" i="7"/>
  <c r="H23" i="7"/>
  <c r="H24" i="7"/>
  <c r="H25" i="7"/>
  <c r="H26" i="7"/>
  <c r="H27" i="7"/>
  <c r="H28" i="7"/>
  <c r="F13" i="15"/>
  <c r="G13" i="15"/>
  <c r="H13" i="15" s="1"/>
  <c r="G14" i="15"/>
  <c r="H14" i="15" s="1"/>
  <c r="H22" i="7"/>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H21" i="7"/>
  <c r="C17" i="12"/>
  <c r="C18" i="12"/>
  <c r="G19" i="7"/>
  <c r="H19" i="7" s="1"/>
  <c r="H20" i="7"/>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G11" i="15"/>
  <c r="H11" i="15" s="1"/>
  <c r="G12" i="15"/>
  <c r="H12" i="15"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G10" i="15"/>
  <c r="H10" i="15" s="1"/>
  <c r="G9" i="15"/>
  <c r="H9" i="15" s="1"/>
  <c r="C6" i="8"/>
  <c r="E7" i="7"/>
  <c r="E8" i="7"/>
  <c r="E9" i="7"/>
  <c r="H9" i="7"/>
  <c r="E10" i="7"/>
  <c r="H10" i="7"/>
  <c r="E11" i="7"/>
  <c r="H11" i="7"/>
  <c r="E12" i="7"/>
  <c r="H12" i="7"/>
  <c r="E13" i="7"/>
  <c r="H13" i="7"/>
  <c r="E14" i="7"/>
  <c r="H14" i="7"/>
  <c r="E15" i="7"/>
  <c r="H15" i="7"/>
  <c r="E17" i="7"/>
  <c r="H17" i="7"/>
  <c r="E18" i="7"/>
  <c r="H18" i="7"/>
  <c r="O7" i="17"/>
  <c r="G16" i="7"/>
  <c r="H16" i="7" s="1"/>
  <c r="G8" i="15"/>
  <c r="H8" i="15" s="1"/>
  <c r="G5" i="15"/>
  <c r="G7" i="15"/>
  <c r="H7" i="15" s="1"/>
  <c r="G6" i="7"/>
  <c r="H6" i="7" s="1"/>
  <c r="G5" i="7"/>
  <c r="H5" i="7" s="1"/>
  <c r="G4" i="7"/>
  <c r="H4" i="7" s="1"/>
  <c r="H6" i="15"/>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G3" i="6"/>
  <c r="G2" i="6"/>
  <c r="C19" i="8"/>
  <c r="H3" i="7"/>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I11" i="12"/>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E10" i="2"/>
  <c r="E11" i="2"/>
  <c r="E12" i="2"/>
  <c r="E13" i="2"/>
  <c r="E14" i="2"/>
  <c r="G14" i="2"/>
  <c r="E5" i="2"/>
  <c r="E6" i="2"/>
  <c r="E4" i="2"/>
  <c r="F13" i="2"/>
  <c r="H13" i="2" s="1"/>
  <c r="I13" i="2" s="1"/>
  <c r="D13" i="2" s="1"/>
  <c r="F14" i="2"/>
  <c r="H14" i="2"/>
  <c r="I14" i="2"/>
  <c r="D14" i="2"/>
  <c r="F15" i="2"/>
  <c r="G15" i="2" s="1"/>
  <c r="F16" i="2"/>
  <c r="H16" i="2" s="1"/>
  <c r="I16" i="2" s="1"/>
  <c r="D16" i="2" s="1"/>
  <c r="F17" i="2"/>
  <c r="H17" i="2" s="1"/>
  <c r="I17" i="2" s="1"/>
  <c r="D17" i="2" s="1"/>
  <c r="F18" i="2"/>
  <c r="F19" i="2"/>
  <c r="G19" i="2" s="1"/>
  <c r="H19" i="2"/>
  <c r="I19" i="2"/>
  <c r="D19" i="2"/>
  <c r="C8" i="8"/>
  <c r="F11" i="2"/>
  <c r="H11" i="2"/>
  <c r="I11" i="2" s="1"/>
  <c r="F10" i="2"/>
  <c r="G10" i="2"/>
  <c r="H10" i="2"/>
  <c r="I10" i="2"/>
  <c r="D10" i="2"/>
  <c r="F6" i="2"/>
  <c r="H6" i="2" s="1"/>
  <c r="I6" i="2" s="1"/>
  <c r="D6" i="2" s="1"/>
  <c r="F7" i="2"/>
  <c r="G7" i="2" s="1"/>
  <c r="H7" i="2"/>
  <c r="I7" i="2" s="1"/>
  <c r="D7" i="2" s="1"/>
  <c r="F8" i="2"/>
  <c r="H8" i="2" s="1"/>
  <c r="I8" i="2" s="1"/>
  <c r="D8" i="2" s="1"/>
  <c r="F9" i="2"/>
  <c r="H9" i="2"/>
  <c r="I9" i="2"/>
  <c r="D9" i="2"/>
  <c r="N3" i="7"/>
  <c r="N5" i="7"/>
  <c r="E6" i="11"/>
  <c r="D6" i="11"/>
  <c r="F12" i="2"/>
  <c r="G12" i="2"/>
  <c r="F5" i="2"/>
  <c r="F3" i="2"/>
  <c r="F4" i="2"/>
  <c r="G4" i="2" s="1"/>
  <c r="F16" i="15"/>
  <c r="J13" i="1" a="1"/>
  <c r="J13" i="1" s="1"/>
  <c r="J2" i="1" a="1"/>
  <c r="J2" i="1" s="1"/>
  <c r="J3" i="1" a="1"/>
  <c r="J3" i="1" s="1"/>
  <c r="J4" i="1" a="1"/>
  <c r="J4" i="1" s="1"/>
  <c r="J6" i="1" a="1"/>
  <c r="J6" i="1" s="1"/>
  <c r="J7" i="1" a="1"/>
  <c r="J7" i="1" s="1"/>
  <c r="J8" i="1" a="1"/>
  <c r="J8" i="1" s="1"/>
  <c r="J12" i="1" a="1"/>
  <c r="J12" i="1" s="1"/>
  <c r="G55" i="2"/>
  <c r="G43" i="2"/>
  <c r="H8" i="1"/>
  <c r="H47" i="2"/>
  <c r="I47" i="2"/>
  <c r="D47" i="2"/>
  <c r="H45" i="2"/>
  <c r="I45" i="2" s="1"/>
  <c r="D45" i="2" s="1"/>
  <c r="C7" i="8"/>
  <c r="G54" i="2"/>
  <c r="G49" i="2"/>
  <c r="H57" i="2"/>
  <c r="I57" i="2"/>
  <c r="D57" i="2"/>
  <c r="G6" i="2"/>
  <c r="H13" i="1" s="1"/>
  <c r="G53" i="2"/>
  <c r="E30" i="7"/>
  <c r="H7" i="7"/>
  <c r="C5" i="8"/>
  <c r="H8" i="7"/>
  <c r="C16" i="12"/>
  <c r="H54" i="2"/>
  <c r="I54" i="2"/>
  <c r="D54" i="2"/>
  <c r="G34" i="2"/>
  <c r="G35" i="2"/>
  <c r="G18" i="2"/>
  <c r="H53" i="2"/>
  <c r="I53" i="2"/>
  <c r="D53" i="2"/>
  <c r="J15" i="14"/>
  <c r="H25" i="2"/>
  <c r="I25" i="2"/>
  <c r="D25" i="2"/>
  <c r="H20" i="2"/>
  <c r="I20" i="2" s="1"/>
  <c r="D20" i="2" s="1"/>
  <c r="H18" i="2"/>
  <c r="I18" i="2" s="1"/>
  <c r="D18" i="2" s="1"/>
  <c r="H61" i="2"/>
  <c r="I61" i="2"/>
  <c r="D61" i="2"/>
  <c r="G11" i="2"/>
  <c r="G20" i="2"/>
  <c r="G23" i="2"/>
  <c r="G26" i="2"/>
  <c r="G40" i="2"/>
  <c r="G48" i="2"/>
  <c r="H59" i="2"/>
  <c r="I59" i="2" s="1"/>
  <c r="D59" i="2" s="1"/>
  <c r="G36" i="2"/>
  <c r="C12" i="10"/>
  <c r="C24" i="17"/>
  <c r="K4" i="17" s="1"/>
  <c r="N6" i="17"/>
  <c r="C16" i="10"/>
  <c r="H62" i="2"/>
  <c r="I62" i="2"/>
  <c r="D62" i="2"/>
  <c r="H60" i="2"/>
  <c r="I60" i="2" s="1"/>
  <c r="D60" i="2" s="1"/>
  <c r="H58" i="2"/>
  <c r="I58" i="2" s="1"/>
  <c r="D58" i="2" s="1"/>
  <c r="H12" i="2"/>
  <c r="I12" i="2"/>
  <c r="D12" i="2"/>
  <c r="G51" i="2"/>
  <c r="H26" i="2"/>
  <c r="I26" i="2"/>
  <c r="D26" i="2" s="1"/>
  <c r="G46" i="2"/>
  <c r="H42" i="2"/>
  <c r="I42" i="2"/>
  <c r="D42" i="2"/>
  <c r="G9" i="2"/>
  <c r="A5" i="20"/>
  <c r="A6" i="20"/>
  <c r="C2" i="2"/>
  <c r="G9" i="6" l="1"/>
  <c r="N14" i="6"/>
  <c r="C4" i="8" s="1"/>
  <c r="H4" i="2"/>
  <c r="I4" i="2" s="1"/>
  <c r="D4" i="2" s="1"/>
  <c r="G5" i="2"/>
  <c r="H5" i="1"/>
  <c r="G30" i="2"/>
  <c r="H7" i="1"/>
  <c r="H15" i="2"/>
  <c r="I15" i="2" s="1"/>
  <c r="D15" i="2" s="1"/>
  <c r="H6" i="1"/>
  <c r="H4" i="1"/>
  <c r="G38" i="2"/>
  <c r="G13" i="2"/>
  <c r="H5" i="2"/>
  <c r="I5" i="2" s="1"/>
  <c r="D5" i="2" s="1"/>
  <c r="G8" i="2"/>
  <c r="H37" i="2"/>
  <c r="I37" i="2" s="1"/>
  <c r="D37" i="2" s="1"/>
  <c r="H50" i="2"/>
  <c r="I50" i="2" s="1"/>
  <c r="D50" i="2" s="1"/>
  <c r="H14" i="1"/>
  <c r="H11" i="1"/>
  <c r="H10" i="1"/>
  <c r="H9" i="1"/>
  <c r="H3" i="1"/>
  <c r="G16" i="2"/>
  <c r="H12" i="1"/>
  <c r="H2" i="1"/>
  <c r="I35" i="12"/>
  <c r="J35" i="14"/>
  <c r="C12" i="8" s="1"/>
  <c r="D35" i="18"/>
  <c r="C11" i="8" s="1"/>
  <c r="C37" i="12"/>
  <c r="D35" i="14"/>
  <c r="C10" i="8" s="1"/>
  <c r="H9" i="6"/>
  <c r="D24" i="17"/>
  <c r="F24" i="17" s="1"/>
  <c r="H16" i="15"/>
  <c r="H30" i="7"/>
  <c r="G16" i="15"/>
  <c r="E35" i="18"/>
  <c r="N7" i="17"/>
  <c r="C19" i="10" s="1"/>
  <c r="I9" i="6"/>
  <c r="W17" i="9"/>
  <c r="B14" i="20" s="1"/>
  <c r="W16" i="9"/>
  <c r="B13" i="20" s="1"/>
  <c r="J15" i="1" a="1"/>
  <c r="J15" i="1" s="1"/>
  <c r="V19" i="9"/>
  <c r="Q16" i="9" a="1"/>
  <c r="Q16" i="9" s="1"/>
  <c r="J38" i="9"/>
  <c r="P17" i="9" a="1"/>
  <c r="P17" i="9" s="1"/>
  <c r="R17" i="9" a="1"/>
  <c r="R17" i="9" s="1"/>
  <c r="H38" i="9" a="1"/>
  <c r="H38" i="9" s="1"/>
  <c r="G38" i="9" a="1"/>
  <c r="G38" i="9" s="1"/>
  <c r="Q17" i="9" a="1"/>
  <c r="Q17" i="9" s="1"/>
  <c r="A14" i="20"/>
  <c r="A4" i="20"/>
  <c r="O5" i="9"/>
  <c r="A2" i="20" s="1"/>
  <c r="A8" i="20"/>
  <c r="W15" i="9"/>
  <c r="B12" i="20" s="1"/>
  <c r="A9" i="20"/>
  <c r="A3" i="20"/>
  <c r="A7" i="20"/>
  <c r="A13" i="20"/>
  <c r="A10" i="20"/>
  <c r="A11" i="20"/>
  <c r="X19" i="9"/>
  <c r="V18" i="9"/>
  <c r="X18" i="9" s="1"/>
  <c r="P10" i="9" a="1"/>
  <c r="P10" i="9" s="1"/>
  <c r="W10" i="9"/>
  <c r="B7" i="20" s="1"/>
  <c r="P6" i="9" a="1"/>
  <c r="P6" i="9" s="1"/>
  <c r="W11" i="9"/>
  <c r="B8" i="20" s="1"/>
  <c r="J30" i="9"/>
  <c r="G29" i="9" a="1"/>
  <c r="G29" i="9" s="1"/>
  <c r="H34" i="9" a="1"/>
  <c r="H34" i="9" s="1"/>
  <c r="J37" i="9"/>
  <c r="J33" i="9"/>
  <c r="R9" i="9" a="1"/>
  <c r="R9" i="9" s="1"/>
  <c r="P7" i="9" a="1"/>
  <c r="P7" i="9" s="1"/>
  <c r="B7" i="9"/>
  <c r="R14" i="9" a="1"/>
  <c r="R14" i="9" s="1"/>
  <c r="B12" i="9"/>
  <c r="J29" i="9"/>
  <c r="R8" i="9" a="1"/>
  <c r="R8" i="9" s="1"/>
  <c r="Q8" i="9" a="1"/>
  <c r="Q8" i="9" s="1"/>
  <c r="G32" i="9" a="1"/>
  <c r="G32" i="9" s="1"/>
  <c r="Q12" i="9" a="1"/>
  <c r="Q12" i="9" s="1"/>
  <c r="R15" i="9" a="1"/>
  <c r="R15" i="9" s="1"/>
  <c r="H32" i="9" a="1"/>
  <c r="H32" i="9" s="1"/>
  <c r="P8" i="9" a="1"/>
  <c r="P8" i="9" s="1"/>
  <c r="R16" i="9" a="1"/>
  <c r="R16" i="9" s="1"/>
  <c r="P12" i="9" a="1"/>
  <c r="P12" i="9" s="1"/>
  <c r="J27" i="9"/>
  <c r="J32" i="9"/>
  <c r="R10" i="9" a="1"/>
  <c r="R10" i="9" s="1"/>
  <c r="H35" i="9" a="1"/>
  <c r="H35" i="9" s="1"/>
  <c r="J36" i="9"/>
  <c r="B15" i="9"/>
  <c r="B11" i="9"/>
  <c r="J34" i="9"/>
  <c r="G27" i="9" a="1"/>
  <c r="G27" i="9" s="1"/>
  <c r="Q7" i="9" a="1"/>
  <c r="Q7" i="9" s="1"/>
  <c r="H28" i="9" a="1"/>
  <c r="H28" i="9" s="1"/>
  <c r="Q10" i="9" a="1"/>
  <c r="Q10" i="9" s="1"/>
  <c r="Q14" i="9" a="1"/>
  <c r="Q14" i="9" s="1"/>
  <c r="H29" i="9" a="1"/>
  <c r="H29" i="9" s="1"/>
  <c r="Q9" i="9" a="1"/>
  <c r="Q9" i="9" s="1"/>
  <c r="J35" i="9"/>
  <c r="P14" i="9" a="1"/>
  <c r="P14" i="9" s="1"/>
  <c r="B8" i="9"/>
  <c r="H30" i="9" a="1"/>
  <c r="H30" i="9" s="1"/>
  <c r="B13" i="9"/>
  <c r="G37" i="9" a="1"/>
  <c r="G37" i="9" s="1"/>
  <c r="P9" i="9" a="1"/>
  <c r="P9" i="9" s="1"/>
  <c r="B26" i="9"/>
  <c r="B9" i="9"/>
  <c r="Q11" i="9" a="1"/>
  <c r="Q11" i="9" s="1"/>
  <c r="P15" i="9" a="1"/>
  <c r="P15" i="9" s="1"/>
  <c r="R6" i="9" a="1"/>
  <c r="R6" i="9" s="1"/>
  <c r="H37" i="9" a="1"/>
  <c r="H37" i="9" s="1"/>
  <c r="W6" i="9"/>
  <c r="B3" i="20" s="1"/>
  <c r="B5" i="9"/>
  <c r="Q13" i="9" a="1"/>
  <c r="Q13" i="9" s="1"/>
  <c r="J28" i="9"/>
  <c r="W14" i="9"/>
  <c r="B11" i="20" s="1"/>
  <c r="H36" i="9" a="1"/>
  <c r="H36" i="9" s="1"/>
  <c r="G33" i="9" a="1"/>
  <c r="G33" i="9" s="1"/>
  <c r="A12" i="20"/>
  <c r="P13" i="9" a="1"/>
  <c r="P13" i="9" s="1"/>
  <c r="R13" i="9" a="1"/>
  <c r="R13" i="9" s="1"/>
  <c r="R12" i="9" a="1"/>
  <c r="R12" i="9" s="1"/>
  <c r="G30" i="9" a="1"/>
  <c r="G30" i="9" s="1"/>
  <c r="W7" i="9"/>
  <c r="B4" i="20" s="1"/>
  <c r="P11" i="9" a="1"/>
  <c r="P11" i="9" s="1"/>
  <c r="H31" i="9" a="1"/>
  <c r="H31" i="9" s="1"/>
  <c r="Q15" i="9" a="1"/>
  <c r="Q15" i="9" s="1"/>
  <c r="W12" i="9"/>
  <c r="B9" i="20" s="1"/>
  <c r="R11" i="9" a="1"/>
  <c r="R11" i="9" s="1"/>
  <c r="B14" i="9"/>
  <c r="B10" i="9"/>
  <c r="Q6" i="9" a="1"/>
  <c r="Q6" i="9" s="1"/>
  <c r="B6" i="9"/>
  <c r="G35" i="9" a="1"/>
  <c r="G35" i="9" s="1"/>
  <c r="W8" i="9"/>
  <c r="B5" i="20" s="1"/>
  <c r="H27" i="9" a="1"/>
  <c r="H27" i="9" s="1"/>
  <c r="G36" i="9" a="1"/>
  <c r="G36" i="9" s="1"/>
  <c r="H33" i="9" a="1"/>
  <c r="H33" i="9" s="1"/>
  <c r="G28" i="9" a="1"/>
  <c r="G28" i="9" s="1"/>
  <c r="W9" i="9"/>
  <c r="B6" i="20" s="1"/>
  <c r="G31" i="9" a="1"/>
  <c r="G31" i="9" s="1"/>
  <c r="R7" i="9" a="1"/>
  <c r="R7" i="9" s="1"/>
  <c r="G34" i="9" a="1"/>
  <c r="G34" i="9" s="1"/>
  <c r="J31" i="9"/>
  <c r="W13" i="9"/>
  <c r="B10" i="20" s="1"/>
  <c r="P16" i="9" a="1"/>
  <c r="P16" i="9" s="1"/>
  <c r="F35" i="18" l="1"/>
  <c r="C9" i="8"/>
  <c r="C14" i="8" s="1"/>
  <c r="C4" i="10" s="1"/>
  <c r="C15" i="10" s="1"/>
  <c r="C17" i="10" s="1"/>
  <c r="P7" i="17"/>
  <c r="K5" i="17"/>
  <c r="K6" i="17" s="1"/>
  <c r="I38" i="9"/>
  <c r="K38" i="9" s="1"/>
  <c r="I36" i="9"/>
  <c r="I28" i="9"/>
  <c r="I34" i="9"/>
  <c r="I30" i="9"/>
  <c r="K30" i="9" s="1"/>
  <c r="I32" i="9"/>
  <c r="K32" i="9" s="1"/>
  <c r="K28" i="9"/>
  <c r="K36" i="9"/>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R5" i="9" a="1"/>
  <c r="R5" i="9" s="1"/>
  <c r="D12" i="19" s="1" a="1"/>
  <c r="D12" i="19" s="1"/>
  <c r="C26" i="9" a="1"/>
  <c r="C26" i="9" s="1"/>
  <c r="W5" i="9"/>
  <c r="B2" i="20" s="1"/>
  <c r="C12" i="19" a="1"/>
  <c r="C12" i="19" s="1"/>
  <c r="D8" i="19" a="1"/>
  <c r="D8" i="19" s="1"/>
  <c r="U17" i="9" a="1"/>
  <c r="U17" i="9" s="1"/>
  <c r="T17" i="9" a="1"/>
  <c r="T17" i="9" s="1"/>
  <c r="S17" i="9" a="1"/>
  <c r="S17" i="9" s="1"/>
  <c r="Q5" i="9" a="1"/>
  <c r="Q5" i="9" s="1"/>
  <c r="D10" i="19" s="1" a="1"/>
  <c r="D10" i="19" s="1"/>
  <c r="H26" i="9" a="1"/>
  <c r="H26" i="9" s="1"/>
  <c r="C14" i="9"/>
  <c r="E14" i="9"/>
  <c r="E15" i="9"/>
  <c r="C15" i="9"/>
  <c r="C13" i="9"/>
  <c r="E13" i="9"/>
  <c r="K34" i="9"/>
  <c r="I33" i="9"/>
  <c r="K33" i="9" s="1"/>
  <c r="I27" i="9"/>
  <c r="K27" i="9" s="1"/>
  <c r="C6" i="9"/>
  <c r="E6" i="9"/>
  <c r="E9" i="9" a="1"/>
  <c r="E9" i="9" s="1"/>
  <c r="C9" i="9"/>
  <c r="C8" i="9"/>
  <c r="E8" i="9"/>
  <c r="V17" i="9" l="1"/>
  <c r="X17" i="9" s="1"/>
  <c r="E12" i="19"/>
  <c r="E18" i="19" a="1"/>
  <c r="E18" i="19" s="1"/>
  <c r="S7" i="9" a="1"/>
  <c r="S7" i="9" s="1"/>
  <c r="S5" i="9" a="1"/>
  <c r="S5" i="9" s="1"/>
  <c r="D14" i="19" s="1" a="1"/>
  <c r="D14" i="19" s="1"/>
  <c r="E14" i="19" s="1"/>
  <c r="S10" i="9" a="1"/>
  <c r="S10" i="9" s="1"/>
  <c r="S8" i="9" a="1"/>
  <c r="S8" i="9" s="1"/>
  <c r="S14" i="9" a="1"/>
  <c r="S14" i="9" s="1"/>
  <c r="S9" i="9" a="1"/>
  <c r="S9" i="9" s="1"/>
  <c r="S12" i="9" a="1"/>
  <c r="S12" i="9" s="1"/>
  <c r="S15" i="9" a="1"/>
  <c r="S15" i="9" s="1"/>
  <c r="S6" i="9" a="1"/>
  <c r="S6" i="9" s="1"/>
  <c r="S13" i="9" a="1"/>
  <c r="S13" i="9" s="1"/>
  <c r="S16" i="9" a="1"/>
  <c r="S16" i="9" s="1"/>
  <c r="S11" i="9" a="1"/>
  <c r="S11" i="9" s="1"/>
  <c r="T13" i="9" a="1"/>
  <c r="T13" i="9" s="1"/>
  <c r="T7" i="9" a="1"/>
  <c r="T7" i="9" s="1"/>
  <c r="K45" i="9"/>
  <c r="T14" i="9" a="1"/>
  <c r="T14" i="9" s="1"/>
  <c r="T9" i="9" a="1"/>
  <c r="T9" i="9" s="1"/>
  <c r="T6" i="9" a="1"/>
  <c r="T6" i="9" s="1"/>
  <c r="T11" i="9" a="1"/>
  <c r="T11" i="9" s="1"/>
  <c r="K47" i="9"/>
  <c r="T8" i="9" a="1"/>
  <c r="T8" i="9" s="1"/>
  <c r="T10" i="9" a="1"/>
  <c r="T10" i="9" s="1"/>
  <c r="K46" i="9"/>
  <c r="T15" i="9" a="1"/>
  <c r="T15" i="9" s="1"/>
  <c r="T12" i="9" a="1"/>
  <c r="T12" i="9" s="1"/>
  <c r="T16" i="9" a="1"/>
  <c r="T16" i="9" s="1"/>
  <c r="C4" i="9"/>
  <c r="E4" i="9"/>
  <c r="U15" i="9" a="1"/>
  <c r="U15" i="9" s="1"/>
  <c r="U10" i="9" a="1"/>
  <c r="U10" i="9" s="1"/>
  <c r="U5" i="9" a="1"/>
  <c r="U5" i="9" s="1"/>
  <c r="U8" i="9" a="1"/>
  <c r="U8" i="9" s="1"/>
  <c r="U6" i="9" a="1"/>
  <c r="U6" i="9" s="1"/>
  <c r="U13" i="9" a="1"/>
  <c r="U13" i="9" s="1"/>
  <c r="U11" i="9" a="1"/>
  <c r="U11" i="9" s="1"/>
  <c r="U9" i="9" a="1"/>
  <c r="U9" i="9" s="1"/>
  <c r="U12" i="9" a="1"/>
  <c r="U12" i="9" s="1"/>
  <c r="U14" i="9" a="1"/>
  <c r="U14" i="9" s="1"/>
  <c r="U16" i="9" a="1"/>
  <c r="U16" i="9" s="1"/>
  <c r="U7" i="9" a="1"/>
  <c r="U7" i="9" s="1"/>
  <c r="I26" i="9"/>
  <c r="K26" i="9" s="1"/>
  <c r="C16" i="9"/>
  <c r="V8" i="9" l="1"/>
  <c r="X8" i="9" s="1"/>
  <c r="V11" i="9"/>
  <c r="X11" i="9" s="1"/>
  <c r="V16" i="9"/>
  <c r="X16" i="9" s="1"/>
  <c r="V14" i="9"/>
  <c r="X14" i="9" s="1"/>
  <c r="V15" i="9"/>
  <c r="X15" i="9" s="1"/>
  <c r="V9" i="9"/>
  <c r="X9" i="9" s="1"/>
  <c r="V7" i="9"/>
  <c r="X7" i="9" s="1"/>
  <c r="V6" i="9"/>
  <c r="X6" i="9" s="1"/>
  <c r="V12" i="9"/>
  <c r="X12" i="9" s="1"/>
  <c r="V13" i="9"/>
  <c r="X13" i="9" s="1"/>
  <c r="I44" i="9"/>
  <c r="K44" i="9" s="1"/>
  <c r="T5" i="9" a="1"/>
  <c r="T5" i="9" s="1"/>
  <c r="V5" i="9" s="1"/>
  <c r="X5" i="9" s="1"/>
  <c r="E20" i="19" s="1" a="1"/>
  <c r="E20" i="19" s="1"/>
  <c r="V10" i="9"/>
  <c r="X10" i="9" s="1"/>
  <c r="E16" i="19"/>
  <c r="C18" i="9" l="1"/>
  <c r="C3" i="10" s="1"/>
  <c r="C5" i="10" s="1"/>
  <c r="F21" i="10" s="1"/>
  <c r="C11" i="10" l="1"/>
  <c r="C13" i="10" s="1"/>
  <c r="C21" i="10" s="1"/>
  <c r="D2"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<sst xmlns="http://schemas.openxmlformats.org/spreadsheetml/2006/main" count="524" uniqueCount="206">
  <si>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</si>
  <si>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</si>
  <si>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</si>
  <si>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</si>
  <si>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</si>
  <si>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</si>
  <si>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</si>
  <si>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</si>
  <si>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</si>
  <si>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</si>
  <si>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</si>
  <si>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</si>
  <si>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</si>
  <si>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</si>
  <si>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</si>
  <si>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</si>
  <si>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</si>
  <si>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</si>
  <si>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</si>
  <si>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</si>
  <si>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</si>
  <si>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</si>
  <si>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</si>
  <si>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</si>
  <si>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</si>
  <si>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</si>
  <si>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</si>
  <si>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</si>
  <si>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</si>
  <si>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</si>
  <si>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</si>
  <si>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</si>
  <si>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</si>
  <si>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</si>
  <si>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</si>
  <si>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</si>
  <si>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</si>
  <si>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</si>
  <si>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</si>
  <si>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</si>
  <si>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</si>
  <si>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</si>
  <si>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</si>
  <si>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</si>
  <si>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</si>
  <si>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</si>
  <si>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</si>
  <si>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</si>
  <si>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</si>
  <si>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</si>
  <si>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</si>
  <si>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</si>
  <si>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</si>
  <si>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</si>
  <si>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</si>
  <si>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</si>
  <si>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</si>
  <si>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</si>
  <si>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</si>
  <si>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</si>
  <si>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</si>
  <si>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</si>
  <si>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</si>
  <si>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</si>
  <si>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</si>
  <si>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</si>
  <si>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</si>
  <si>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</si>
  <si>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</si>
  <si>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</si>
  <si>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</si>
  <si>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</si>
  <si>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</si>
  <si>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</si>
  <si>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</si>
  <si>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</si>
  <si>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</si>
  <si>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</si>
  <si>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</si>
  <si>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</si>
  <si>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</si>
  <si>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</si>
  <si>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</si>
  <si>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</si>
  <si>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</si>
  <si>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</si>
  <si>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</si>
  <si>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</si>
  <si>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</si>
  <si>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</si>
  <si>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</si>
  <si>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</si>
  <si>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</si>
  <si>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</si>
  <si>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</si>
  <si>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</si>
  <si>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</si>
  <si>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</si>
  <si>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</si>
  <si>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</si>
  <si>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</si>
  <si>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</si>
  <si>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</si>
  <si>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</si>
  <si>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</si>
  <si>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</si>
  <si>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</si>
  <si>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</si>
  <si>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</si>
  <si>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</si>
  <si>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</si>
  <si>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</si>
  <si>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</si>
  <si>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</si>
  <si>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</si>
  <si>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</si>
  <si>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</si>
  <si>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</si>
  <si>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</si>
  <si>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</si>
  <si>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</si>
  <si>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Chemicals</t>
  </si>
  <si>
    <t>H3R</t>
  </si>
  <si>
    <t>Acetic Acid</t>
  </si>
  <si>
    <t>Dasti</t>
  </si>
  <si>
    <t>Unicolour</t>
  </si>
  <si>
    <t>Advance Salary</t>
  </si>
  <si>
    <t>Faysal Akraam</t>
  </si>
  <si>
    <t>PVA</t>
  </si>
  <si>
    <t>Sajid Operator</t>
  </si>
  <si>
    <t>Finish</t>
  </si>
  <si>
    <t>BP26</t>
  </si>
  <si>
    <t>NP9</t>
  </si>
  <si>
    <t>disp powder</t>
  </si>
  <si>
    <t>Master Tanveer</t>
  </si>
  <si>
    <t>Qadeer Driver</t>
  </si>
  <si>
    <t>Khalid Sahab</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</si>
  <si>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</si>
  <si>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</si>
  <si>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</si>
  <si>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</si>
  <si>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</si>
  <si>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</si>
  <si>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</si>
  <si>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</si>
  <si>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</si>
  <si>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</si>
  <si>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</si>
  <si>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</si>
  <si>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</si>
  <si>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</si>
  <si>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</si>
  <si>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</si>
  <si>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</si>
  <si>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</si>
  <si>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</si>
  <si>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</si>
  <si>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</si>
  <si>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</si>
  <si>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</si>
  <si>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</si>
  <si>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</si>
  <si>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</si>
  <si>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</si>
  <si>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</si>
  <si>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</si>
  <si>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</si>
  <si>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</si>
  <si>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</si>
  <si>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</si>
  <si>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Sajid Gill</t>
  </si>
  <si>
    <t>Naeem Electric</t>
  </si>
  <si>
    <t>Ali Ahmad</t>
  </si>
  <si>
    <t>Yellow 4G</t>
  </si>
  <si>
    <t>Scarlet B</t>
  </si>
  <si>
    <t>Kamran</t>
  </si>
  <si>
    <t>Naeem driver OSF</t>
  </si>
  <si>
    <t>Zulfiqar</t>
  </si>
  <si>
    <t>Waqas Folding</t>
  </si>
  <si>
    <t>16/5/25 unpaid</t>
  </si>
  <si>
    <t>Ashraf Zia</t>
  </si>
  <si>
    <t>Ejaz folding</t>
  </si>
  <si>
    <t>12k advance paid. 14500 left</t>
  </si>
  <si>
    <t>workshop</t>
  </si>
  <si>
    <t>Master Arshad</t>
  </si>
  <si>
    <t>Azam Operator</t>
  </si>
  <si>
    <t>Rafaqat</t>
  </si>
  <si>
    <t>Sabir Chakki</t>
  </si>
  <si>
    <t>gazana</t>
  </si>
  <si>
    <t>sum</t>
  </si>
  <si>
    <t>Dilawar stenter</t>
  </si>
  <si>
    <t>Master Akbar</t>
  </si>
  <si>
    <t>Azam</t>
  </si>
  <si>
    <t>Ashfaq Sahab</t>
  </si>
  <si>
    <t>NP9,Acetic,disp</t>
  </si>
  <si>
    <t>Blue GSL</t>
  </si>
  <si>
    <t>August Closing CF</t>
  </si>
  <si>
    <t>Billing (Previous)</t>
  </si>
  <si>
    <t>Billing September</t>
  </si>
  <si>
    <t>Closing August CF</t>
  </si>
  <si>
    <t>MII 112</t>
  </si>
  <si>
    <t>Package Khalid Sahab</t>
  </si>
  <si>
    <t>GAS 1435</t>
  </si>
  <si>
    <t>Mazdoor</t>
  </si>
  <si>
    <t>Kamran (10k)</t>
  </si>
  <si>
    <t>Khalid Sahab (40k)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</si>
</sst>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25">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327883</xdr:colOff>
      <xdr:row>1</xdr:row>
      <xdr:rowOff>59338</xdr:rowOff>
    </xdr:from>
    <xdr:to>
      <xdr:col>13</xdr:col>
      <xdr:colOff>110136</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571619</xdr:colOff>
      <xdr:row>15</xdr:row>
      <xdr:rowOff>132975</xdr:rowOff>
    </xdr:from>
    <xdr:to>
      <xdr:col>15</xdr:col>
      <xdr:colOff>855581</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1053717</v>
          </cell>
          <cell r="Q5">
            <v>963530.5413313827</v>
          </cell>
          <cell r="R5">
            <v>948978.60277980985</v>
          </cell>
          <cell r="S5">
            <v>14551.938551572788</v>
          </cell>
          <cell r="T5">
            <v>9489786.0277980994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611740</v>
          </cell>
          <cell r="Q9">
            <v>559381.85808339436</v>
          </cell>
          <cell r="R9">
            <v>341463.97220190201</v>
          </cell>
          <cell r="S9">
            <v>217917.88588149232</v>
          </cell>
          <cell r="T9">
            <v>3073175.749817118</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703704" createdVersion="8" refreshedVersion="8" minRefreshableVersion="3" recordCount="7" xr:uid="{B5BDFB73-D93A-4A7A-8149-666BC190B09B}">
  <cacheSource type="worksheet">
    <worksheetSource name="Table14"/>
  </cacheSource>
  <cacheFields count="7">
    <cacheField name="Date" numFmtId="14">
      <sharedItems containsNonDate="0" containsDate="1" containsString="0" containsBlank="1" minDate="2025-08-17T00:00:00" maxDate="2025-08-18T00:00:00"/>
    </cacheField>
    <cacheField name="Party" numFmtId="0">
      <sharedItems containsBlank="1" count="39">
        <s v="Closing August CF"/>
        <m/>
        <s v="Closing July CF" u="1"/>
        <s v="BSC" u="1"/>
        <s v="Malik Zaheer" u="1"/>
        <s v="Omer" u="1"/>
        <s v="Parts" u="1"/>
        <s v="Transport" u="1"/>
        <s v="Misc" u="1"/>
        <s v="Sajad Khan" u="1"/>
        <s v="Ejaz Sahab" u="1"/>
        <s v="Rashan" u="1"/>
        <s v="Chemicals" u="1"/>
        <s v="Dasti" u="1"/>
        <s v="Unicolour" u="1"/>
        <s v="Raaz" u="1"/>
        <s v="Advance Salary" u="1"/>
        <s v="Faysal Akraam" u="1"/>
        <s v="Arshad" u="1"/>
        <s v="Cash" u="1"/>
        <s v="Diesel" u="1"/>
        <s v="Old Bill" u="1"/>
        <s v="Sufi Nawaz Sahab" u="1"/>
        <s v="Finish" u="1"/>
        <s v="temp" u="1"/>
        <s v="temp (Ashfaq Sahab)" u="1"/>
        <s v="Ubaidullah" u="1"/>
        <s v="Salary " u="1"/>
        <s v="Aqib" u="1"/>
        <s v="Raaz fabrics" u="1"/>
        <s v="Shehzad Kamoki" u="1"/>
        <s v="Rafaqat" u="1"/>
        <s v="Dyes" u="1"/>
        <s v="Azam" u="1"/>
        <s v="Toll" u="1"/>
        <s v="Salary" u="1"/>
        <s v="Self" u="1"/>
        <s v="Aqib Freight" u="1"/>
        <s v="Hafiz Qureshi" u="1"/>
      </sharedItems>
    </cacheField>
    <cacheField name="Debit" numFmtId="164">
      <sharedItems containsNonDate="0" containsString="0" containsBlank="1"/>
    </cacheField>
    <cacheField name="Credit" numFmtId="164">
      <sharedItems containsString="0" containsBlank="1" containsNumber="1" containsInteger="1" minValue="8248" maxValue="12665"/>
    </cacheField>
    <cacheField name="Description" numFmtId="0">
      <sharedItems containsNonDate="0" containsString="0"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7152778"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0.5"/>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7500002"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0" maxValue="114250"/>
    </cacheField>
    <cacheField name="Balance" numFmtId="0">
      <sharedItems containsSemiMixedTypes="0" containsString="0" containsNumber="1" containsInteger="1" minValue="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761574"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0"/>
    </cacheField>
    <cacheField name="balance" numFmtId="164">
      <sharedItems containsSemiMixedTypes="0" containsString="0" containsNumber="1" containsInteger="1" minValue="-274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7731479" createdVersion="8" refreshedVersion="8" minRefreshableVersion="3" recordCount="1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9-16T00:00:00"/>
        <d v="2025-08-17T00:00:00" u="1"/>
        <d v="2025-08-19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28" count="219">
        <s v="August Closing CF"/>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07">
        <m/>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14551.938551572788" maxValue="948978.60277980985"/>
    </cacheField>
    <cacheField name="billing" numFmtId="165">
      <sharedItems containsSemiMixedTypes="0" containsString="0" containsNumber="1" minValue="174623.26261887344" maxValue="9489786.0277980976"/>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057938078702"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69950"/>
    </cacheField>
    <cacheField name="Balance" numFmtId="0">
      <sharedItems containsSemiMixedTypes="0" containsString="0" containsNumber="1" containsInteger="1" minValue="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d v="2025-08-17T00:00:00"/>
    <x v="0"/>
    <m/>
    <n v="8248"/>
    <m/>
    <s v="Bank"/>
    <m/>
  </r>
  <r>
    <d v="2025-08-17T00:00:00"/>
    <x v="0"/>
    <m/>
    <n v="12665"/>
    <m/>
    <s v="Cash"/>
    <m/>
  </r>
  <r>
    <m/>
    <x v="1"/>
    <m/>
    <m/>
    <m/>
    <m/>
    <m/>
  </r>
  <r>
    <m/>
    <x v="1"/>
    <m/>
    <m/>
    <m/>
    <m/>
    <m/>
  </r>
  <r>
    <m/>
    <x v="1"/>
    <m/>
    <m/>
    <m/>
    <m/>
    <m/>
  </r>
  <r>
    <m/>
    <x v="1"/>
    <m/>
    <m/>
    <m/>
    <m/>
    <m/>
  </r>
  <r>
    <m/>
    <x v="1"/>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
    <n v="10"/>
    <n v="0"/>
  </r>
  <r>
    <x v="1"/>
    <n v="0"/>
    <n v="10"/>
    <n v="0"/>
  </r>
  <r>
    <x v="2"/>
    <n v="0"/>
    <n v="10"/>
    <n v="0"/>
  </r>
  <r>
    <x v="3"/>
    <n v="0"/>
    <n v="10.5"/>
    <n v="0"/>
  </r>
  <r>
    <x v="4"/>
    <n v="0"/>
    <n v="10"/>
    <n v="0"/>
  </r>
  <r>
    <x v="5"/>
    <n v="0"/>
    <n v="10"/>
    <n v="0"/>
  </r>
  <r>
    <x v="6"/>
    <n v="0"/>
    <n v="10"/>
    <n v="0"/>
  </r>
  <r>
    <x v="7"/>
    <n v="0"/>
    <n v="10"/>
    <n v="0"/>
  </r>
  <r>
    <x v="8"/>
    <n v="0"/>
    <n v="10"/>
    <n v="0"/>
  </r>
  <r>
    <x v="9"/>
    <n v="0"/>
    <m/>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0"/>
    <n v="0"/>
    <m/>
  </r>
  <r>
    <x v="1"/>
    <s v="Chemicals"/>
    <m/>
    <m/>
    <n v="46500"/>
    <x v="1"/>
    <n v="0"/>
    <n v="46500"/>
    <s v="H3R"/>
  </r>
  <r>
    <x v="1"/>
    <s v="Chemicals"/>
    <m/>
    <m/>
    <n v="13600"/>
    <x v="1"/>
    <n v="0"/>
    <n v="1360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0"/>
    <n v="12000"/>
    <m/>
  </r>
  <r>
    <x v="3"/>
    <s v="Yellow 4G"/>
    <n v="3"/>
    <n v="1300"/>
    <n v="97500"/>
    <x v="0"/>
    <m/>
    <n v="97500"/>
    <m/>
  </r>
  <r>
    <x v="3"/>
    <s v="Scarlet B"/>
    <n v="2"/>
    <n v="1140"/>
    <n v="57000"/>
    <x v="0"/>
    <m/>
    <n v="57000"/>
    <m/>
  </r>
  <r>
    <x v="4"/>
    <s v="Dyes"/>
    <m/>
    <m/>
    <m/>
    <x v="0"/>
    <n v="0"/>
    <n v="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0"/>
    <n v="0"/>
  </r>
  <r>
    <x v="4"/>
    <x v="0"/>
    <x v="6"/>
    <n v="265"/>
    <n v="765"/>
    <n v="26650"/>
    <n v="202725"/>
    <m/>
    <n v="202725"/>
  </r>
  <r>
    <x v="5"/>
    <x v="0"/>
    <x v="5"/>
    <m/>
    <m/>
    <m/>
    <n v="0"/>
    <n v="0"/>
    <n v="0"/>
  </r>
  <r>
    <x v="6"/>
    <x v="0"/>
    <x v="7"/>
    <n v="292"/>
    <n v="765"/>
    <n v="31000"/>
    <n v="223380"/>
    <n v="0"/>
    <n v="223380"/>
  </r>
  <r>
    <x v="7"/>
    <x v="0"/>
    <x v="8"/>
    <n v="347"/>
    <n v="765"/>
    <n v="29500"/>
    <n v="265455"/>
    <n v="0"/>
    <n v="265455"/>
  </r>
  <r>
    <x v="8"/>
    <x v="0"/>
    <x v="9"/>
    <n v="256"/>
    <n v="765"/>
    <n v="40400"/>
    <n v="195840"/>
    <n v="0"/>
    <n v="195840"/>
  </r>
  <r>
    <x v="8"/>
    <x v="0"/>
    <x v="4"/>
    <n v="215"/>
    <n v="765"/>
    <n v="36000"/>
    <n v="164475"/>
    <m/>
    <n v="164475"/>
  </r>
  <r>
    <x v="9"/>
    <x v="0"/>
    <x v="5"/>
    <m/>
    <m/>
    <m/>
    <n v="0"/>
    <n v="0"/>
    <n v="0"/>
  </r>
  <r>
    <x v="10"/>
    <x v="0"/>
    <x v="10"/>
    <n v="281"/>
    <n v="765"/>
    <n v="29450"/>
    <n v="214965"/>
    <n v="0"/>
    <n v="214965"/>
  </r>
  <r>
    <x v="10"/>
    <x v="0"/>
    <x v="4"/>
    <n v="245"/>
    <n v="765"/>
    <n v="40000"/>
    <n v="187425"/>
    <m/>
    <n v="187425"/>
  </r>
  <r>
    <x v="11"/>
    <x v="1"/>
    <x v="11"/>
    <n v="29"/>
    <n v="700"/>
    <m/>
    <n v="20300"/>
    <n v="0"/>
    <n v="20300"/>
  </r>
  <r>
    <x v="12"/>
    <x v="0"/>
    <x v="12"/>
    <n v="225"/>
    <n v="810"/>
    <n v="20700"/>
    <n v="182250"/>
    <n v="0"/>
    <n v="182250"/>
  </r>
  <r>
    <x v="12"/>
    <x v="0"/>
    <x v="13"/>
    <n v="291"/>
    <n v="765"/>
    <n v="25500"/>
    <n v="222615"/>
    <m/>
    <n v="222615"/>
  </r>
  <r>
    <x v="13"/>
    <x v="1"/>
    <x v="14"/>
    <n v="133"/>
    <n v="700"/>
    <n v="13250"/>
    <n v="93100"/>
    <n v="0"/>
    <n v="93100"/>
  </r>
  <r>
    <x v="14"/>
    <x v="0"/>
    <x v="15"/>
    <n v="265"/>
    <n v="810"/>
    <n v="43250"/>
    <n v="214650"/>
    <n v="0"/>
    <n v="214650"/>
  </r>
  <r>
    <x v="15"/>
    <x v="0"/>
    <x v="5"/>
    <m/>
    <m/>
    <m/>
    <n v="0"/>
    <n v="0"/>
    <n v="0"/>
  </r>
  <r>
    <x v="15"/>
    <x v="1"/>
    <x v="5"/>
    <m/>
    <m/>
    <m/>
    <n v="0"/>
    <n v="0"/>
    <n v="0"/>
  </r>
  <r>
    <x v="16"/>
    <x v="0"/>
    <x v="5"/>
    <m/>
    <m/>
    <m/>
    <n v="0"/>
    <n v="0"/>
    <n v="0"/>
  </r>
  <r>
    <x v="16"/>
    <x v="0"/>
    <x v="4"/>
    <n v="220"/>
    <n v="765"/>
    <n v="37000"/>
    <n v="168300"/>
    <m/>
    <n v="168300"/>
  </r>
  <r>
    <x v="17"/>
    <x v="0"/>
    <x v="16"/>
    <n v="302"/>
    <n v="765"/>
    <n v="34000"/>
    <n v="231030"/>
    <n v="0"/>
    <n v="231030"/>
  </r>
  <r>
    <x v="18"/>
    <x v="0"/>
    <x v="17"/>
    <n v="297"/>
    <n v="765"/>
    <n v="31500"/>
    <n v="227205"/>
    <n v="0"/>
    <n v="227205"/>
  </r>
  <r>
    <x v="18"/>
    <x v="0"/>
    <x v="18"/>
    <n v="249"/>
    <n v="810"/>
    <n v="40000"/>
    <n v="201690"/>
    <m/>
    <n v="201690"/>
  </r>
  <r>
    <x v="18"/>
    <x v="0"/>
    <x v="19"/>
    <n v="231"/>
    <n v="765"/>
    <n v="41000"/>
    <n v="176715"/>
    <m/>
    <n v="176715"/>
  </r>
  <r>
    <x v="19"/>
    <x v="1"/>
    <x v="5"/>
    <m/>
    <m/>
    <m/>
    <n v="0"/>
    <n v="0"/>
    <n v="0"/>
  </r>
  <r>
    <x v="20"/>
    <x v="0"/>
    <x v="20"/>
    <n v="271"/>
    <n v="810"/>
    <n v="44750"/>
    <n v="219510"/>
    <m/>
    <n v="219510"/>
  </r>
  <r>
    <x v="20"/>
    <x v="0"/>
    <x v="21"/>
    <n v="266"/>
    <n v="810"/>
    <n v="43300"/>
    <n v="215460"/>
    <n v="0"/>
    <n v="215460"/>
  </r>
  <r>
    <x v="20"/>
    <x v="2"/>
    <x v="11"/>
    <n v="44"/>
    <n v="590"/>
    <m/>
    <n v="25960"/>
    <n v="0"/>
    <n v="25960"/>
  </r>
  <r>
    <x v="20"/>
    <x v="2"/>
    <x v="11"/>
    <n v="43"/>
    <n v="590"/>
    <m/>
    <n v="25370"/>
    <n v="0"/>
    <n v="25370"/>
  </r>
  <r>
    <x v="21"/>
    <x v="0"/>
    <x v="22"/>
    <n v="284"/>
    <n v="810"/>
    <n v="44700"/>
    <n v="230040"/>
    <n v="0"/>
    <n v="230040"/>
  </r>
  <r>
    <x v="21"/>
    <x v="0"/>
    <x v="23"/>
    <n v="187"/>
    <n v="765"/>
    <n v="33000"/>
    <n v="143055"/>
    <m/>
    <n v="143055"/>
  </r>
  <r>
    <x v="21"/>
    <x v="2"/>
    <x v="11"/>
    <n v="41"/>
    <n v="590"/>
    <m/>
    <n v="24190"/>
    <n v="0"/>
    <n v="24190"/>
  </r>
  <r>
    <x v="22"/>
    <x v="2"/>
    <x v="11"/>
    <n v="200"/>
    <n v="550"/>
    <m/>
    <n v="110000"/>
    <n v="0"/>
    <n v="110000"/>
  </r>
  <r>
    <x v="23"/>
    <x v="2"/>
    <x v="11"/>
    <n v="35"/>
    <n v="550"/>
    <m/>
    <n v="19250"/>
    <n v="0"/>
    <n v="19250"/>
  </r>
  <r>
    <x v="23"/>
    <x v="0"/>
    <x v="5"/>
    <m/>
    <m/>
    <m/>
    <n v="0"/>
    <n v="0"/>
    <n v="0"/>
  </r>
  <r>
    <x v="24"/>
    <x v="0"/>
    <x v="24"/>
    <n v="239"/>
    <n v="810"/>
    <n v="36550"/>
    <n v="193590"/>
    <n v="0"/>
    <n v="193590"/>
  </r>
  <r>
    <x v="25"/>
    <x v="0"/>
    <x v="25"/>
    <n v="50"/>
    <n v="765"/>
    <n v="37500"/>
    <n v="38250"/>
    <m/>
    <n v="38250"/>
  </r>
  <r>
    <x v="25"/>
    <x v="0"/>
    <x v="25"/>
    <n v="173"/>
    <n v="810"/>
    <m/>
    <n v="140130"/>
    <n v="0"/>
    <n v="140130"/>
  </r>
  <r>
    <x v="25"/>
    <x v="2"/>
    <x v="11"/>
    <n v="44"/>
    <n v="590"/>
    <m/>
    <n v="25960"/>
    <n v="0"/>
    <n v="25960"/>
  </r>
  <r>
    <x v="25"/>
    <x v="2"/>
    <x v="11"/>
    <n v="188"/>
    <n v="550"/>
    <m/>
    <n v="103400"/>
    <m/>
    <n v="103400"/>
  </r>
  <r>
    <x v="26"/>
    <x v="0"/>
    <x v="5"/>
    <m/>
    <m/>
    <m/>
    <n v="0"/>
    <n v="0"/>
    <n v="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0"/>
    <n v="183870"/>
  </r>
  <r>
    <x v="27"/>
    <x v="0"/>
    <x v="27"/>
    <n v="306"/>
    <n v="765"/>
    <n v="32100"/>
    <n v="234090"/>
    <m/>
    <n v="234090"/>
  </r>
  <r>
    <x v="28"/>
    <x v="2"/>
    <x v="11"/>
    <n v="47"/>
    <n v="590"/>
    <m/>
    <n v="27730"/>
    <n v="0"/>
    <n v="27730"/>
  </r>
  <r>
    <x v="28"/>
    <x v="0"/>
    <x v="5"/>
    <m/>
    <m/>
    <m/>
    <n v="0"/>
    <n v="0"/>
    <n v="0"/>
  </r>
  <r>
    <x v="29"/>
    <x v="0"/>
    <x v="28"/>
    <n v="245"/>
    <n v="810"/>
    <n v="41500"/>
    <n v="198450"/>
    <n v="0"/>
    <n v="198450"/>
  </r>
  <r>
    <x v="29"/>
    <x v="2"/>
    <x v="5"/>
    <m/>
    <m/>
    <m/>
    <n v="0"/>
    <n v="0"/>
    <n v="0"/>
  </r>
  <r>
    <x v="30"/>
    <x v="1"/>
    <x v="5"/>
    <m/>
    <m/>
    <m/>
    <n v="0"/>
    <n v="0"/>
    <n v="0"/>
  </r>
  <r>
    <x v="30"/>
    <x v="0"/>
    <x v="29"/>
    <n v="241"/>
    <n v="810"/>
    <n v="39500"/>
    <n v="195210"/>
    <n v="0"/>
    <n v="19521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s v="Chamki"/>
    <x v="0"/>
    <m/>
    <m/>
    <e v="#DIV/0!"/>
    <n v="948978.60277980985"/>
    <n v="9489786.0277980976"/>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41463.97220190201"/>
    <n v="3073175.749817118"/>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0"/>
    <n v="0"/>
  </r>
  <r>
    <d v="2025-08-23T00:00:00"/>
    <x v="1"/>
    <s v="BP26"/>
    <n v="3"/>
    <m/>
    <n v="43500"/>
    <n v="0"/>
    <n v="43500"/>
  </r>
  <r>
    <d v="2025-08-23T00:00:00"/>
    <x v="1"/>
    <s v="NP9"/>
    <m/>
    <m/>
    <n v="9600"/>
    <n v="0"/>
    <n v="9600"/>
  </r>
  <r>
    <d v="2025-08-27T00:00:00"/>
    <x v="2"/>
    <s v="Starch"/>
    <m/>
    <m/>
    <n v="303750"/>
    <n v="0"/>
    <n v="303750"/>
  </r>
  <r>
    <d v="2025-09-01T00:00:00"/>
    <x v="2"/>
    <s v="BP26"/>
    <n v="3"/>
    <m/>
    <n v="51600"/>
    <n v="0"/>
    <n v="51600"/>
  </r>
  <r>
    <d v="2025-09-09T00:00:00"/>
    <x v="2"/>
    <s v="Starch"/>
    <n v="10"/>
    <m/>
    <n v="69500"/>
    <n v="0"/>
    <n v="69500"/>
  </r>
  <r>
    <m/>
    <x v="0"/>
    <s v="PVA"/>
    <m/>
    <m/>
    <n v="25000"/>
    <n v="0"/>
    <n v="25000"/>
  </r>
  <r>
    <d v="2025-09-13T00:00:00"/>
    <x v="2"/>
    <s v="Starch"/>
    <n v="45"/>
    <m/>
    <n v="310500"/>
    <n v="0"/>
    <n v="310500"/>
  </r>
  <r>
    <d v="2025-09-15T00:00:00"/>
    <x v="0"/>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4:K46"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4:G46"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2"/>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9"/>
        <item m="1" x="100"/>
        <item m="1" x="101"/>
        <item m="1" x="98"/>
        <item m="1" x="102"/>
        <item m="1" x="103"/>
        <item m="1" x="104"/>
        <item m="1" x="105"/>
        <item m="1" x="106"/>
        <item m="1" x="107"/>
        <item m="1" x="108"/>
        <item x="0"/>
        <item t="default"/>
      </items>
    </pivotField>
    <pivotField showAll="0"/>
    <pivotField axis="axisPage" multipleItemSelectionAllowed="1" showAll="0">
      <items count="108">
        <item m="1" x="61"/>
        <item m="1" x="90"/>
        <item m="1" x="91"/>
        <item m="1" x="99"/>
        <item m="1" x="89"/>
        <item m="1" x="88"/>
        <item m="1" x="92"/>
        <item m="1" x="103"/>
        <item m="1" x="95"/>
        <item m="1" x="96"/>
        <item m="1" x="93"/>
        <item m="1" x="94"/>
        <item m="1" x="104"/>
        <item m="1" x="97"/>
        <item m="1" x="98"/>
        <item m="1" x="101"/>
        <item m="1" x="102"/>
        <item m="1" x="100"/>
        <item m="1" x="56"/>
        <item m="1" x="106"/>
        <item m="1" x="55"/>
        <item m="1" x="105"/>
        <item m="1" x="58"/>
        <item m="1" x="57"/>
        <item m="1" x="59"/>
        <item m="1" x="65"/>
        <item m="1" x="60"/>
        <item m="1" x="62"/>
        <item m="1" x="66"/>
        <item m="1" x="67"/>
        <item m="1" x="86"/>
        <item m="1" x="63"/>
        <item m="1" x="64"/>
        <item m="1" x="26"/>
        <item m="1" x="48"/>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7:I101"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7">
      <pivotArea dataOnly="0" labelOnly="1" outline="0" fieldPosition="0">
        <references count="1">
          <reference field="1" count="1">
            <x v="1"/>
          </reference>
        </references>
      </pivotArea>
    </format>
    <format dxfId="9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66" firstHeaderRow="0" firstDataRow="1" firstDataCol="1"/>
  <pivotFields count="7">
    <pivotField numFmtId="14" showAll="0"/>
    <pivotField axis="axisRow" showAll="0">
      <items count="40">
        <item m="1" x="16"/>
        <item m="1" x="18"/>
        <item m="1" x="3"/>
        <item m="1" x="19"/>
        <item m="1" x="12"/>
        <item m="1" x="23"/>
        <item m="1" x="4"/>
        <item m="1" x="8"/>
        <item m="1" x="6"/>
        <item m="1" x="11"/>
        <item m="1" x="35"/>
        <item m="1" x="36"/>
        <item m="1" x="30"/>
        <item m="1" x="7"/>
        <item m="1" x="17"/>
        <item m="1" x="28"/>
        <item m="1" x="13"/>
        <item m="1" x="24"/>
        <item m="1" x="5"/>
        <item m="1" x="10"/>
        <item x="1"/>
        <item m="1" x="9"/>
        <item m="1" x="37"/>
        <item m="1" x="22"/>
        <item m="1" x="38"/>
        <item m="1" x="34"/>
        <item m="1" x="2"/>
        <item m="1" x="14"/>
        <item m="1" x="15"/>
        <item m="1" x="20"/>
        <item m="1" x="21"/>
        <item m="1" x="25"/>
        <item m="1" x="26"/>
        <item m="1" x="27"/>
        <item m="1" x="29"/>
        <item m="1" x="31"/>
        <item m="1" x="32"/>
        <item m="1" x="33"/>
        <item x="0"/>
        <item t="default"/>
      </items>
    </pivotField>
    <pivotField dataField="1" showAll="0"/>
    <pivotField dataField="1" showAll="0"/>
    <pivotField showAll="0"/>
    <pivotField showAll="0"/>
    <pivotField showAll="0"/>
  </pivotFields>
  <rowFields count="1">
    <field x="1"/>
  </rowFields>
  <rowItems count="3">
    <i>
      <x v="20"/>
    </i>
    <i>
      <x v="38"/>
    </i>
    <i t="grand">
      <x/>
    </i>
  </rowItems>
  <colFields count="1">
    <field x="-2"/>
  </colFields>
  <colItems count="2">
    <i>
      <x/>
    </i>
    <i i="1">
      <x v="1"/>
    </i>
  </colItems>
  <dataFields count="2">
    <dataField name="Sum of Credit" fld="3" baseField="0" baseItem="0"/>
    <dataField name="Sum of Debit" fld="2" baseField="0" baseItem="0"/>
  </dataFields>
  <formats count="1">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08">
        <item m="1" x="90"/>
        <item m="1" x="91"/>
        <item m="1" x="89"/>
        <item m="1" x="88"/>
        <item m="1" x="92"/>
        <item m="1" x="94"/>
        <item m="1" x="93"/>
        <item m="1" x="95"/>
        <item m="1" x="96"/>
        <item m="1" x="97"/>
        <item m="1" x="98"/>
        <item m="1" x="99"/>
        <item m="1" x="100"/>
        <item m="1" x="101"/>
        <item m="1" x="26"/>
        <item m="1" x="48"/>
        <item m="1" x="102"/>
        <item m="1" x="103"/>
        <item m="1" x="104"/>
        <item m="1" x="56"/>
        <item m="1" x="55"/>
        <item m="1" x="105"/>
        <item m="1" x="106"/>
        <item m="1" x="65"/>
        <item m="1" x="57"/>
        <item m="1" x="58"/>
        <item m="1" x="59"/>
        <item m="1" x="60"/>
        <item m="1" x="61"/>
        <item m="1" x="62"/>
        <item m="1" x="63"/>
        <item m="1" x="64"/>
        <item m="1" x="66"/>
        <item m="1" x="86"/>
        <item m="1" x="67"/>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fieldPosition="0">
        <references count="1">
          <reference field="4294967294" count="2">
            <x v="0"/>
            <x v="1"/>
          </reference>
        </references>
      </pivotArea>
    </format>
    <format dxfId="37">
      <pivotArea grandRow="1" outline="0" collapsedLevelsAreSubtotals="1" fieldPosition="0"/>
    </format>
    <format dxfId="36">
      <pivotArea field="4" type="button" dataOnly="0" labelOnly="1" outline="0" axis="axisRow" fieldPosition="0"/>
    </format>
    <format dxfId="3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7">
        <i x="61" s="1" nd="1"/>
        <i x="90" s="1" nd="1"/>
        <i x="91" s="1" nd="1"/>
        <i x="99" s="1" nd="1"/>
        <i x="89" s="1" nd="1"/>
        <i x="88" s="1" nd="1"/>
        <i x="92" s="1" nd="1"/>
        <i x="103" s="1" nd="1"/>
        <i x="95" s="1" nd="1"/>
        <i x="96" s="1" nd="1"/>
        <i x="93" s="1" nd="1"/>
        <i x="94" s="1" nd="1"/>
        <i x="104" s="1" nd="1"/>
        <i x="97" s="1" nd="1"/>
        <i x="98" s="1" nd="1"/>
        <i x="101" s="1" nd="1"/>
        <i x="102" s="1" nd="1"/>
        <i x="100" s="1" nd="1"/>
        <i x="56" s="1" nd="1"/>
        <i x="106" s="1" nd="1"/>
        <i x="55" s="1" nd="1"/>
        <i x="105" s="1" nd="1"/>
        <i x="58" s="1" nd="1"/>
        <i x="19" s="1" nd="1"/>
        <i x="57" s="1" nd="1"/>
        <i x="59" s="1" nd="1"/>
        <i x="65" s="1" nd="1"/>
        <i x="60" s="1" nd="1"/>
        <i x="62" s="1" nd="1"/>
        <i x="78" s="1" nd="1"/>
        <i x="1" s="1" nd="1"/>
        <i x="66" s="1" nd="1"/>
        <i x="6" s="1" nd="1"/>
        <i x="72" s="1" nd="1"/>
        <i x="67" s="1" nd="1"/>
        <i x="70" s="1" nd="1"/>
        <i x="75" s="1" nd="1"/>
        <i x="86" s="1" nd="1"/>
        <i x="68" s="1" nd="1"/>
        <i x="80" s="1" nd="1"/>
        <i x="83" s="1" nd="1"/>
        <i x="74" s="1" nd="1"/>
        <i x="63" s="1" nd="1"/>
        <i x="71" s="1" nd="1"/>
        <i x="64" s="1" nd="1"/>
        <i x="69" s="1" nd="1"/>
        <i x="2" s="1" nd="1"/>
        <i x="73" s="1" nd="1"/>
        <i x="79" s="1" nd="1"/>
        <i x="16" s="1" nd="1"/>
        <i x="76" s="1" nd="1"/>
        <i x="81" s="1" nd="1"/>
        <i x="77" s="1" nd="1"/>
        <i x="43" s="1" nd="1"/>
        <i x="82" s="1" nd="1"/>
        <i x="84" s="1" nd="1"/>
        <i x="4" s="1" nd="1"/>
        <i x="11" s="1" nd="1"/>
        <i x="85" s="1" nd="1"/>
        <i x="8" s="1" nd="1"/>
        <i x="9" s="1" nd="1"/>
        <i x="3" s="1" nd="1"/>
        <i x="7" s="1" nd="1"/>
        <i x="5" s="1" nd="1"/>
        <i x="14" s="1" nd="1"/>
        <i x="10" s="1" nd="1"/>
        <i x="12" s="1" nd="1"/>
        <i x="15" s="1" nd="1"/>
        <i x="23" s="1" nd="1"/>
        <i x="13" s="1" nd="1"/>
        <i x="22" s="1" nd="1"/>
        <i x="27" s="1" nd="1"/>
        <i x="21" s="1" nd="1"/>
        <i x="24" s="1" nd="1"/>
        <i x="34" s="1" nd="1"/>
        <i x="20" s="1" nd="1"/>
        <i x="17" s="1" nd="1"/>
        <i x="18" s="1" nd="1"/>
        <i x="33" s="1" nd="1"/>
        <i x="26" s="1" nd="1"/>
        <i x="37" s="1" nd="1"/>
        <i x="32" s="1" nd="1"/>
        <i x="25" s="1" nd="1"/>
        <i x="49" s="1" nd="1"/>
        <i x="30" s="1" nd="1"/>
        <i x="40" s="1" nd="1"/>
        <i x="38" s="1" nd="1"/>
        <i x="28" s="1" nd="1"/>
        <i x="36" s="1" nd="1"/>
        <i x="35" s="1" nd="1"/>
        <i x="31" s="1" nd="1"/>
        <i x="41" s="1" nd="1"/>
        <i x="39" s="1" nd="1"/>
        <i x="42" s="1" nd="1"/>
        <i x="29" s="1" nd="1"/>
        <i x="44" s="1" nd="1"/>
        <i x="45" s="1" nd="1"/>
        <i x="52" s="1" nd="1"/>
        <i x="46" s="1" nd="1"/>
        <i x="47" s="1" nd="1"/>
        <i x="54" s="1" nd="1"/>
        <i x="53" s="1" nd="1"/>
        <i x="48" s="1" nd="1"/>
        <i x="51" s="1" nd="1"/>
        <i x="50" s="1" nd="1"/>
        <i x="8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5" totalsRowCount="1" headerRowDxfId="99" dataDxfId="98" headerRowCellStyle="Comma" dataCellStyle="Comma">
  <autoFilter ref="A1:K14" xr:uid="{11DACEC6-751B-4B1D-817F-5C5BCD38EF6D}"/>
  <tableColumns count="11">
    <tableColumn id="1" xr3:uid="{2FCE3FA8-A48C-4685-8919-AE44C6C71FD9}" name="Date" dataDxfId="28" dataCellStyle="Comma"/>
    <tableColumn id="2" xr3:uid="{5780FD5F-0890-44E6-B59C-8E37A559FE36}" name="Party Name" dataDxfId="27" dataCellStyle="Comma"/>
    <tableColumn id="3" xr3:uid="{5B3ECD85-9174-40AC-BFBD-49CAC97A83D3}" name="Bill Number" dataDxfId="26" dataCellStyle="Comma"/>
    <tableColumn id="4" xr3:uid="{11B50761-04B6-4262-AD4D-7182450037D1}" name="Quality" dataDxfId="25" dataCellStyle="Comma"/>
    <tableColumn id="5" xr3:uid="{2C556969-B713-4967-BD24-466AACCBE5F5}" name="Shipment Number" dataDxfId="24" totalsRowDxfId="17" dataCellStyle="Comma"/>
    <tableColumn id="6" xr3:uid="{F4E1FD2B-9017-4DEB-B772-BF447ECE56F7}" name="Kora/metre" dataDxfId="23" totalsRowDxfId="16" dataCellStyle="Comma"/>
    <tableColumn id="7" xr3:uid="{52ACC1DA-7A76-4A90-B809-3A1AE728E7EA}" name="Tiyaar/gaz" dataDxfId="22" totalsRowDxfId="15" dataCellStyle="Comma"/>
    <tableColumn id="8" xr3:uid="{31A0FF5E-56F0-44D1-9865-73256B964660}" name="shortage %" dataDxfId="21" totalsRowDxfId="14" dataCellStyle="Comma">
      <calculatedColumnFormula>_xlfn.XLOOKUP(Table1[[#This Row],[Shipment Number]], 'pivot '!A:A,'pivot '!G:G, "NF")</calculatedColumnFormula>
    </tableColumn>
    <tableColumn id="9" xr3:uid="{F99075E0-AC8E-094D-BB85-272AD2C6C568}" name="tiyar/meters" totalsRowFunction="custom" dataDxfId="20" totalsRowDxfId="1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9" totalsRowDxfId="1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8" totalsRowDxfId="1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9" totalsRowCount="1" headerRowDxfId="95" headerRowBorderDxfId="94" tableBorderDxfId="93">
  <autoFilter ref="A1:I8" xr:uid="{F8E8C957-ABE7-4E4F-8D4E-7D44E26B334F}"/>
  <tableColumns count="9">
    <tableColumn id="1" xr3:uid="{C2E817D6-AB98-4DDD-8890-736B27F261CD}" name="Date" totalsRowLabel="." dataDxfId="92" totalsRowDxfId="10"/>
    <tableColumn id="2" xr3:uid="{CFB51890-CCDC-463C-81C9-3F8BD7469CB9}" name="Party Name"/>
    <tableColumn id="3" xr3:uid="{A113D971-1C9D-4733-99C4-BD0CC4333209}" name="Vehicle Number"/>
    <tableColumn id="4" xr3:uid="{49780304-3DD1-4AE9-98EE-2BC7EB8F3B57}" name="Weight" dataDxfId="91" totalsRowDxfId="9" dataCellStyle="Comma"/>
    <tableColumn id="5" xr3:uid="{FCAF1BC6-1D8C-42AD-8BBC-F924BF2DC7FE}" name="Rate" dataDxfId="90" totalsRowDxfId="8" dataCellStyle="Comma"/>
    <tableColumn id="6" xr3:uid="{8C70A624-4134-410C-9C45-9FDEB51D51BF}" name="Rent" dataDxfId="89" totalsRowDxfId="7" dataCellStyle="Comma"/>
    <tableColumn id="7" xr3:uid="{EBCE10AE-9634-4982-9C95-37ABC8A7078C}" name="Total" totalsRowFunction="sum" dataDxfId="88" totalsRowDxfId="6" dataCellStyle="Comma">
      <calculatedColumnFormula>D2*E2</calculatedColumnFormula>
    </tableColumn>
    <tableColumn id="9" xr3:uid="{D4788559-C94A-44D9-B9AE-E72B214355AC}" name="Paid" totalsRowFunction="sum" dataDxfId="87" totalsRowDxfId="5" dataCellStyle="Comma"/>
    <tableColumn id="8" xr3:uid="{E26F5BF0-1875-4FC6-994D-49F202ED562B}" name="balance" totalsRowFunction="sum" dataDxfId="86" totalsRowDxfId="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4" totalsRowCount="1">
  <autoFilter ref="A1:G23" xr:uid="{CB032221-B416-47A8-9A76-693DE76CFD04}"/>
  <tableColumns count="7">
    <tableColumn id="1" xr3:uid="{554B1EED-65B6-4E9A-B646-82727FAC40DE}" name="Date" dataDxfId="84" totalsRowDxfId="3"/>
    <tableColumn id="2" xr3:uid="{32259059-42CF-4947-83DE-115AA430BE2B}" name="Party"/>
    <tableColumn id="3" xr3:uid="{A1320223-D55D-483C-91C3-AB19B95CC9D8}" name="Debit" totalsRowFunction="sum" dataDxfId="83" totalsRowDxfId="2" dataCellStyle="Comma"/>
    <tableColumn id="4" xr3:uid="{E9745767-9FF0-4B1C-9052-FF335D1D7588}" name="Credit" totalsRowFunction="sum" dataDxfId="82" totalsRowDxfId="1" dataCellStyle="Comma"/>
    <tableColumn id="5" xr3:uid="{5C88A48E-2467-4E6D-B626-2442B7FD0BE4}" name="Description"/>
    <tableColumn id="6" xr3:uid="{63CA4666-144E-4BE6-8B7C-7CB992BD3041}" name="Mode" totalsRowFunction="custom" dataDxfId="81"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0" tableBorderDxfId="79" totalsRowBorderDxfId="78">
  <autoFilter ref="J3:K6" xr:uid="{DCE01694-23ED-48BF-8B92-4186B9ED10A8}"/>
  <tableColumns count="2">
    <tableColumn id="1" xr3:uid="{C8484DAF-2989-4C2F-9AEC-A6917E1C57F6}" name="Type" dataDxfId="77"/>
    <tableColumn id="2" xr3:uid="{B07B7A2A-4D4E-4654-BED6-FE2F0A7BEC34}" name="Amount" dataDxfId="7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5" headerRowBorderDxfId="74" tableBorderDxfId="73" totalsRowBorderDxfId="72">
  <autoFilter ref="M3:O6" xr:uid="{D166BDD1-ACD7-45D7-8AE9-7350373F8CEB}"/>
  <tableColumns count="3">
    <tableColumn id="1" xr3:uid="{64F0205E-DEA7-4571-BA86-E4374A5FEE28}" name="Type" totalsRowLabel="Total" dataDxfId="71" totalsRowDxfId="70"/>
    <tableColumn id="2" xr3:uid="{15FA05F9-789C-4459-9BE0-5C1EC84D3365}" name="amount" totalsRowFunction="custom" dataDxfId="69" totalsRowDxfId="68">
      <totalsRowFormula>SUM(N5:N6)</totalsRowFormula>
    </tableColumn>
    <tableColumn id="3" xr3:uid="{3681D409-90C6-44D0-BDE2-4B5943A516F0}" name="Actual" totalsRowFunction="custom" totalsRowDxfId="6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6" totalsRowDxfId="65"/>
    <tableColumn id="2" xr3:uid="{5B9D0FEE-4304-4C5C-A05C-5B27CF7841D3}" name="Type"/>
    <tableColumn id="3" xr3:uid="{6A91CA0D-C802-4C6F-9F39-CA53687E8EDE}" name="Description"/>
    <tableColumn id="4" xr3:uid="{A251D40C-AB87-4BB4-85F8-444B20E32FDF}" name="Total" totalsRowFunction="custom" dataDxfId="64" totalsRowDxfId="6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62" headerRowBorderDxfId="61">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58" headerRowBorderDxfId="57">
  <autoFilter ref="A4:H15" xr:uid="{A4C80688-A8BA-4BA7-90B4-791CD99446B4}"/>
  <sortState xmlns:xlrd2="http://schemas.microsoft.com/office/spreadsheetml/2017/richdata2" ref="A5:H5">
    <sortCondition ref="A4:A5"/>
  </sortState>
  <tableColumns count="8">
    <tableColumn id="1" xr3:uid="{4A818912-918E-4111-ACFC-BC93FEF7C1AD}" name="Date" dataDxfId="56" totalsRowDxfId="55"/>
    <tableColumn id="8" xr3:uid="{477ACFD5-62AF-4F69-974B-E9B974C11D7D}" name="Party Name" dataDxfId="5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53">
      <calculatedColumnFormula>SUMIFS(Table14[Debit], Table14[Date], Table2[[#This Row],[Date]], Table14[Party], Table2[[#This Row],[Party Name]])</calculatedColumnFormula>
    </tableColumn>
    <tableColumn id="7" xr3:uid="{BB689DF2-5D1E-436D-84C4-9745D88E8F3D}" name="Balance" totalsRowFunction="sum" dataDxfId="52">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1" totalsRowDxfId="50"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9" totalsRowDxfId="48"/>
    <tableColumn id="2" xr3:uid="{053BFC14-4828-417C-9F9F-95B6E232A945}" name="Amount" totalsRowFunction="custom" dataDxfId="47" totalsRowDxfId="46"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5" totalsRowDxfId="4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4" totalsRowDxfId="3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2" totalsRowDxfId="3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30">
      <calculatedColumnFormula>Billing!O5</calculatedColumnFormula>
    </tableColumn>
    <tableColumn id="2" xr3:uid="{7093A59E-B58F-487D-888A-9AA8156B5F9A}" name="Amount Paid" dataDxfId="29">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topLeftCell="A19" zoomScale="103" workbookViewId="0">
      <selection activeCell="R16" sqref="R1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0</v>
      </c>
      <c r="D4">
        <v>10</v>
      </c>
      <c r="E4" s="14">
        <f>(SUMIFS(ledger!G:G, ledger!B:B, B4, ledger!E:E, "&lt;&gt;*RD*",ledger!D:D, "Silky") / 1.0936)*12 + (SUMIFS(ledger!G:G, ledger!B:B, B4, ledger!E:E, "&lt;&gt;*RD*",ledger!D:D, "Chamki") / 1.0936)*10</f>
        <v>0</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0</v>
      </c>
      <c r="K5" s="18">
        <v>0</v>
      </c>
      <c r="O5" s="25" t="str" cm="1">
        <f t="array" ref="O5:O15">_xlfn.UNIQUE(Table1[Party Name])</f>
        <v>BSC</v>
      </c>
      <c r="P5" s="23" cm="1">
        <f t="array" ref="P5">_xlfn.BYROW(B26,_xlfn.LAMBDA(_xlpm.party,SUMIFS(ledger!G:G,ledger!B:B,_xlpm.party,ledger!E:E,"&lt;&gt;*RD*")))+_xlfn.IFNA(C44,0)</f>
        <v>1053717</v>
      </c>
      <c r="Q5" s="23" cm="1">
        <f t="array" ref="Q5">_xlfn.BYROW(B26, _xlfn.LAMBDA(_xlpm.party, SUMIFS(ledger!G:G, ledger!B:B, _xlpm.party, ledger!E:E, "&lt;&gt;*RD*") / 1.0936 ))+_xlfn.IFNA(D44,0)</f>
        <v>963530.5413313827</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174623.26261887344</v>
      </c>
      <c r="V5" s="44">
        <f>T5+U5</f>
        <v>9664409.2904169727</v>
      </c>
      <c r="W5" s="23">
        <f>(SUMIF(Table14[Party],O5,Table14[Credit]))+_xlfn.IFNA(J44,0)</f>
        <v>7178783</v>
      </c>
      <c r="X5" s="97">
        <f>V5-W5</f>
        <v>2485626.2904169727</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737354</v>
      </c>
      <c r="X6" s="97">
        <f>V6-W6</f>
        <v>122549.07242136064</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1134726</v>
      </c>
      <c r="X7" s="97">
        <f>V7-W7</f>
        <v>184092.5808339431</v>
      </c>
      <c r="Y7" s="22">
        <v>10</v>
      </c>
      <c r="Z7" s="22">
        <v>12</v>
      </c>
    </row>
    <row r="8" spans="2:26" x14ac:dyDescent="0.3">
      <c r="B8" t="str">
        <f t="shared" si="0"/>
        <v>Sufi Nawaz Sahab</v>
      </c>
      <c r="C8" s="18">
        <f>SUMIFS(ledger!G:G, ledger!B:B, B8, ledger!E:E, "&lt;&gt;*RD*") / 1.0936</f>
        <v>0</v>
      </c>
      <c r="D8">
        <v>10</v>
      </c>
      <c r="E8" s="14">
        <f>((SUMIFS(ledger!G:G, ledger!B:B, B8, ledger!E:E, "&lt;&gt;*RD*",ledger!D:D, "Silky") / 1.0936) *12) + ((SUMIFS(ledger!G:G, ledger!B:B, B8, ledger!E:E, "&lt;&gt;*RD*",ledger!D:D, "Chamki") / 1.0936)* 9)</f>
        <v>0</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0</v>
      </c>
      <c r="D9">
        <v>10</v>
      </c>
      <c r="E9" s="14" cm="1">
        <f t="array" ref="E9">(SUMIFS(ledger!G:G, ledger!B:B, B9, ledger!E:E, "&lt;&gt;*RD*",ledger!D:D, "Silky") / 1.0936)*12 + (SUMIFS(ledger!G:G, ledger!B:B, B9, ledger!E:E, "&lt;&gt;*RD*",ledger!D:D, "Chamki") / 1.0936)*10 +(SUMIFS(ledger!G:G, ledger!B:B, party, ledger!E:E, "&lt;&gt;*RD*", ledger!D:D, "Crinkle")/ 1.0936)*10</f>
        <v>0</v>
      </c>
      <c r="I9" s="4" t="s">
        <v>24</v>
      </c>
      <c r="J9" s="5">
        <v>0</v>
      </c>
      <c r="K9" s="18">
        <v>0</v>
      </c>
      <c r="O9" s="25" t="str">
        <v>Sufi Nawaz Sahab</v>
      </c>
      <c r="P9" s="23" cm="1">
        <f t="array" ref="P9">_xlfn.BYROW(B30,_xlfn.LAMBDA(_xlpm.party,SUMIFS(ledger!G:G,ledger!B:B,_xlpm.party,ledger!E:E,"&lt;&gt;*RD*")))+_xlfn.IFNA(C48,0)</f>
        <v>611740</v>
      </c>
      <c r="Q9" s="23" cm="1">
        <f t="array" ref="Q9">_xlfn.BYROW(B30, _xlfn.LAMBDA(_xlpm.party, SUMIFS(ledger!G:G, ledger!B:B, _xlpm.party, ledger!E:E, "&lt;&gt;*RD*") / 1.0936 ))+_xlfn.IFNA(D48,0)</f>
        <v>559381.85808339436</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2615014.6305779079</v>
      </c>
      <c r="V9" s="44">
        <f t="shared" si="1"/>
        <v>5688190.3803950259</v>
      </c>
      <c r="W9" s="23">
        <f>(SUMIF(Table14[Party],O9,Table14[Credit]))+_xlfn.IFNA(J48,0)</f>
        <v>4079100</v>
      </c>
      <c r="X9" s="97">
        <f t="shared" si="2"/>
        <v>1609090.3803950259</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0</v>
      </c>
      <c r="K10" s="18">
        <v>0</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7">
        <f t="shared" si="2"/>
        <v>210570.59253840521</v>
      </c>
      <c r="Y10" s="22">
        <v>10</v>
      </c>
      <c r="Z10" s="22">
        <v>12</v>
      </c>
    </row>
    <row r="11" spans="2:26" x14ac:dyDescent="0.3">
      <c r="B11" t="str">
        <f t="shared" si="0"/>
        <v>Azam</v>
      </c>
      <c r="C11" s="18">
        <f>SUMIFS(ledger!G:G, ledger!B:B, B11, ledger!E:E, "&lt;&gt;*RD*") / 1.0936</f>
        <v>0</v>
      </c>
      <c r="D11">
        <v>10</v>
      </c>
      <c r="E11" s="14">
        <f>(SUMIFS(ledger!G:G, ledger!B:B, B11, ledger!E:E, "&lt;&gt;*RD*",ledger!D:D, "Silky") / 1.0936)*12 + (SUMIFS(ledger!G:G, ledger!B:B, B11, ledger!E:E, "&lt;&gt;*RD*",ledger!D:D, "Chamki") / 1.0936)*10</f>
        <v>0</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0</v>
      </c>
      <c r="D12">
        <v>10</v>
      </c>
      <c r="E12" s="14">
        <f>(SUMIFS(ledger!G:G, ledger!B:B, B12, ledger!E:E, "&lt;&gt;*RD*",ledger!D:D, "Silky") / 1.0936)*12 + (SUMIFS(ledger!G:G, ledger!B:B, B12, ledger!E:E, "&lt;&gt;*RD*",ledger!D:D, "Chamki") / 1.0936)*10</f>
        <v>0</v>
      </c>
      <c r="I12" s="4" t="s">
        <v>27</v>
      </c>
      <c r="J12" s="5">
        <v>0</v>
      </c>
      <c r="K12" s="18">
        <v>0</v>
      </c>
      <c r="M12" s="33"/>
      <c r="N12" s="33"/>
      <c r="O12" s="25" t="str">
        <v>Azam</v>
      </c>
      <c r="P12" s="23" cm="1">
        <f t="array" ref="P12">_xlfn.BYROW(B33,_xlfn.LAMBDA(_xlpm.party,SUMIFS(ledger!G:G,ledger!B:B,_xlpm.party,ledger!E:E,"&lt;&gt;*RD*")))+_xlfn.IFNA(C51,0)</f>
        <v>28549</v>
      </c>
      <c r="Q12" s="23" cm="1">
        <f t="array" ref="Q12">_xlfn.BYROW(B33, _xlfn.LAMBDA(_xlpm.party, SUMIFS(ledger!G:G, ledger!B:B, _xlpm.party, ledger!E:E, "&lt;&gt;*RD*") / 1.0936 ))+_xlfn.IFNA(D51,0)</f>
        <v>26105.523043160207</v>
      </c>
      <c r="R12" s="23" cm="1">
        <f t="array" ref="R12">(_xlfn.BYROW(B33,_xlfn.LAMBDA(_xlpm.party,SUMIFS(ledger!G:G,ledger!B:B,_xlpm.party,ledger!E:E,"&lt;&gt;*RD*",ledger!D:D,"Chamki")+SUMIFS(ledger!G:G, ledger!B:B, _xlpm.party, ledger!E:E, "&lt;&gt;*RD*", ledger!D:D, "Crinkle")))/1.0936)+_xlfn.IFNA(E51,0)</f>
        <v>26105.523043160207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261055.23043160207</v>
      </c>
      <c r="U12" s="23" cm="1">
        <f t="array" ref="U12">(_xlfn.BYROW(B33,_xlfn.LAMBDA(_xlpm.party,SUMIFS(ledger!G:G,ledger!B:B,_xlpm.party,ledger!E:E,"&lt;&gt;*RD*",ledger!D:D, "Silky")/1.0936))* 12)+_xlfn.IFNA(H51,0)</f>
        <v>0</v>
      </c>
      <c r="V12" s="44">
        <f t="shared" si="1"/>
        <v>261055.23043160207</v>
      </c>
      <c r="W12" s="23">
        <f>(SUMIF(Table14[Party],O12,Table14[Credit]))+_xlfn.IFNA(J51,0)</f>
        <v>200000</v>
      </c>
      <c r="X12" s="97">
        <f t="shared" si="2"/>
        <v>61055.230431602075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0</v>
      </c>
      <c r="K13" s="18">
        <v>0</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7">
        <f t="shared" si="2"/>
        <v>-859.21726408187533</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180</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192</v>
      </c>
      <c r="J15" s="5">
        <v>0</v>
      </c>
      <c r="K15" s="18">
        <v>0</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0</v>
      </c>
      <c r="D16" t="s">
        <v>30</v>
      </c>
      <c r="I16" s="4" t="s">
        <v>28</v>
      </c>
      <c r="J16" s="14">
        <v>0</v>
      </c>
      <c r="K16" s="14">
        <v>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0</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198</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0</v>
      </c>
      <c r="D26" s="23" cm="1">
        <f t="array" ref="D26:D36">_xlfn.BYROW(_xlfn.ANCHORARRAY(B26), _xlfn.LAMBDA(_xlpm.party, SUMIFS(ledger!G:G, ledger!B:B, _xlpm.party, ledger!E:E, "&lt;&gt;*RD*") / 1.0936 ))</f>
        <v>0</v>
      </c>
      <c r="E26" s="71" cm="1">
        <f t="array" ref="E26:E36">(_xlfn.BYROW(_xlfn.ANCHORARRAY(B26),_xlfn.LAMBDA(_xlpm.party,SUMIFS(ledger!G:G,ledger!B:B,_xlpm.party,ledger!E:E,"&lt;&gt;*RD*",ledger!D:D,"Chamki")+SUMIFS(ledger!G:G, ledger!B:B, _xlpm.party, ledger!E:E, "&lt;&gt;*RD*", ledger!D:D, "Crinkle")))/1.0936)</f>
        <v>0</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20000</v>
      </c>
      <c r="K26" s="42">
        <f>I26-J26</f>
        <v>-20000</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125000</v>
      </c>
      <c r="K27" s="42">
        <f>I27-J27</f>
        <v>-125000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380516</v>
      </c>
      <c r="K28" s="42">
        <f>I28-J28</f>
        <v>-380516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71">
        <v>0</v>
      </c>
      <c r="F30" s="78">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9</v>
      </c>
      <c r="M30" s="22">
        <v>12</v>
      </c>
    </row>
    <row r="31" spans="1:26" x14ac:dyDescent="0.3">
      <c r="B31" s="25" t="str">
        <v>Sajad Khan</v>
      </c>
      <c r="C31" s="23">
        <v>0</v>
      </c>
      <c r="D31" s="23">
        <v>0</v>
      </c>
      <c r="E31" s="71">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0</v>
      </c>
      <c r="D34" s="23">
        <v>0</v>
      </c>
      <c r="E34" s="71">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197</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1053717</v>
      </c>
      <c r="D44" s="23">
        <f>_xlfn.XLOOKUP($B26,[1]Billing!$O$5:$O$29,[1]Billing!$Q$5:$Q$29)</f>
        <v>963530.5413313827</v>
      </c>
      <c r="E44" s="23">
        <f>_xlfn.XLOOKUP($B26,[1]Billing!$O$5:$O$29,[1]Billing!$R$5:$R$29)</f>
        <v>948978.60277980985</v>
      </c>
      <c r="F44" s="23">
        <f>_xlfn.XLOOKUP($B26,[1]Billing!$O$5:$O$29,[1]Billing!$S$5:$S$29)</f>
        <v>14551.938551572788</v>
      </c>
      <c r="G44" s="23">
        <f>_xlfn.XLOOKUP($B26,[1]Billing!$O$5:$O$29,[1]Billing!$T$5:$T$29)</f>
        <v>9489786.0277980994</v>
      </c>
      <c r="H44" s="23">
        <f>_xlfn.XLOOKUP($B26,[1]Billing!$O$5:$O$29,[1]Billing!$U$5:$U$29)</f>
        <v>174623.26261887344</v>
      </c>
      <c r="I44" s="44">
        <f t="shared" ref="I44:I54" si="11">G44+H44</f>
        <v>9664409.2904169727</v>
      </c>
      <c r="J44" s="23">
        <f>_xlfn.XLOOKUP($B26,[1]Billing!$O$5:$O$29,[1]Billing!$W$5:$W$29)</f>
        <v>7158783</v>
      </c>
      <c r="K44" s="42">
        <f>I44-J44</f>
        <v>2505626.2904169727</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611740</v>
      </c>
      <c r="D48" s="23">
        <f>_xlfn.XLOOKUP($B30,[1]Billing!$O$5:$O$29,[1]Billing!$Q$5:$Q$29)</f>
        <v>559381.85808339436</v>
      </c>
      <c r="E48" s="23">
        <f>_xlfn.XLOOKUP($B30,[1]Billing!$O$5:$O$29,[1]Billing!$R$5:$R$29)</f>
        <v>341463.97220190201</v>
      </c>
      <c r="F48" s="23">
        <f>_xlfn.XLOOKUP($B30,[1]Billing!$O$5:$O$29,[1]Billing!$S$5:$S$29)</f>
        <v>217917.88588149232</v>
      </c>
      <c r="G48" s="23">
        <f>_xlfn.XLOOKUP($B30,[1]Billing!$O$5:$O$29,[1]Billing!$T$5:$T$29)</f>
        <v>3073175.749817118</v>
      </c>
      <c r="H48" s="23">
        <f>_xlfn.XLOOKUP($B30,[1]Billing!$O$5:$O$29,[1]Billing!$U$5:$U$29)</f>
        <v>2615014.6305779079</v>
      </c>
      <c r="I48" s="44">
        <f t="shared" si="11"/>
        <v>5688190.3803950259</v>
      </c>
      <c r="J48" s="23">
        <f>_xlfn.XLOOKUP($B30,[1]Billing!$O$5:$O$29,[1]Billing!$W$5:$W$29)</f>
        <v>4079100</v>
      </c>
      <c r="K48" s="42">
        <f t="shared" si="12"/>
        <v>1609090.3803950259</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2" sqref="D12"/>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188</v>
      </c>
      <c r="E7" s="70" t="s">
        <v>189</v>
      </c>
      <c r="J7" t="str">
        <v>Shehzad Kamoki</v>
      </c>
    </row>
    <row r="8" spans="2:10" ht="18" x14ac:dyDescent="0.35">
      <c r="B8" s="63" t="s">
        <v>37</v>
      </c>
      <c r="C8" s="74"/>
      <c r="D8" s="76" cm="1">
        <f t="array" ref="D8">_xlfn.XLOOKUP($B$6,_xlfn.ANCHORARRAY( Billing!O5), INDEX(Billing!P5:P19, _xlfn.SEQUENCE(ROWS(_xlfn.ANCHORARRAY(Billing!$O$5)))), "Not Found")</f>
        <v>1053717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963530.5413313827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948978.60277980985</v>
      </c>
      <c r="E12" s="101">
        <f ca="1">Table21[[#This Row],[gazana]]*Table21[[#This Row],[Rate]]</f>
        <v>9489786.0277980976</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9664409.2904169708</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7178783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2485626.2904169727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f>
        <v>448190</v>
      </c>
    </row>
    <row r="5" spans="1:4" x14ac:dyDescent="0.3">
      <c r="B5" t="s">
        <v>48</v>
      </c>
      <c r="C5" s="11">
        <f>SUM(Table8[Price])</f>
        <v>1484150</v>
      </c>
    </row>
    <row r="6" spans="1:4" x14ac:dyDescent="0.3">
      <c r="B6" t="s">
        <v>49</v>
      </c>
      <c r="C6" s="11">
        <f>SUM(Table2[Price])</f>
        <v>883400</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4000</v>
      </c>
    </row>
    <row r="10" spans="1:4" x14ac:dyDescent="0.3">
      <c r="B10" t="s">
        <v>53</v>
      </c>
      <c r="C10" s="11">
        <f>Table5[[#Totals],[Amount]]</f>
        <v>0</v>
      </c>
    </row>
    <row r="11" spans="1:4" x14ac:dyDescent="0.3">
      <c r="B11" t="s">
        <v>54</v>
      </c>
      <c r="C11" s="11">
        <f>Table13[[#Totals],[Debit]]</f>
        <v>20000</v>
      </c>
    </row>
    <row r="12" spans="1:4" x14ac:dyDescent="0.3">
      <c r="B12" t="s">
        <v>55</v>
      </c>
      <c r="C12" s="11">
        <f>Table15[[#Totals],[Amount]]</f>
        <v>85800</v>
      </c>
    </row>
    <row r="13" spans="1:4" x14ac:dyDescent="0.3">
      <c r="C13" s="11"/>
    </row>
    <row r="14" spans="1:4" x14ac:dyDescent="0.3">
      <c r="C14" s="14">
        <f>SUM(Table12[Amount])</f>
        <v>2925740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0</v>
      </c>
      <c r="D3" t="s">
        <v>68</v>
      </c>
    </row>
    <row r="4" spans="1:4" x14ac:dyDescent="0.3">
      <c r="B4" s="11" t="s">
        <v>44</v>
      </c>
      <c r="C4" s="11">
        <f>Table12[[#Totals],[Amount]]</f>
        <v>2925740</v>
      </c>
    </row>
    <row r="5" spans="1:4" x14ac:dyDescent="0.3">
      <c r="A5" s="6"/>
      <c r="B5" s="15" t="s">
        <v>69</v>
      </c>
      <c r="C5" s="15">
        <f ca="1">C3-C4</f>
        <v>-2925740</v>
      </c>
    </row>
    <row r="10" spans="1:4" ht="15" thickBot="1" x14ac:dyDescent="0.35">
      <c r="B10" t="s">
        <v>66</v>
      </c>
      <c r="C10" s="14" t="s">
        <v>67</v>
      </c>
    </row>
    <row r="11" spans="1:4" x14ac:dyDescent="0.3">
      <c r="B11" s="64" t="s">
        <v>0</v>
      </c>
      <c r="C11" s="65">
        <f ca="1">C3</f>
        <v>0</v>
      </c>
    </row>
    <row r="12" spans="1:4" x14ac:dyDescent="0.3">
      <c r="B12" s="66" t="s">
        <v>70</v>
      </c>
      <c r="C12" s="67">
        <f>SUM(Table14[Credit])</f>
        <v>609629</v>
      </c>
    </row>
    <row r="13" spans="1:4" ht="15" thickBot="1" x14ac:dyDescent="0.35">
      <c r="B13" s="82" t="s">
        <v>98</v>
      </c>
      <c r="C13" s="81">
        <f ca="1">(C11-C12)</f>
        <v>-609629</v>
      </c>
    </row>
    <row r="14" spans="1:4" ht="15" thickBot="1" x14ac:dyDescent="0.35">
      <c r="B14" s="66"/>
      <c r="C14" s="67"/>
    </row>
    <row r="15" spans="1:4" x14ac:dyDescent="0.3">
      <c r="B15" s="64" t="s">
        <v>44</v>
      </c>
      <c r="C15" s="65">
        <f>C4</f>
        <v>2925740</v>
      </c>
    </row>
    <row r="16" spans="1:4" x14ac:dyDescent="0.3">
      <c r="B16" s="66" t="s">
        <v>71</v>
      </c>
      <c r="C16" s="67">
        <f>SUM(Table14[Debit])</f>
        <v>391126</v>
      </c>
    </row>
    <row r="17" spans="2:6" ht="15" thickBot="1" x14ac:dyDescent="0.35">
      <c r="B17" s="82" t="s">
        <v>72</v>
      </c>
      <c r="C17" s="81">
        <f>C15-C16</f>
        <v>2534614</v>
      </c>
    </row>
    <row r="18" spans="2:6" ht="15" thickBot="1" x14ac:dyDescent="0.35">
      <c r="B18" s="66"/>
      <c r="C18" s="67"/>
    </row>
    <row r="19" spans="2:6" ht="15" thickBot="1" x14ac:dyDescent="0.35">
      <c r="B19" s="83" t="s">
        <v>73</v>
      </c>
      <c r="C19" s="84">
        <f>Table18[[#Totals],[amount]]</f>
        <v>218503</v>
      </c>
    </row>
    <row r="20" spans="2:6" ht="15" thickBot="1" x14ac:dyDescent="0.35">
      <c r="B20" s="79"/>
      <c r="C20" s="80"/>
    </row>
    <row r="21" spans="2:6" ht="15" thickBot="1" x14ac:dyDescent="0.35">
      <c r="B21" s="68" t="s">
        <v>74</v>
      </c>
      <c r="C21" s="69">
        <f ca="1">(C13-C17)+C19</f>
        <v>-2925740</v>
      </c>
      <c r="E21" s="87" t="s">
        <v>75</v>
      </c>
      <c r="F21" s="88">
        <f ca="1">C5*0.05</f>
        <v>-146287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0</v>
      </c>
      <c r="E4">
        <f>SUMIFS(Table14[Credit], Table14[Date], Table13[[#This Row],[Date]], Table14[Party], "Transport")</f>
        <v>0</v>
      </c>
    </row>
    <row r="5" spans="2:6" x14ac:dyDescent="0.3">
      <c r="B5" s="1">
        <v>45888</v>
      </c>
      <c r="D5">
        <f>SUMIFS(Table14[Debit], Table14[Date], Table13[[#This Row],[Date]], Table14[Party], "Transport")</f>
        <v>0</v>
      </c>
      <c r="E5">
        <f>SUMIFS(Table14[Credit], Table14[Date], Table13[[#This Row],[Date]], Table14[Party], "Transport")</f>
        <v>0</v>
      </c>
    </row>
    <row r="6" spans="2:6" x14ac:dyDescent="0.3">
      <c r="B6" s="1">
        <v>45889</v>
      </c>
      <c r="D6">
        <f>SUMIFS(Table14[Debit], Table14[Date], Table13[[#This Row],[Date]], Table14[Party], "Transport")</f>
        <v>0</v>
      </c>
      <c r="E6">
        <f>SUMIFS(Table14[Credit], Table14[Date], Table13[[#This Row],[Date]], Table14[Party], "Transport")</f>
        <v>0</v>
      </c>
    </row>
    <row r="7" spans="2:6" x14ac:dyDescent="0.3">
      <c r="B7" s="1">
        <v>45890</v>
      </c>
      <c r="D7">
        <f>SUMIFS(Table14[Debit], Table14[Date], Table13[[#This Row],[Date]], Table14[Party], "Transport")</f>
        <v>0</v>
      </c>
      <c r="E7">
        <f>SUMIFS(Table14[Credit], Table14[Date], Table13[[#This Row],[Date]], Table14[Party], "Transport")</f>
        <v>0</v>
      </c>
    </row>
    <row r="8" spans="2:6" x14ac:dyDescent="0.3">
      <c r="B8" s="1">
        <v>45891</v>
      </c>
      <c r="D8">
        <f>SUMIFS(Table14[Debit], Table14[Date], Table13[[#This Row],[Date]], Table14[Party], "Transport")</f>
        <v>0</v>
      </c>
      <c r="E8">
        <f>SUMIFS(Table14[Credit], Table14[Date], Table13[[#This Row],[Date]], Table14[Party], "Transport")</f>
        <v>0</v>
      </c>
    </row>
    <row r="9" spans="2:6" x14ac:dyDescent="0.3">
      <c r="B9" s="1">
        <v>45892</v>
      </c>
      <c r="D9">
        <f>SUMIFS(Table14[Debit], Table14[Date], Table13[[#This Row],[Date]], Table14[Party], "Transport")</f>
        <v>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0</v>
      </c>
      <c r="E11">
        <f>SUMIFS(Table14[Credit], Table14[Date], Table13[[#This Row],[Date]], Table14[Party], "Transport")</f>
        <v>0</v>
      </c>
    </row>
    <row r="12" spans="2:6" x14ac:dyDescent="0.3">
      <c r="B12" s="1">
        <v>45895</v>
      </c>
      <c r="D12">
        <f>SUMIFS(Table14[Debit], Table14[Date], Table13[[#This Row],[Date]], Table14[Party], "Transport")</f>
        <v>0</v>
      </c>
      <c r="E12">
        <f>SUMIFS(Table14[Credit], Table14[Date], Table13[[#This Row],[Date]], Table14[Party], "Transport")</f>
        <v>0</v>
      </c>
    </row>
    <row r="13" spans="2:6" x14ac:dyDescent="0.3">
      <c r="B13" s="1">
        <v>45896</v>
      </c>
      <c r="D13">
        <f>SUMIFS(Table14[Debit], Table14[Date], Table13[[#This Row],[Date]], Table14[Party], "Transport")</f>
        <v>0</v>
      </c>
      <c r="E13">
        <f>SUMIFS(Table14[Credit], Table14[Date], Table13[[#This Row],[Date]], Table14[Party], "Transport")</f>
        <v>0</v>
      </c>
    </row>
    <row r="14" spans="2:6" x14ac:dyDescent="0.3">
      <c r="B14" s="1">
        <v>45897</v>
      </c>
      <c r="D14">
        <f>SUMIFS(Table14[Debit], Table14[Date], Table13[[#This Row],[Date]], Table14[Party], "Transport")</f>
        <v>0</v>
      </c>
      <c r="E14">
        <f>SUMIFS(Table14[Credit], Table14[Date], Table13[[#This Row],[Date]], Table14[Party], "Transport")</f>
        <v>0</v>
      </c>
    </row>
    <row r="15" spans="2:6" x14ac:dyDescent="0.3">
      <c r="B15" s="1">
        <v>45898</v>
      </c>
      <c r="D15">
        <f>SUMIFS(Table14[Debit], Table14[Date], Table13[[#This Row],[Date]], Table14[Party], "Transport")</f>
        <v>0</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20000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20000</v>
      </c>
      <c r="E35">
        <f>SUBTOTAL(109,Table13[Credit])</f>
        <v>0</v>
      </c>
      <c r="F35">
        <f>Table13[[#Totals],[Debit]]-Table13[[#Totals],[Credit]]</f>
        <v>20000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zoomScale="107" workbookViewId="0">
      <selection activeCell="L14" sqref="L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196</v>
      </c>
      <c r="D2" s="29" t="s">
        <v>87</v>
      </c>
      <c r="E2" s="21"/>
      <c r="F2" s="11"/>
      <c r="G2" s="11"/>
      <c r="H2" s="32" t="e">
        <f>_xlfn.XLOOKUP(Table1[[#This Row],[Shipment Number]], 'pivot '!A:A,'pivot '!G:G, "NF")</f>
        <v>#DIV/0!</v>
      </c>
      <c r="I2" s="32">
        <f>_xlfn.XLOOKUP(Table1[[#This Row],[Party Name]],
[1]Billing!$O$5:$O$20,
[1]Billing!$R$5:$R$20)</f>
        <v>948978.60277980985</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9489786.0277980976</v>
      </c>
      <c r="K2" s="29"/>
    </row>
    <row r="3" spans="1:28" x14ac:dyDescent="0.3">
      <c r="A3" s="28">
        <v>45916</v>
      </c>
      <c r="B3" s="29" t="s">
        <v>22</v>
      </c>
      <c r="C3" s="29" t="s">
        <v>196</v>
      </c>
      <c r="D3" s="29" t="s">
        <v>87</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196</v>
      </c>
      <c r="D4" s="29" t="s">
        <v>87</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196</v>
      </c>
      <c r="D5" s="29" t="s">
        <v>87</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196</v>
      </c>
      <c r="D6" s="29" t="s">
        <v>87</v>
      </c>
      <c r="E6" s="21"/>
      <c r="F6" s="11"/>
      <c r="G6" s="11"/>
      <c r="H6" s="32" t="e">
        <f>_xlfn.XLOOKUP(Table1[[#This Row],[Shipment Number]], 'pivot '!A:A,'pivot '!G:G, "NF")</f>
        <v>#DIV/0!</v>
      </c>
      <c r="I6" s="32">
        <f>_xlfn.XLOOKUP(Table1[[#This Row],[Party Name]],
[1]Billing!$O$5:$O$20,
[1]Billing!$R$5:$R$20)</f>
        <v>341463.97220190201</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3073175.749817118</v>
      </c>
      <c r="K6" s="29"/>
      <c r="X6"/>
      <c r="Y6"/>
      <c r="Z6"/>
      <c r="AA6"/>
      <c r="AB6"/>
    </row>
    <row r="7" spans="1:28" x14ac:dyDescent="0.3">
      <c r="A7" s="28">
        <v>45916</v>
      </c>
      <c r="B7" s="29" t="s">
        <v>25</v>
      </c>
      <c r="C7" s="29" t="s">
        <v>196</v>
      </c>
      <c r="D7" s="29" t="s">
        <v>87</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196</v>
      </c>
      <c r="D8" s="29" t="s">
        <v>87</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192</v>
      </c>
      <c r="C9" s="29" t="s">
        <v>196</v>
      </c>
      <c r="D9" s="29" t="s">
        <v>87</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196</v>
      </c>
      <c r="D10" s="29" t="s">
        <v>87</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180</v>
      </c>
      <c r="C11" s="29" t="s">
        <v>196</v>
      </c>
      <c r="D11" s="29" t="s">
        <v>88</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196</v>
      </c>
      <c r="D12" s="29" t="s">
        <v>87</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196</v>
      </c>
      <c r="D13" s="29" t="s">
        <v>89</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196</v>
      </c>
      <c r="D14" s="29" t="s">
        <v>89</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c r="B15"/>
      <c r="C15"/>
      <c r="D15"/>
      <c r="E15" s="14"/>
      <c r="F15" s="14"/>
      <c r="G15" s="14"/>
      <c r="H15" s="50"/>
      <c r="I15" s="50" cm="1">
        <f t="array" aca="1" ref="I15" ca="1">SUMPRODUCT( SUBTOTAL(109, OFFSET(Table1[tiyar/meters], ROW(Table1[tiyar/meters])-MIN(ROW(Table1[tiyar/meters])), 0, 1)), --(Table1[Bill Number]&lt;&gt;"August Closing CF") )</f>
        <v>0</v>
      </c>
      <c r="J15" s="50" cm="1">
        <f t="array" aca="1" ref="J15" ca="1">SUMPRODUCT( SUBTOTAL(109, OFFSET(Table1[billing], ROW(Table1[billing])-MIN(ROW(Table1[billing])), 0, 1)), --(Table1[Bill Number]&lt;&gt;"August Closing CF") )</f>
        <v>0</v>
      </c>
      <c r="K15" s="14">
        <f>SUMIFS(Table1[billing], Table1[Bill Number], "&lt;&gt;August Closing CF")</f>
        <v>0</v>
      </c>
      <c r="P15"/>
      <c r="Q15"/>
      <c r="R15"/>
      <c r="S15"/>
      <c r="T15"/>
      <c r="U15"/>
      <c r="V15"/>
      <c r="W15"/>
      <c r="X15"/>
      <c r="Y15"/>
    </row>
    <row r="16" spans="1:28" x14ac:dyDescent="0.3">
      <c r="P16"/>
      <c r="Q16"/>
      <c r="R16"/>
      <c r="S16"/>
      <c r="T16"/>
      <c r="U16"/>
      <c r="V16"/>
      <c r="W16"/>
      <c r="X16"/>
      <c r="Y16"/>
    </row>
    <row r="17" spans="16:25" x14ac:dyDescent="0.3">
      <c r="P17"/>
      <c r="Q17"/>
      <c r="R17"/>
      <c r="S17"/>
      <c r="T17"/>
      <c r="U17"/>
      <c r="V17"/>
      <c r="W17"/>
      <c r="X17"/>
      <c r="Y17"/>
    </row>
    <row r="18" spans="16:25" x14ac:dyDescent="0.3">
      <c r="P18"/>
      <c r="Q18"/>
      <c r="R18"/>
      <c r="S18"/>
      <c r="T18"/>
      <c r="U18"/>
      <c r="V18"/>
      <c r="W18"/>
      <c r="X18"/>
      <c r="Y18"/>
    </row>
    <row r="19" spans="16:25" x14ac:dyDescent="0.3">
      <c r="P19"/>
      <c r="Q19"/>
      <c r="R19"/>
      <c r="S19"/>
      <c r="T19"/>
      <c r="U19"/>
      <c r="V19"/>
      <c r="W19"/>
      <c r="X19"/>
      <c r="Y19"/>
    </row>
    <row r="20" spans="16:25" x14ac:dyDescent="0.3">
      <c r="P20"/>
      <c r="Q20"/>
      <c r="R20"/>
      <c r="S20"/>
      <c r="T20"/>
      <c r="U20"/>
      <c r="V20"/>
      <c r="W20"/>
      <c r="X20"/>
      <c r="Y20"/>
    </row>
    <row r="21" spans="16:25" x14ac:dyDescent="0.3">
      <c r="P21"/>
      <c r="Q21"/>
      <c r="R21"/>
      <c r="S21"/>
      <c r="T21"/>
      <c r="U21"/>
      <c r="V21"/>
      <c r="W21"/>
      <c r="X21"/>
      <c r="Y21"/>
    </row>
    <row r="22" spans="16:25" x14ac:dyDescent="0.3">
      <c r="P22"/>
      <c r="Q22"/>
      <c r="R22"/>
      <c r="S22"/>
      <c r="T22"/>
      <c r="U22"/>
      <c r="V22"/>
      <c r="W22"/>
      <c r="X22"/>
      <c r="Y22"/>
    </row>
    <row r="23" spans="16:25" x14ac:dyDescent="0.3">
      <c r="P23"/>
      <c r="Q23"/>
      <c r="R23"/>
      <c r="S23"/>
      <c r="T23"/>
      <c r="U23"/>
      <c r="V23"/>
      <c r="W23"/>
      <c r="X23"/>
      <c r="Y23"/>
    </row>
    <row r="24" spans="16:25" x14ac:dyDescent="0.3">
      <c r="P24"/>
      <c r="Q24"/>
      <c r="R24"/>
      <c r="S24"/>
      <c r="T24"/>
      <c r="U24"/>
      <c r="V24"/>
      <c r="W24"/>
      <c r="X24"/>
      <c r="Y24"/>
    </row>
    <row r="25" spans="16:25" x14ac:dyDescent="0.3">
      <c r="P25"/>
      <c r="Q25"/>
      <c r="R25"/>
      <c r="S25"/>
      <c r="T25"/>
      <c r="U25"/>
      <c r="V25"/>
      <c r="W25"/>
      <c r="X25"/>
      <c r="Y25"/>
    </row>
    <row r="26" spans="16:25" x14ac:dyDescent="0.3">
      <c r="P26"/>
      <c r="Q26"/>
      <c r="R26"/>
      <c r="S26"/>
      <c r="T26"/>
      <c r="U26"/>
      <c r="V26"/>
      <c r="W26"/>
      <c r="X26"/>
      <c r="Y26"/>
    </row>
    <row r="27" spans="16:25" x14ac:dyDescent="0.3">
      <c r="P27"/>
      <c r="Q27"/>
      <c r="R27"/>
      <c r="S27"/>
      <c r="T27"/>
      <c r="U27"/>
      <c r="V27"/>
      <c r="W27"/>
      <c r="X27"/>
      <c r="Y27"/>
    </row>
    <row r="28" spans="16:25" x14ac:dyDescent="0.3">
      <c r="P28"/>
      <c r="Q28"/>
      <c r="R28"/>
      <c r="S28"/>
      <c r="T28"/>
      <c r="U28"/>
      <c r="V28"/>
      <c r="W28"/>
      <c r="X28"/>
      <c r="Y28"/>
    </row>
    <row r="29" spans="16:25" x14ac:dyDescent="0.3">
      <c r="P29"/>
      <c r="Q29"/>
      <c r="R29"/>
      <c r="S29"/>
      <c r="T29"/>
      <c r="U29"/>
      <c r="V29"/>
      <c r="W29"/>
      <c r="X29"/>
      <c r="Y29"/>
    </row>
    <row r="30" spans="16:25" x14ac:dyDescent="0.3">
      <c r="P30"/>
      <c r="Q30"/>
      <c r="R30"/>
      <c r="S30"/>
      <c r="T30"/>
      <c r="U30"/>
      <c r="V30"/>
      <c r="W30"/>
      <c r="X30"/>
      <c r="Y30"/>
    </row>
    <row r="31" spans="16:25" x14ac:dyDescent="0.3">
      <c r="P31"/>
      <c r="Q31"/>
      <c r="R31"/>
      <c r="S31"/>
      <c r="T31"/>
      <c r="U31"/>
      <c r="V31"/>
      <c r="W31"/>
      <c r="X31"/>
      <c r="Y31"/>
    </row>
    <row r="32" spans="16: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D40" s="3" t="s">
        <v>2</v>
      </c>
      <c r="E40" t="s">
        <v>90</v>
      </c>
      <c r="P40"/>
      <c r="Q40"/>
      <c r="R40"/>
      <c r="S40"/>
      <c r="T40"/>
      <c r="U40"/>
      <c r="V40"/>
      <c r="W40"/>
      <c r="X40"/>
      <c r="Y40"/>
    </row>
    <row r="41" spans="4:25" x14ac:dyDescent="0.3">
      <c r="D41" s="3" t="s">
        <v>76</v>
      </c>
      <c r="E41" t="s">
        <v>90</v>
      </c>
      <c r="P41"/>
      <c r="Q41"/>
      <c r="R41"/>
      <c r="S41"/>
      <c r="T41"/>
      <c r="U41"/>
      <c r="V41"/>
      <c r="W41"/>
      <c r="X41"/>
      <c r="Y41"/>
    </row>
    <row r="42" spans="4:25" x14ac:dyDescent="0.3">
      <c r="D42" s="3" t="s">
        <v>80</v>
      </c>
      <c r="E42" t="s">
        <v>109</v>
      </c>
      <c r="P42"/>
      <c r="Q42"/>
      <c r="R42"/>
      <c r="S42"/>
      <c r="T42"/>
      <c r="U42"/>
      <c r="V42"/>
      <c r="W42"/>
      <c r="X42"/>
      <c r="Y42"/>
    </row>
    <row r="43" spans="4:25" x14ac:dyDescent="0.3">
      <c r="P43"/>
      <c r="Q43"/>
      <c r="R43"/>
      <c r="S43"/>
      <c r="T43"/>
      <c r="U43"/>
      <c r="V43"/>
      <c r="W43"/>
      <c r="X43"/>
      <c r="Y43"/>
    </row>
    <row r="44" spans="4:25" x14ac:dyDescent="0.3">
      <c r="D44" s="3" t="s">
        <v>6</v>
      </c>
      <c r="E44" t="s">
        <v>91</v>
      </c>
      <c r="F44" t="s">
        <v>92</v>
      </c>
      <c r="G44" t="s">
        <v>93</v>
      </c>
      <c r="I44" s="3" t="s">
        <v>6</v>
      </c>
      <c r="J44" t="s">
        <v>92</v>
      </c>
      <c r="K44" t="s">
        <v>93</v>
      </c>
      <c r="P44"/>
      <c r="Q44"/>
      <c r="R44"/>
      <c r="S44"/>
      <c r="T44"/>
      <c r="U44"/>
      <c r="V44"/>
      <c r="W44"/>
      <c r="X44"/>
      <c r="Y44"/>
    </row>
    <row r="45" spans="4:25" x14ac:dyDescent="0.3">
      <c r="D45" s="16" t="s">
        <v>196</v>
      </c>
      <c r="E45" s="108"/>
      <c r="F45" s="33">
        <v>2243760.058522311</v>
      </c>
      <c r="G45" s="108">
        <v>22635288.083613753</v>
      </c>
      <c r="I45" s="27">
        <v>45916</v>
      </c>
      <c r="J45" s="50">
        <v>2243760.058522311</v>
      </c>
      <c r="K45" s="14">
        <v>22635288.083613753</v>
      </c>
      <c r="P45"/>
      <c r="Q45"/>
      <c r="R45"/>
      <c r="S45"/>
      <c r="T45"/>
      <c r="U45"/>
      <c r="V45"/>
      <c r="W45"/>
      <c r="X45"/>
      <c r="Y45"/>
    </row>
    <row r="46" spans="4:25" x14ac:dyDescent="0.3">
      <c r="D46" s="16" t="s">
        <v>28</v>
      </c>
      <c r="E46" s="108"/>
      <c r="F46" s="33">
        <v>2243760.058522311</v>
      </c>
      <c r="G46" s="108">
        <v>22635288.083613753</v>
      </c>
      <c r="I46" s="27" t="s">
        <v>28</v>
      </c>
      <c r="J46" s="50">
        <v>2243760.058522311</v>
      </c>
      <c r="K46" s="14">
        <v>22635288.083613753</v>
      </c>
      <c r="P46"/>
      <c r="Q46"/>
      <c r="R46"/>
      <c r="S46"/>
      <c r="T46"/>
      <c r="U46"/>
      <c r="V46"/>
      <c r="W46"/>
      <c r="X46"/>
      <c r="Y46"/>
    </row>
    <row r="47" spans="4:25" x14ac:dyDescent="0.3">
      <c r="D47"/>
      <c r="E47"/>
      <c r="F47"/>
      <c r="G47"/>
      <c r="I47"/>
      <c r="J47"/>
      <c r="K47"/>
      <c r="P47"/>
      <c r="Q47"/>
      <c r="R47"/>
      <c r="S47"/>
      <c r="T47"/>
      <c r="U47"/>
      <c r="V47"/>
      <c r="W47"/>
      <c r="X47"/>
      <c r="Y47"/>
    </row>
    <row r="48" spans="4:25" x14ac:dyDescent="0.3">
      <c r="D48"/>
      <c r="E48"/>
      <c r="F48"/>
      <c r="G48"/>
      <c r="I48"/>
      <c r="J48"/>
      <c r="K48"/>
      <c r="P48"/>
      <c r="Q48"/>
      <c r="R48"/>
      <c r="S48"/>
      <c r="T48"/>
      <c r="U48"/>
      <c r="V48"/>
      <c r="W48"/>
      <c r="X48"/>
      <c r="Y48"/>
    </row>
    <row r="49" spans="4:25" x14ac:dyDescent="0.3">
      <c r="D49"/>
      <c r="E49"/>
      <c r="F49"/>
      <c r="G49"/>
      <c r="I49"/>
      <c r="J49"/>
      <c r="K49"/>
      <c r="P49"/>
      <c r="Q49"/>
      <c r="R49"/>
      <c r="S49"/>
      <c r="T49"/>
      <c r="U49"/>
      <c r="V49"/>
      <c r="W49"/>
      <c r="X49"/>
      <c r="Y49"/>
    </row>
    <row r="50" spans="4:25" x14ac:dyDescent="0.3">
      <c r="D50"/>
      <c r="E50"/>
      <c r="F50"/>
      <c r="G50"/>
      <c r="I50"/>
      <c r="J50"/>
      <c r="K50"/>
      <c r="P50"/>
      <c r="Q50"/>
      <c r="R50"/>
      <c r="S50"/>
      <c r="T50"/>
      <c r="U50"/>
      <c r="V50"/>
      <c r="W50"/>
      <c r="X50"/>
      <c r="Y50"/>
    </row>
    <row r="51" spans="4:25" x14ac:dyDescent="0.3">
      <c r="D51"/>
      <c r="E51"/>
      <c r="F51"/>
      <c r="G51"/>
      <c r="I51"/>
      <c r="J51"/>
      <c r="K51"/>
      <c r="P51"/>
      <c r="Q51"/>
      <c r="R51"/>
      <c r="S51"/>
      <c r="T51"/>
      <c r="U51"/>
      <c r="V51"/>
      <c r="W51"/>
      <c r="X51"/>
      <c r="Y51"/>
    </row>
    <row r="52" spans="4:25" x14ac:dyDescent="0.3">
      <c r="D52"/>
      <c r="E52"/>
      <c r="F52"/>
      <c r="G52"/>
      <c r="I52"/>
      <c r="J52"/>
      <c r="K52"/>
      <c r="P52"/>
      <c r="Q52"/>
      <c r="R52"/>
      <c r="S52"/>
      <c r="T52"/>
      <c r="U52"/>
      <c r="V52"/>
      <c r="W52"/>
      <c r="X52"/>
      <c r="Y52"/>
    </row>
    <row r="53" spans="4:25" x14ac:dyDescent="0.3">
      <c r="D53"/>
      <c r="E53"/>
      <c r="F53"/>
      <c r="G53"/>
      <c r="I53"/>
      <c r="J53"/>
      <c r="K53"/>
      <c r="P53"/>
      <c r="Q53"/>
      <c r="R53"/>
      <c r="S53"/>
      <c r="T53"/>
      <c r="U53"/>
      <c r="V53"/>
      <c r="W53"/>
      <c r="X53"/>
      <c r="Y53"/>
    </row>
    <row r="54" spans="4:25" x14ac:dyDescent="0.3">
      <c r="D54"/>
      <c r="E54"/>
      <c r="F54"/>
      <c r="G54"/>
      <c r="I54"/>
      <c r="J54"/>
      <c r="K54"/>
      <c r="P54"/>
      <c r="Q54"/>
      <c r="R54"/>
      <c r="S54"/>
      <c r="T54"/>
      <c r="U54"/>
      <c r="V54"/>
      <c r="W54"/>
      <c r="X54"/>
      <c r="Y54"/>
    </row>
    <row r="55" spans="4:25" x14ac:dyDescent="0.3">
      <c r="D55"/>
      <c r="E55"/>
      <c r="F55"/>
      <c r="G55"/>
      <c r="I55"/>
      <c r="J55"/>
      <c r="K55"/>
      <c r="P55"/>
      <c r="Q55"/>
      <c r="R55"/>
      <c r="S55"/>
      <c r="T55"/>
      <c r="U55"/>
      <c r="V55"/>
      <c r="W55"/>
      <c r="X55"/>
      <c r="Y55"/>
    </row>
    <row r="56" spans="4:25" x14ac:dyDescent="0.3">
      <c r="D56"/>
      <c r="E56"/>
      <c r="F56"/>
      <c r="G56"/>
      <c r="I56"/>
      <c r="J56"/>
      <c r="K56"/>
      <c r="P56"/>
      <c r="Q56"/>
      <c r="R56"/>
      <c r="S56"/>
      <c r="T56"/>
      <c r="U56"/>
      <c r="V56"/>
      <c r="W56"/>
      <c r="X56"/>
      <c r="Y56"/>
    </row>
    <row r="57" spans="4:25" x14ac:dyDescent="0.3">
      <c r="D57"/>
      <c r="E57"/>
      <c r="F57"/>
      <c r="G57"/>
      <c r="I57"/>
      <c r="J57"/>
      <c r="K57"/>
      <c r="P57"/>
      <c r="Q57"/>
      <c r="R57"/>
      <c r="S57"/>
      <c r="T57"/>
      <c r="U57"/>
      <c r="V57"/>
      <c r="W57"/>
      <c r="X57"/>
      <c r="Y57"/>
    </row>
    <row r="58" spans="4:25" x14ac:dyDescent="0.3">
      <c r="D58"/>
      <c r="E58"/>
      <c r="F58"/>
      <c r="G58"/>
      <c r="I58"/>
      <c r="J58"/>
      <c r="K58"/>
      <c r="P58"/>
      <c r="Q58"/>
      <c r="R58"/>
      <c r="S58"/>
      <c r="T58"/>
      <c r="U58"/>
      <c r="V58"/>
      <c r="W58"/>
    </row>
    <row r="59" spans="4:25" x14ac:dyDescent="0.3">
      <c r="D59"/>
      <c r="E59"/>
      <c r="F59"/>
      <c r="G59"/>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01"/>
  <sheetViews>
    <sheetView zoomScale="152" workbookViewId="0">
      <selection activeCell="A9" sqref="A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94</v>
      </c>
      <c r="D1" s="12" t="s">
        <v>95</v>
      </c>
      <c r="E1" s="12" t="s">
        <v>4</v>
      </c>
      <c r="F1" s="12" t="s">
        <v>96</v>
      </c>
      <c r="G1" s="12" t="s">
        <v>5</v>
      </c>
      <c r="H1" s="12" t="s">
        <v>97</v>
      </c>
      <c r="I1" s="13" t="s">
        <v>98</v>
      </c>
      <c r="J1" s="11"/>
    </row>
    <row r="2" spans="1:14" x14ac:dyDescent="0.3">
      <c r="A2" s="93">
        <v>45916</v>
      </c>
      <c r="B2" s="90" t="s">
        <v>99</v>
      </c>
      <c r="C2" s="90" t="s">
        <v>100</v>
      </c>
      <c r="D2" s="91"/>
      <c r="E2" s="91"/>
      <c r="F2" s="91"/>
      <c r="G2" s="91">
        <f>D2*E2</f>
        <v>0</v>
      </c>
      <c r="H2" s="91"/>
      <c r="I2" s="92">
        <v>2448147</v>
      </c>
    </row>
    <row r="3" spans="1:14" x14ac:dyDescent="0.3">
      <c r="A3" s="93">
        <v>45916</v>
      </c>
      <c r="B3" s="90" t="s">
        <v>101</v>
      </c>
      <c r="C3" s="90" t="s">
        <v>100</v>
      </c>
      <c r="D3" s="91"/>
      <c r="E3" s="91"/>
      <c r="F3" s="91"/>
      <c r="G3" s="91">
        <f>D3*E3</f>
        <v>0</v>
      </c>
      <c r="H3" s="91"/>
      <c r="I3" s="92">
        <v>0</v>
      </c>
      <c r="J3" s="11"/>
    </row>
    <row r="4" spans="1:14" x14ac:dyDescent="0.3">
      <c r="A4" s="93">
        <v>45916</v>
      </c>
      <c r="B4" s="90" t="s">
        <v>186</v>
      </c>
      <c r="C4" s="90" t="s">
        <v>100</v>
      </c>
      <c r="D4" s="11"/>
      <c r="E4" s="11"/>
      <c r="F4" s="11"/>
      <c r="G4" s="11">
        <f>D4*E4</f>
        <v>0</v>
      </c>
      <c r="H4" s="11"/>
      <c r="I4" s="95">
        <v>106730</v>
      </c>
      <c r="J4" s="11"/>
    </row>
    <row r="5" spans="1:14" x14ac:dyDescent="0.3">
      <c r="A5" s="1">
        <v>45916</v>
      </c>
      <c r="B5" t="s">
        <v>99</v>
      </c>
      <c r="C5">
        <v>112</v>
      </c>
      <c r="D5" s="11">
        <v>237</v>
      </c>
      <c r="E5" s="11">
        <v>810</v>
      </c>
      <c r="F5" s="11">
        <v>38800</v>
      </c>
      <c r="G5" s="11">
        <f t="shared" ref="G5:G7" si="0">D5*E5</f>
        <v>191970</v>
      </c>
      <c r="H5" s="11"/>
      <c r="I5" s="11">
        <f>(D5*E5)-Table3[[#This Row],[Paid]]</f>
        <v>191970</v>
      </c>
      <c r="J5" s="11"/>
    </row>
    <row r="6" spans="1:14" x14ac:dyDescent="0.3">
      <c r="A6" s="1">
        <v>45916</v>
      </c>
      <c r="B6" t="s">
        <v>99</v>
      </c>
      <c r="C6">
        <v>1435</v>
      </c>
      <c r="D6" s="11">
        <v>262</v>
      </c>
      <c r="E6" s="11">
        <v>810</v>
      </c>
      <c r="F6" s="11">
        <v>42510</v>
      </c>
      <c r="G6" s="11">
        <f t="shared" si="0"/>
        <v>212220</v>
      </c>
      <c r="H6" s="11"/>
      <c r="I6" s="11">
        <f>(D6*E6)-Table3[[#This Row],[Paid]]</f>
        <v>212220</v>
      </c>
      <c r="J6" s="11"/>
    </row>
    <row r="7" spans="1:14" x14ac:dyDescent="0.3">
      <c r="A7" s="1">
        <v>45916</v>
      </c>
      <c r="B7" t="s">
        <v>186</v>
      </c>
      <c r="D7" s="11">
        <v>40</v>
      </c>
      <c r="E7" s="11">
        <v>550</v>
      </c>
      <c r="F7" s="11"/>
      <c r="G7" s="11">
        <f t="shared" si="0"/>
        <v>22000</v>
      </c>
      <c r="H7" s="11"/>
      <c r="I7" s="11">
        <f>(D7*E7)-Table3[[#This Row],[Paid]]</f>
        <v>22000</v>
      </c>
      <c r="J7" s="11"/>
    </row>
    <row r="8" spans="1:14" x14ac:dyDescent="0.3">
      <c r="A8" s="1">
        <v>45916</v>
      </c>
      <c r="B8" t="s">
        <v>186</v>
      </c>
      <c r="D8" s="11">
        <v>40</v>
      </c>
      <c r="E8" s="11">
        <v>550</v>
      </c>
      <c r="F8" s="11"/>
      <c r="G8" s="11">
        <f>D8*E8</f>
        <v>22000</v>
      </c>
      <c r="H8" s="11"/>
      <c r="I8" s="11">
        <f>(D8*E8)-Table3[[#This Row],[Paid]]</f>
        <v>22000</v>
      </c>
      <c r="J8" s="11"/>
    </row>
    <row r="9" spans="1:14" x14ac:dyDescent="0.3">
      <c r="A9" s="1" t="s">
        <v>103</v>
      </c>
      <c r="D9" s="14"/>
      <c r="E9" s="14"/>
      <c r="F9" s="14"/>
      <c r="G9" s="14">
        <f>SUBTOTAL(109,Table3[Total])</f>
        <v>448190</v>
      </c>
      <c r="H9" s="14">
        <f>SUBTOTAL(109,Table3[Paid])</f>
        <v>0</v>
      </c>
      <c r="I9" s="14">
        <f>SUBTOTAL(109,Table3[balance])</f>
        <v>3003067</v>
      </c>
      <c r="J9" s="11"/>
    </row>
    <row r="10" spans="1:14" x14ac:dyDescent="0.3">
      <c r="J10" s="11"/>
    </row>
    <row r="11" spans="1:14" x14ac:dyDescent="0.3">
      <c r="J11" s="11"/>
    </row>
    <row r="12" spans="1:14" x14ac:dyDescent="0.3">
      <c r="J12" s="11"/>
    </row>
    <row r="13" spans="1:14" ht="16.8" thickBot="1" x14ac:dyDescent="0.5">
      <c r="J13" s="48"/>
    </row>
    <row r="14" spans="1:14" ht="15" thickTop="1" x14ac:dyDescent="0.3">
      <c r="N14" s="17">
        <f>SUM(Table3[Total])</f>
        <v>448190</v>
      </c>
    </row>
    <row r="15" spans="1:14" x14ac:dyDescent="0.3">
      <c r="E15" s="3" t="s">
        <v>2</v>
      </c>
      <c r="F15" t="s">
        <v>90</v>
      </c>
    </row>
    <row r="17" spans="5:11" x14ac:dyDescent="0.3">
      <c r="E17" s="3" t="s">
        <v>104</v>
      </c>
      <c r="F17" t="s">
        <v>105</v>
      </c>
      <c r="G17" t="s">
        <v>106</v>
      </c>
      <c r="H17" t="s">
        <v>107</v>
      </c>
      <c r="I17" t="s">
        <v>108</v>
      </c>
    </row>
    <row r="18" spans="5:11" x14ac:dyDescent="0.3">
      <c r="E18" s="27">
        <v>45881</v>
      </c>
      <c r="F18" s="14">
        <v>288</v>
      </c>
      <c r="G18" s="14">
        <v>220320</v>
      </c>
      <c r="H18" s="14">
        <v>0</v>
      </c>
      <c r="I18" s="14">
        <v>220320</v>
      </c>
    </row>
    <row r="19" spans="5:11" x14ac:dyDescent="0.3">
      <c r="E19" s="49">
        <v>6691</v>
      </c>
      <c r="F19" s="14">
        <v>288</v>
      </c>
      <c r="G19" s="14">
        <v>220320</v>
      </c>
      <c r="H19" s="14">
        <v>0</v>
      </c>
      <c r="I19" s="14">
        <v>220320</v>
      </c>
    </row>
    <row r="20" spans="5:11" x14ac:dyDescent="0.3">
      <c r="E20" s="27">
        <v>45882</v>
      </c>
      <c r="F20" s="14">
        <v>100</v>
      </c>
      <c r="G20" s="14">
        <v>70000</v>
      </c>
      <c r="H20" s="14">
        <v>0</v>
      </c>
      <c r="I20" s="14">
        <v>70000</v>
      </c>
    </row>
    <row r="21" spans="5:11" x14ac:dyDescent="0.3">
      <c r="E21" s="49">
        <v>1055</v>
      </c>
      <c r="F21" s="14">
        <v>100</v>
      </c>
      <c r="G21" s="14">
        <v>70000</v>
      </c>
      <c r="H21" s="14">
        <v>0</v>
      </c>
      <c r="I21" s="14">
        <v>70000</v>
      </c>
    </row>
    <row r="22" spans="5:11" x14ac:dyDescent="0.3">
      <c r="E22" s="27">
        <v>45884</v>
      </c>
      <c r="F22" s="14">
        <v>388</v>
      </c>
      <c r="G22" s="14">
        <v>296820</v>
      </c>
      <c r="H22" s="14">
        <v>0</v>
      </c>
      <c r="I22" s="14">
        <v>296820</v>
      </c>
    </row>
    <row r="23" spans="5:11" x14ac:dyDescent="0.3">
      <c r="E23" s="49">
        <v>8395</v>
      </c>
      <c r="F23" s="14">
        <v>388</v>
      </c>
      <c r="G23" s="14">
        <v>296820</v>
      </c>
      <c r="H23" s="14">
        <v>0</v>
      </c>
      <c r="I23" s="14">
        <v>296820</v>
      </c>
    </row>
    <row r="24" spans="5:11" x14ac:dyDescent="0.3">
      <c r="E24" s="27">
        <v>45885</v>
      </c>
      <c r="F24" s="14">
        <v>236</v>
      </c>
      <c r="G24" s="14">
        <v>180540</v>
      </c>
      <c r="H24" s="14">
        <v>0</v>
      </c>
      <c r="I24" s="14">
        <v>1405987</v>
      </c>
    </row>
    <row r="25" spans="5:11" x14ac:dyDescent="0.3">
      <c r="E25" s="49">
        <v>3229</v>
      </c>
      <c r="F25" s="14">
        <v>236</v>
      </c>
      <c r="G25" s="14">
        <v>180540</v>
      </c>
      <c r="H25" s="14">
        <v>0</v>
      </c>
      <c r="I25" s="14">
        <v>180540</v>
      </c>
    </row>
    <row r="26" spans="5:11" x14ac:dyDescent="0.3">
      <c r="E26" s="49" t="s">
        <v>100</v>
      </c>
      <c r="F26" s="14"/>
      <c r="G26" s="14">
        <v>0</v>
      </c>
      <c r="H26" s="14"/>
      <c r="I26" s="14">
        <v>1225447</v>
      </c>
    </row>
    <row r="27" spans="5:11" x14ac:dyDescent="0.3">
      <c r="E27" s="27">
        <v>45886</v>
      </c>
      <c r="F27" s="14">
        <v>265</v>
      </c>
      <c r="G27" s="14">
        <v>202725</v>
      </c>
      <c r="H27" s="14">
        <v>0</v>
      </c>
      <c r="I27" s="14">
        <v>202725</v>
      </c>
    </row>
    <row r="28" spans="5:11" x14ac:dyDescent="0.3">
      <c r="E28" s="49" t="s">
        <v>109</v>
      </c>
      <c r="F28" s="14"/>
      <c r="G28" s="14">
        <v>0</v>
      </c>
      <c r="H28" s="14">
        <v>0</v>
      </c>
      <c r="I28" s="14">
        <v>0</v>
      </c>
    </row>
    <row r="29" spans="5:11" x14ac:dyDescent="0.3">
      <c r="E29" s="49">
        <v>4649</v>
      </c>
      <c r="F29" s="14">
        <v>265</v>
      </c>
      <c r="G29" s="14">
        <v>202725</v>
      </c>
      <c r="H29" s="14"/>
      <c r="I29" s="14">
        <v>202725</v>
      </c>
      <c r="K29" s="14"/>
    </row>
    <row r="30" spans="5:11" x14ac:dyDescent="0.3">
      <c r="E30" s="27">
        <v>45888</v>
      </c>
      <c r="F30" s="14">
        <v>292</v>
      </c>
      <c r="G30" s="14">
        <v>223380</v>
      </c>
      <c r="H30" s="14">
        <v>0</v>
      </c>
      <c r="I30" s="14">
        <v>223380</v>
      </c>
    </row>
    <row r="31" spans="5:11" x14ac:dyDescent="0.3">
      <c r="E31" s="49">
        <v>52</v>
      </c>
      <c r="F31" s="14">
        <v>292</v>
      </c>
      <c r="G31" s="14">
        <v>223380</v>
      </c>
      <c r="H31" s="14">
        <v>0</v>
      </c>
      <c r="I31" s="14">
        <v>223380</v>
      </c>
    </row>
    <row r="32" spans="5:11" x14ac:dyDescent="0.3">
      <c r="E32" s="27">
        <v>45889</v>
      </c>
      <c r="F32" s="14">
        <v>347</v>
      </c>
      <c r="G32" s="14">
        <v>265455</v>
      </c>
      <c r="H32" s="14">
        <v>0</v>
      </c>
      <c r="I32" s="14">
        <v>265455</v>
      </c>
    </row>
    <row r="33" spans="5:9" x14ac:dyDescent="0.3">
      <c r="E33" s="49">
        <v>739</v>
      </c>
      <c r="F33" s="14">
        <v>347</v>
      </c>
      <c r="G33" s="14">
        <v>265455</v>
      </c>
      <c r="H33" s="14">
        <v>0</v>
      </c>
      <c r="I33" s="14">
        <v>265455</v>
      </c>
    </row>
    <row r="34" spans="5:9" x14ac:dyDescent="0.3">
      <c r="E34" s="27">
        <v>45890</v>
      </c>
      <c r="F34" s="14">
        <v>471</v>
      </c>
      <c r="G34" s="14">
        <v>360315</v>
      </c>
      <c r="H34" s="14">
        <v>0</v>
      </c>
      <c r="I34" s="14">
        <v>360315</v>
      </c>
    </row>
    <row r="35" spans="5:9" x14ac:dyDescent="0.3">
      <c r="E35" s="49">
        <v>3229</v>
      </c>
      <c r="F35" s="14">
        <v>215</v>
      </c>
      <c r="G35" s="14">
        <v>164475</v>
      </c>
      <c r="H35" s="14"/>
      <c r="I35" s="14">
        <v>164475</v>
      </c>
    </row>
    <row r="36" spans="5:9" x14ac:dyDescent="0.3">
      <c r="E36" s="49">
        <v>1288</v>
      </c>
      <c r="F36" s="14">
        <v>256</v>
      </c>
      <c r="G36" s="14">
        <v>195840</v>
      </c>
      <c r="H36" s="14">
        <v>0</v>
      </c>
      <c r="I36" s="14">
        <v>195840</v>
      </c>
    </row>
    <row r="37" spans="5:9" x14ac:dyDescent="0.3">
      <c r="E37" s="27">
        <v>45894</v>
      </c>
      <c r="F37" s="14">
        <v>526</v>
      </c>
      <c r="G37" s="14">
        <v>402390</v>
      </c>
      <c r="H37" s="14">
        <v>0</v>
      </c>
      <c r="I37" s="14">
        <v>402390</v>
      </c>
    </row>
    <row r="38" spans="5:9" x14ac:dyDescent="0.3">
      <c r="E38" s="49">
        <v>3229</v>
      </c>
      <c r="F38" s="14">
        <v>245</v>
      </c>
      <c r="G38" s="14">
        <v>187425</v>
      </c>
      <c r="H38" s="14"/>
      <c r="I38" s="14">
        <v>187425</v>
      </c>
    </row>
    <row r="39" spans="5:9" x14ac:dyDescent="0.3">
      <c r="E39" s="49">
        <v>5045</v>
      </c>
      <c r="F39" s="14">
        <v>281</v>
      </c>
      <c r="G39" s="14">
        <v>214965</v>
      </c>
      <c r="H39" s="14">
        <v>0</v>
      </c>
      <c r="I39" s="14">
        <v>214965</v>
      </c>
    </row>
    <row r="40" spans="5:9" x14ac:dyDescent="0.3">
      <c r="E40" s="27">
        <v>45893</v>
      </c>
      <c r="F40" s="14">
        <v>29</v>
      </c>
      <c r="G40" s="14">
        <v>20300</v>
      </c>
      <c r="H40" s="14">
        <v>0</v>
      </c>
      <c r="I40" s="14">
        <v>20300</v>
      </c>
    </row>
    <row r="41" spans="5:9" x14ac:dyDescent="0.3">
      <c r="E41" s="49" t="s">
        <v>102</v>
      </c>
      <c r="F41" s="14">
        <v>29</v>
      </c>
      <c r="G41" s="14">
        <v>20300</v>
      </c>
      <c r="H41" s="14">
        <v>0</v>
      </c>
      <c r="I41" s="14">
        <v>20300</v>
      </c>
    </row>
    <row r="42" spans="5:9" x14ac:dyDescent="0.3">
      <c r="E42" s="27">
        <v>45895</v>
      </c>
      <c r="F42" s="14">
        <v>516</v>
      </c>
      <c r="G42" s="14">
        <v>404865</v>
      </c>
      <c r="H42" s="14">
        <v>0</v>
      </c>
      <c r="I42" s="14">
        <v>404865</v>
      </c>
    </row>
    <row r="43" spans="5:9" x14ac:dyDescent="0.3">
      <c r="E43" s="49">
        <v>561</v>
      </c>
      <c r="F43" s="14">
        <v>225</v>
      </c>
      <c r="G43" s="14">
        <v>182250</v>
      </c>
      <c r="H43" s="14">
        <v>0</v>
      </c>
      <c r="I43" s="14">
        <v>182250</v>
      </c>
    </row>
    <row r="44" spans="5:9" x14ac:dyDescent="0.3">
      <c r="E44" s="49">
        <v>447</v>
      </c>
      <c r="F44" s="14">
        <v>291</v>
      </c>
      <c r="G44" s="14">
        <v>222615</v>
      </c>
      <c r="H44" s="14"/>
      <c r="I44" s="14">
        <v>222615</v>
      </c>
    </row>
    <row r="45" spans="5:9" x14ac:dyDescent="0.3">
      <c r="E45" s="27">
        <v>45887</v>
      </c>
      <c r="F45" s="14"/>
      <c r="G45" s="14">
        <v>0</v>
      </c>
      <c r="H45" s="14">
        <v>0</v>
      </c>
      <c r="I45" s="14">
        <v>0</v>
      </c>
    </row>
    <row r="46" spans="5:9" x14ac:dyDescent="0.3">
      <c r="E46" s="49" t="s">
        <v>109</v>
      </c>
      <c r="F46" s="14"/>
      <c r="G46" s="14">
        <v>0</v>
      </c>
      <c r="H46" s="14">
        <v>0</v>
      </c>
      <c r="I46" s="14">
        <v>0</v>
      </c>
    </row>
    <row r="47" spans="5:9" x14ac:dyDescent="0.3">
      <c r="E47" s="27">
        <v>45892</v>
      </c>
      <c r="F47" s="14"/>
      <c r="G47" s="14">
        <v>0</v>
      </c>
      <c r="H47" s="14">
        <v>0</v>
      </c>
      <c r="I47" s="14">
        <v>0</v>
      </c>
    </row>
    <row r="48" spans="5:9" x14ac:dyDescent="0.3">
      <c r="E48" s="49" t="s">
        <v>109</v>
      </c>
      <c r="F48" s="14"/>
      <c r="G48" s="14">
        <v>0</v>
      </c>
      <c r="H48" s="14">
        <v>0</v>
      </c>
      <c r="I48" s="14">
        <v>0</v>
      </c>
    </row>
    <row r="49" spans="5:9" x14ac:dyDescent="0.3">
      <c r="E49" s="27">
        <v>45896</v>
      </c>
      <c r="F49" s="14">
        <v>133</v>
      </c>
      <c r="G49" s="14">
        <v>93100</v>
      </c>
      <c r="H49" s="14">
        <v>0</v>
      </c>
      <c r="I49" s="14">
        <v>93100</v>
      </c>
    </row>
    <row r="50" spans="5:9" x14ac:dyDescent="0.3">
      <c r="E50" s="49">
        <v>5946</v>
      </c>
      <c r="F50" s="14">
        <v>133</v>
      </c>
      <c r="G50" s="14">
        <v>93100</v>
      </c>
      <c r="H50" s="14">
        <v>0</v>
      </c>
      <c r="I50" s="14">
        <v>93100</v>
      </c>
    </row>
    <row r="51" spans="5:9" x14ac:dyDescent="0.3">
      <c r="E51" s="27">
        <v>45897</v>
      </c>
      <c r="F51" s="14">
        <v>265</v>
      </c>
      <c r="G51" s="14">
        <v>214650</v>
      </c>
      <c r="H51" s="14">
        <v>0</v>
      </c>
      <c r="I51" s="14">
        <v>214650</v>
      </c>
    </row>
    <row r="52" spans="5:9" x14ac:dyDescent="0.3">
      <c r="E52" s="49">
        <v>1910</v>
      </c>
      <c r="F52" s="14">
        <v>265</v>
      </c>
      <c r="G52" s="14">
        <v>214650</v>
      </c>
      <c r="H52" s="14">
        <v>0</v>
      </c>
      <c r="I52" s="14">
        <v>214650</v>
      </c>
    </row>
    <row r="53" spans="5:9" x14ac:dyDescent="0.3">
      <c r="E53" s="27">
        <v>45899</v>
      </c>
      <c r="F53" s="14"/>
      <c r="G53" s="14">
        <v>0</v>
      </c>
      <c r="H53" s="14">
        <v>0</v>
      </c>
      <c r="I53" s="14">
        <v>0</v>
      </c>
    </row>
    <row r="54" spans="5:9" x14ac:dyDescent="0.3">
      <c r="E54" s="49" t="s">
        <v>109</v>
      </c>
      <c r="F54" s="14"/>
      <c r="G54" s="14">
        <v>0</v>
      </c>
      <c r="H54" s="14">
        <v>0</v>
      </c>
      <c r="I54" s="14">
        <v>0</v>
      </c>
    </row>
    <row r="55" spans="5:9" x14ac:dyDescent="0.3">
      <c r="E55" s="27">
        <v>45900</v>
      </c>
      <c r="F55" s="14">
        <v>220</v>
      </c>
      <c r="G55" s="14">
        <v>168300</v>
      </c>
      <c r="H55" s="14">
        <v>0</v>
      </c>
      <c r="I55" s="14">
        <v>168300</v>
      </c>
    </row>
    <row r="56" spans="5:9" x14ac:dyDescent="0.3">
      <c r="E56" s="49">
        <v>3229</v>
      </c>
      <c r="F56" s="14">
        <v>220</v>
      </c>
      <c r="G56" s="14">
        <v>168300</v>
      </c>
      <c r="H56" s="14"/>
      <c r="I56" s="14">
        <v>168300</v>
      </c>
    </row>
    <row r="57" spans="5:9" x14ac:dyDescent="0.3">
      <c r="E57" s="49" t="s">
        <v>109</v>
      </c>
      <c r="F57" s="14"/>
      <c r="G57" s="14">
        <v>0</v>
      </c>
      <c r="H57" s="14">
        <v>0</v>
      </c>
      <c r="I57" s="14">
        <v>0</v>
      </c>
    </row>
    <row r="58" spans="5:9" x14ac:dyDescent="0.3">
      <c r="E58" s="27">
        <v>45901</v>
      </c>
      <c r="F58" s="14">
        <v>302</v>
      </c>
      <c r="G58" s="14">
        <v>231030</v>
      </c>
      <c r="H58" s="14">
        <v>0</v>
      </c>
      <c r="I58" s="14">
        <v>231030</v>
      </c>
    </row>
    <row r="59" spans="5:9" x14ac:dyDescent="0.3">
      <c r="E59" s="49">
        <v>7286</v>
      </c>
      <c r="F59" s="14">
        <v>302</v>
      </c>
      <c r="G59" s="14">
        <v>231030</v>
      </c>
      <c r="H59" s="14">
        <v>0</v>
      </c>
      <c r="I59" s="14">
        <v>231030</v>
      </c>
    </row>
    <row r="60" spans="5:9" x14ac:dyDescent="0.3">
      <c r="E60" s="27">
        <v>45902</v>
      </c>
      <c r="F60" s="14">
        <v>777</v>
      </c>
      <c r="G60" s="14">
        <v>605610</v>
      </c>
      <c r="H60" s="14">
        <v>0</v>
      </c>
      <c r="I60" s="14">
        <v>605610</v>
      </c>
    </row>
    <row r="61" spans="5:9" x14ac:dyDescent="0.3">
      <c r="E61" s="49">
        <v>1961</v>
      </c>
      <c r="F61" s="14">
        <v>297</v>
      </c>
      <c r="G61" s="14">
        <v>227205</v>
      </c>
      <c r="H61" s="14">
        <v>0</v>
      </c>
      <c r="I61" s="14">
        <v>227205</v>
      </c>
    </row>
    <row r="62" spans="5:9" x14ac:dyDescent="0.3">
      <c r="E62" s="49">
        <v>8141</v>
      </c>
      <c r="F62" s="14">
        <v>249</v>
      </c>
      <c r="G62" s="14">
        <v>201690</v>
      </c>
      <c r="H62" s="14"/>
      <c r="I62" s="14">
        <v>201690</v>
      </c>
    </row>
    <row r="63" spans="5:9" x14ac:dyDescent="0.3">
      <c r="E63" s="49">
        <v>3220</v>
      </c>
      <c r="F63" s="14">
        <v>231</v>
      </c>
      <c r="G63" s="14">
        <v>176715</v>
      </c>
      <c r="H63" s="14"/>
      <c r="I63" s="14">
        <v>176715</v>
      </c>
    </row>
    <row r="64" spans="5:9" x14ac:dyDescent="0.3">
      <c r="E64" s="27">
        <v>45903</v>
      </c>
      <c r="F64" s="14"/>
      <c r="G64" s="14">
        <v>0</v>
      </c>
      <c r="H64" s="14">
        <v>0</v>
      </c>
      <c r="I64" s="14">
        <v>0</v>
      </c>
    </row>
    <row r="65" spans="5:9" x14ac:dyDescent="0.3">
      <c r="E65" s="49" t="s">
        <v>109</v>
      </c>
      <c r="F65" s="14"/>
      <c r="G65" s="14">
        <v>0</v>
      </c>
      <c r="H65" s="14">
        <v>0</v>
      </c>
      <c r="I65" s="14">
        <v>0</v>
      </c>
    </row>
    <row r="66" spans="5:9" x14ac:dyDescent="0.3">
      <c r="E66" s="27">
        <v>45904</v>
      </c>
      <c r="F66" s="14">
        <v>624</v>
      </c>
      <c r="G66" s="14">
        <v>486300</v>
      </c>
      <c r="H66" s="14">
        <v>0</v>
      </c>
      <c r="I66" s="14">
        <v>486300</v>
      </c>
    </row>
    <row r="67" spans="5:9" x14ac:dyDescent="0.3">
      <c r="E67" s="49" t="s">
        <v>102</v>
      </c>
      <c r="F67" s="14">
        <v>87</v>
      </c>
      <c r="G67" s="14">
        <v>51330</v>
      </c>
      <c r="H67" s="14">
        <v>0</v>
      </c>
      <c r="I67" s="14">
        <v>51330</v>
      </c>
    </row>
    <row r="68" spans="5:9" x14ac:dyDescent="0.3">
      <c r="E68" s="49">
        <v>5679</v>
      </c>
      <c r="F68" s="14">
        <v>271</v>
      </c>
      <c r="G68" s="14">
        <v>219510</v>
      </c>
      <c r="H68" s="14"/>
      <c r="I68" s="14">
        <v>219510</v>
      </c>
    </row>
    <row r="69" spans="5:9" x14ac:dyDescent="0.3">
      <c r="E69" s="49">
        <v>9373</v>
      </c>
      <c r="F69" s="14">
        <v>266</v>
      </c>
      <c r="G69" s="14">
        <v>215460</v>
      </c>
      <c r="H69" s="14">
        <v>0</v>
      </c>
      <c r="I69" s="14">
        <v>215460</v>
      </c>
    </row>
    <row r="70" spans="5:9" x14ac:dyDescent="0.3">
      <c r="E70" s="27">
        <v>45905</v>
      </c>
      <c r="F70" s="14">
        <v>512</v>
      </c>
      <c r="G70" s="14">
        <v>397285</v>
      </c>
      <c r="H70" s="14">
        <v>0</v>
      </c>
      <c r="I70" s="14">
        <v>397285</v>
      </c>
    </row>
    <row r="71" spans="5:9" x14ac:dyDescent="0.3">
      <c r="E71" s="49" t="s">
        <v>102</v>
      </c>
      <c r="F71" s="14">
        <v>41</v>
      </c>
      <c r="G71" s="14">
        <v>24190</v>
      </c>
      <c r="H71" s="14">
        <v>0</v>
      </c>
      <c r="I71" s="14">
        <v>24190</v>
      </c>
    </row>
    <row r="72" spans="5:9" x14ac:dyDescent="0.3">
      <c r="E72" s="49">
        <v>160</v>
      </c>
      <c r="F72" s="14">
        <v>284</v>
      </c>
      <c r="G72" s="14">
        <v>230040</v>
      </c>
      <c r="H72" s="14">
        <v>0</v>
      </c>
      <c r="I72" s="14">
        <v>230040</v>
      </c>
    </row>
    <row r="73" spans="5:9" x14ac:dyDescent="0.3">
      <c r="E73" s="49">
        <v>1973</v>
      </c>
      <c r="F73" s="14">
        <v>187</v>
      </c>
      <c r="G73" s="14">
        <v>143055</v>
      </c>
      <c r="H73" s="14"/>
      <c r="I73" s="14">
        <v>143055</v>
      </c>
    </row>
    <row r="74" spans="5:9" x14ac:dyDescent="0.3">
      <c r="E74" s="27">
        <v>45907</v>
      </c>
      <c r="F74" s="14">
        <v>200</v>
      </c>
      <c r="G74" s="14">
        <v>110000</v>
      </c>
      <c r="H74" s="14">
        <v>0</v>
      </c>
      <c r="I74" s="14">
        <v>110000</v>
      </c>
    </row>
    <row r="75" spans="5:9" x14ac:dyDescent="0.3">
      <c r="E75" s="49" t="s">
        <v>102</v>
      </c>
      <c r="F75" s="14">
        <v>200</v>
      </c>
      <c r="G75" s="14">
        <v>110000</v>
      </c>
      <c r="H75" s="14">
        <v>0</v>
      </c>
      <c r="I75" s="14">
        <v>110000</v>
      </c>
    </row>
    <row r="76" spans="5:9" x14ac:dyDescent="0.3">
      <c r="E76" s="27">
        <v>45908</v>
      </c>
      <c r="F76" s="14">
        <v>35</v>
      </c>
      <c r="G76" s="14">
        <v>19250</v>
      </c>
      <c r="H76" s="14">
        <v>0</v>
      </c>
      <c r="I76" s="14">
        <v>19250</v>
      </c>
    </row>
    <row r="77" spans="5:9" x14ac:dyDescent="0.3">
      <c r="E77" s="49" t="s">
        <v>109</v>
      </c>
      <c r="F77" s="14"/>
      <c r="G77" s="14">
        <v>0</v>
      </c>
      <c r="H77" s="14">
        <v>0</v>
      </c>
      <c r="I77" s="14">
        <v>0</v>
      </c>
    </row>
    <row r="78" spans="5:9" x14ac:dyDescent="0.3">
      <c r="E78" s="49" t="s">
        <v>102</v>
      </c>
      <c r="F78" s="14">
        <v>35</v>
      </c>
      <c r="G78" s="14">
        <v>19250</v>
      </c>
      <c r="H78" s="14">
        <v>0</v>
      </c>
      <c r="I78" s="14">
        <v>19250</v>
      </c>
    </row>
    <row r="79" spans="5:9" x14ac:dyDescent="0.3">
      <c r="E79" s="27">
        <v>45909</v>
      </c>
      <c r="F79" s="14">
        <v>239</v>
      </c>
      <c r="G79" s="14">
        <v>193590</v>
      </c>
      <c r="H79" s="14">
        <v>0</v>
      </c>
      <c r="I79" s="14">
        <v>193590</v>
      </c>
    </row>
    <row r="80" spans="5:9" x14ac:dyDescent="0.3">
      <c r="E80" s="49">
        <v>9940</v>
      </c>
      <c r="F80" s="14">
        <v>239</v>
      </c>
      <c r="G80" s="14">
        <v>193590</v>
      </c>
      <c r="H80" s="14">
        <v>0</v>
      </c>
      <c r="I80" s="14">
        <v>193590</v>
      </c>
    </row>
    <row r="81" spans="5:9" x14ac:dyDescent="0.3">
      <c r="E81" s="27">
        <v>45910</v>
      </c>
      <c r="F81" s="14">
        <v>455</v>
      </c>
      <c r="G81" s="14">
        <v>307740</v>
      </c>
      <c r="H81" s="14">
        <v>0</v>
      </c>
      <c r="I81" s="14">
        <v>307740</v>
      </c>
    </row>
    <row r="82" spans="5:9" x14ac:dyDescent="0.3">
      <c r="E82" s="49" t="s">
        <v>102</v>
      </c>
      <c r="F82" s="14">
        <v>232</v>
      </c>
      <c r="G82" s="14">
        <v>129360</v>
      </c>
      <c r="H82" s="14">
        <v>0</v>
      </c>
      <c r="I82" s="14">
        <v>129360</v>
      </c>
    </row>
    <row r="83" spans="5:9" x14ac:dyDescent="0.3">
      <c r="E83" s="49">
        <v>685</v>
      </c>
      <c r="F83" s="14">
        <v>223</v>
      </c>
      <c r="G83" s="14">
        <v>178380</v>
      </c>
      <c r="H83" s="14">
        <v>0</v>
      </c>
      <c r="I83" s="14">
        <v>178380</v>
      </c>
    </row>
    <row r="84" spans="5:9" x14ac:dyDescent="0.3">
      <c r="E84" s="27">
        <v>45911</v>
      </c>
      <c r="F84" s="14">
        <v>359</v>
      </c>
      <c r="G84" s="14">
        <v>202450</v>
      </c>
      <c r="H84" s="14">
        <v>0</v>
      </c>
      <c r="I84" s="14">
        <v>202450</v>
      </c>
    </row>
    <row r="85" spans="5:9" x14ac:dyDescent="0.3">
      <c r="E85" s="49" t="s">
        <v>109</v>
      </c>
      <c r="F85" s="14"/>
      <c r="G85" s="14">
        <v>0</v>
      </c>
      <c r="H85" s="14">
        <v>0</v>
      </c>
      <c r="I85" s="14">
        <v>0</v>
      </c>
    </row>
    <row r="86" spans="5:9" x14ac:dyDescent="0.3">
      <c r="E86" s="49" t="s">
        <v>102</v>
      </c>
      <c r="F86" s="14">
        <v>359</v>
      </c>
      <c r="G86" s="14">
        <v>202450</v>
      </c>
      <c r="H86" s="14">
        <v>0</v>
      </c>
      <c r="I86" s="14">
        <v>202450</v>
      </c>
    </row>
    <row r="87" spans="5:9" x14ac:dyDescent="0.3">
      <c r="E87" s="27">
        <v>45912</v>
      </c>
      <c r="F87" s="14">
        <v>533</v>
      </c>
      <c r="G87" s="14">
        <v>417960</v>
      </c>
      <c r="H87" s="14">
        <v>0</v>
      </c>
      <c r="I87" s="14">
        <v>417960</v>
      </c>
    </row>
    <row r="88" spans="5:9" x14ac:dyDescent="0.3">
      <c r="E88" s="49">
        <v>31</v>
      </c>
      <c r="F88" s="14">
        <v>227</v>
      </c>
      <c r="G88" s="14">
        <v>183870</v>
      </c>
      <c r="H88" s="14">
        <v>0</v>
      </c>
      <c r="I88" s="14">
        <v>183870</v>
      </c>
    </row>
    <row r="89" spans="5:9" x14ac:dyDescent="0.3">
      <c r="E89" s="49">
        <v>3834</v>
      </c>
      <c r="F89" s="14">
        <v>306</v>
      </c>
      <c r="G89" s="14">
        <v>234090</v>
      </c>
      <c r="H89" s="14"/>
      <c r="I89" s="14">
        <v>234090</v>
      </c>
    </row>
    <row r="90" spans="5:9" x14ac:dyDescent="0.3">
      <c r="E90" s="27">
        <v>45913</v>
      </c>
      <c r="F90" s="14">
        <v>47</v>
      </c>
      <c r="G90" s="14">
        <v>27730</v>
      </c>
      <c r="H90" s="14">
        <v>0</v>
      </c>
      <c r="I90" s="14">
        <v>27730</v>
      </c>
    </row>
    <row r="91" spans="5:9" x14ac:dyDescent="0.3">
      <c r="E91" s="49" t="s">
        <v>109</v>
      </c>
      <c r="F91" s="14"/>
      <c r="G91" s="14">
        <v>0</v>
      </c>
      <c r="H91" s="14">
        <v>0</v>
      </c>
      <c r="I91" s="14">
        <v>0</v>
      </c>
    </row>
    <row r="92" spans="5:9" x14ac:dyDescent="0.3">
      <c r="E92" s="49" t="s">
        <v>102</v>
      </c>
      <c r="F92" s="14">
        <v>47</v>
      </c>
      <c r="G92" s="14">
        <v>27730</v>
      </c>
      <c r="H92" s="14">
        <v>0</v>
      </c>
      <c r="I92" s="14">
        <v>27730</v>
      </c>
    </row>
    <row r="93" spans="5:9" x14ac:dyDescent="0.3">
      <c r="E93" s="27">
        <v>45914</v>
      </c>
      <c r="F93" s="14">
        <v>245</v>
      </c>
      <c r="G93" s="14">
        <v>198450</v>
      </c>
      <c r="H93" s="14">
        <v>0</v>
      </c>
      <c r="I93" s="14">
        <v>198450</v>
      </c>
    </row>
    <row r="94" spans="5:9" x14ac:dyDescent="0.3">
      <c r="E94" s="49" t="s">
        <v>109</v>
      </c>
      <c r="F94" s="14"/>
      <c r="G94" s="14">
        <v>0</v>
      </c>
      <c r="H94" s="14">
        <v>0</v>
      </c>
      <c r="I94" s="14">
        <v>0</v>
      </c>
    </row>
    <row r="95" spans="5:9" x14ac:dyDescent="0.3">
      <c r="E95" s="49">
        <v>9755</v>
      </c>
      <c r="F95" s="14">
        <v>245</v>
      </c>
      <c r="G95" s="14">
        <v>198450</v>
      </c>
      <c r="H95" s="14">
        <v>0</v>
      </c>
      <c r="I95" s="14">
        <v>198450</v>
      </c>
    </row>
    <row r="96" spans="5:9" x14ac:dyDescent="0.3">
      <c r="E96" s="27">
        <v>45915</v>
      </c>
      <c r="F96" s="14">
        <v>1002</v>
      </c>
      <c r="G96" s="14">
        <v>787905</v>
      </c>
      <c r="H96" s="14">
        <v>0</v>
      </c>
      <c r="I96" s="14">
        <v>787905</v>
      </c>
    </row>
    <row r="97" spans="5:9" x14ac:dyDescent="0.3">
      <c r="E97" s="49">
        <v>3229</v>
      </c>
      <c r="F97" s="14">
        <v>229</v>
      </c>
      <c r="G97" s="14">
        <v>183150</v>
      </c>
      <c r="H97" s="14"/>
      <c r="I97" s="14">
        <v>183150</v>
      </c>
    </row>
    <row r="98" spans="5:9" x14ac:dyDescent="0.3">
      <c r="E98" s="49" t="s">
        <v>109</v>
      </c>
      <c r="F98" s="14">
        <v>300</v>
      </c>
      <c r="G98" s="14">
        <v>221625</v>
      </c>
      <c r="H98" s="14">
        <v>0</v>
      </c>
      <c r="I98" s="14">
        <v>221625</v>
      </c>
    </row>
    <row r="99" spans="5:9" x14ac:dyDescent="0.3">
      <c r="E99" s="49">
        <v>31</v>
      </c>
      <c r="F99" s="14">
        <v>232</v>
      </c>
      <c r="G99" s="14">
        <v>187920</v>
      </c>
      <c r="H99" s="14"/>
      <c r="I99" s="14">
        <v>187920</v>
      </c>
    </row>
    <row r="100" spans="5:9" x14ac:dyDescent="0.3">
      <c r="E100" s="49">
        <v>1561</v>
      </c>
      <c r="F100" s="14">
        <v>241</v>
      </c>
      <c r="G100" s="14">
        <v>195210</v>
      </c>
      <c r="H100" s="14">
        <v>0</v>
      </c>
      <c r="I100" s="14">
        <v>195210</v>
      </c>
    </row>
    <row r="101" spans="5:9" x14ac:dyDescent="0.3">
      <c r="E101" s="27" t="s">
        <v>28</v>
      </c>
      <c r="F101" s="14">
        <v>9406</v>
      </c>
      <c r="G101" s="14">
        <v>7108460</v>
      </c>
      <c r="H101" s="14">
        <v>0</v>
      </c>
      <c r="I101" s="14">
        <v>8333907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66"/>
  <sheetViews>
    <sheetView tabSelected="1" topLeftCell="D19" zoomScale="132" workbookViewId="0">
      <selection activeCell="B20" sqref="B2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116</v>
      </c>
      <c r="C1" t="s">
        <v>71</v>
      </c>
      <c r="D1" t="s">
        <v>70</v>
      </c>
      <c r="E1" t="s">
        <v>36</v>
      </c>
      <c r="F1" t="s">
        <v>117</v>
      </c>
      <c r="G1" t="s">
        <v>118</v>
      </c>
    </row>
    <row r="2" spans="1:16" x14ac:dyDescent="0.3">
      <c r="A2" s="94">
        <v>45916</v>
      </c>
      <c r="B2" s="89" t="s">
        <v>199</v>
      </c>
      <c r="C2" s="11"/>
      <c r="D2" s="95">
        <f>[1]Cashbook!$R$10</f>
        <v>-41752</v>
      </c>
      <c r="E2" s="89"/>
      <c r="F2" s="96" t="s">
        <v>114</v>
      </c>
    </row>
    <row r="3" spans="1:16" x14ac:dyDescent="0.3">
      <c r="A3" s="94">
        <v>45916</v>
      </c>
      <c r="B3" s="89" t="s">
        <v>199</v>
      </c>
      <c r="C3" s="11"/>
      <c r="D3" s="95">
        <f>[1]Cashbook!$R$11</f>
        <v>12665</v>
      </c>
      <c r="E3" s="89"/>
      <c r="F3" s="96" t="s">
        <v>115</v>
      </c>
      <c r="J3" s="55" t="s">
        <v>45</v>
      </c>
      <c r="K3" s="40" t="s">
        <v>46</v>
      </c>
      <c r="M3" s="55" t="s">
        <v>45</v>
      </c>
      <c r="N3" s="58" t="s">
        <v>110</v>
      </c>
      <c r="O3" s="98" t="s">
        <v>111</v>
      </c>
      <c r="P3" t="s">
        <v>112</v>
      </c>
    </row>
    <row r="4" spans="1:16" x14ac:dyDescent="0.3">
      <c r="A4" s="105">
        <v>45916</v>
      </c>
      <c r="B4" t="s">
        <v>22</v>
      </c>
      <c r="C4" s="11"/>
      <c r="D4" s="11">
        <v>125000</v>
      </c>
      <c r="F4" s="52" t="s">
        <v>114</v>
      </c>
      <c r="J4" s="53" t="s">
        <v>71</v>
      </c>
      <c r="K4" s="54">
        <f>Table14[[#Totals],[Debit]]</f>
        <v>391126</v>
      </c>
      <c r="M4" s="53" t="s">
        <v>113</v>
      </c>
      <c r="N4" s="59">
        <f>SUMIFS(Table14[Withdrawal],Table14[Party],"Cash",Table14[Mode],"Transfer")</f>
        <v>0</v>
      </c>
    </row>
    <row r="5" spans="1:16" x14ac:dyDescent="0.3">
      <c r="A5" s="105">
        <v>45916</v>
      </c>
      <c r="B5" t="s">
        <v>99</v>
      </c>
      <c r="C5" s="11">
        <v>38800</v>
      </c>
      <c r="D5" s="11"/>
      <c r="E5" t="s">
        <v>200</v>
      </c>
      <c r="F5" s="52" t="s">
        <v>114</v>
      </c>
      <c r="J5" s="53" t="s">
        <v>70</v>
      </c>
      <c r="K5" s="54">
        <f>Table14[[#Totals],[Credit]]</f>
        <v>609629</v>
      </c>
      <c r="M5" s="53" t="s">
        <v>114</v>
      </c>
      <c r="N5" s="54">
        <f>(SUMIFS(Table14[Credit],Table14[Mode],"Bank")-SUMIFS(Table14[Debit],Table14[Mode],"Bank")-SUMIFS(Table14[Withdrawal],Table14[Mode],"Transfer"))</f>
        <v>51648</v>
      </c>
      <c r="O5">
        <v>320</v>
      </c>
    </row>
    <row r="6" spans="1:16" x14ac:dyDescent="0.3">
      <c r="A6" s="105">
        <v>45916</v>
      </c>
      <c r="B6" t="s">
        <v>27</v>
      </c>
      <c r="C6" s="11"/>
      <c r="D6" s="11">
        <v>100000</v>
      </c>
      <c r="F6" s="52" t="s">
        <v>115</v>
      </c>
      <c r="J6" s="60" t="s">
        <v>43</v>
      </c>
      <c r="K6" s="61">
        <f>(K5-K4)</f>
        <v>218503</v>
      </c>
      <c r="M6" s="53" t="s">
        <v>115</v>
      </c>
      <c r="N6" s="54">
        <f>((SUMIFS(Table14[Credit],Table14[Mode],"Cash")-SUMIFS(Table14[Debit],Table14[Mode],"Cash"))+SUMIFS(Table14[Withdrawal],Table14[Party],"Cash",Table14[Mode],"Transfer"))</f>
        <v>166855</v>
      </c>
      <c r="O6">
        <v>1520</v>
      </c>
    </row>
    <row r="7" spans="1:16" x14ac:dyDescent="0.3">
      <c r="A7" s="105">
        <v>45916</v>
      </c>
      <c r="B7" t="s">
        <v>9</v>
      </c>
      <c r="C7" s="11"/>
      <c r="D7" s="11">
        <v>100000</v>
      </c>
      <c r="F7" s="52" t="s">
        <v>115</v>
      </c>
      <c r="M7" s="56" t="s">
        <v>5</v>
      </c>
      <c r="N7" s="57">
        <f>SUM(N5:N6)</f>
        <v>218503</v>
      </c>
      <c r="O7" s="99">
        <f>SUM(O5,O6)</f>
        <v>1840</v>
      </c>
      <c r="P7" s="14">
        <f>Table18[[#Totals],[amount]]-Table18[[#Totals],[Actual]]</f>
        <v>216663</v>
      </c>
    </row>
    <row r="8" spans="1:16" x14ac:dyDescent="0.3">
      <c r="A8" s="105">
        <v>45916</v>
      </c>
      <c r="B8" s="104" t="s">
        <v>9</v>
      </c>
      <c r="C8" s="47"/>
      <c r="D8" s="47">
        <v>280516</v>
      </c>
      <c r="E8" s="104"/>
      <c r="F8" s="107" t="s">
        <v>114</v>
      </c>
      <c r="G8" s="104"/>
    </row>
    <row r="9" spans="1:16" x14ac:dyDescent="0.3">
      <c r="A9" s="105">
        <v>45916</v>
      </c>
      <c r="B9" t="s">
        <v>99</v>
      </c>
      <c r="C9" s="11">
        <v>280516</v>
      </c>
      <c r="D9" s="11"/>
      <c r="F9" s="52" t="s">
        <v>114</v>
      </c>
    </row>
    <row r="10" spans="1:16" x14ac:dyDescent="0.3">
      <c r="A10" s="105">
        <v>45916</v>
      </c>
      <c r="B10" t="s">
        <v>50</v>
      </c>
      <c r="C10" s="11">
        <v>200</v>
      </c>
      <c r="D10" s="11"/>
      <c r="E10" t="s">
        <v>201</v>
      </c>
      <c r="F10" s="52" t="s">
        <v>114</v>
      </c>
    </row>
    <row r="11" spans="1:16" x14ac:dyDescent="0.3">
      <c r="A11" s="105">
        <v>45916</v>
      </c>
      <c r="B11" t="s">
        <v>119</v>
      </c>
      <c r="C11" s="11"/>
      <c r="D11" s="11">
        <v>200</v>
      </c>
      <c r="F11" s="52" t="s">
        <v>114</v>
      </c>
    </row>
    <row r="12" spans="1:16" x14ac:dyDescent="0.3">
      <c r="A12" s="105">
        <v>45916</v>
      </c>
      <c r="B12" t="s">
        <v>99</v>
      </c>
      <c r="C12" s="11">
        <v>42510</v>
      </c>
      <c r="D12" s="11"/>
      <c r="E12" t="s">
        <v>202</v>
      </c>
      <c r="F12" s="52" t="s">
        <v>115</v>
      </c>
    </row>
    <row r="13" spans="1:16" x14ac:dyDescent="0.3">
      <c r="A13" s="105">
        <v>45916</v>
      </c>
      <c r="B13" t="s">
        <v>126</v>
      </c>
      <c r="C13" s="11"/>
      <c r="D13" s="11"/>
      <c r="E13" t="s">
        <v>204</v>
      </c>
      <c r="F13" s="52" t="s">
        <v>114</v>
      </c>
    </row>
    <row r="14" spans="1:16" x14ac:dyDescent="0.3">
      <c r="A14" s="105">
        <v>45916</v>
      </c>
      <c r="B14" t="s">
        <v>21</v>
      </c>
      <c r="C14" s="11"/>
      <c r="D14" s="11">
        <v>20000</v>
      </c>
      <c r="E14" t="s">
        <v>183</v>
      </c>
      <c r="F14" s="52" t="s">
        <v>114</v>
      </c>
    </row>
    <row r="15" spans="1:16" x14ac:dyDescent="0.3">
      <c r="A15" s="105">
        <v>45916</v>
      </c>
      <c r="B15" t="s">
        <v>54</v>
      </c>
      <c r="C15" s="11">
        <v>20000</v>
      </c>
      <c r="D15" s="11"/>
      <c r="E15" t="s">
        <v>183</v>
      </c>
      <c r="F15" s="52" t="s">
        <v>114</v>
      </c>
    </row>
    <row r="16" spans="1:16" x14ac:dyDescent="0.3">
      <c r="A16" s="105">
        <v>45916</v>
      </c>
      <c r="B16" t="s">
        <v>124</v>
      </c>
      <c r="C16" s="11">
        <v>3300</v>
      </c>
      <c r="D16" s="11"/>
      <c r="E16" t="s">
        <v>203</v>
      </c>
      <c r="F16" s="52" t="s">
        <v>115</v>
      </c>
    </row>
    <row r="17" spans="1:7" x14ac:dyDescent="0.3">
      <c r="A17" s="105">
        <v>45916</v>
      </c>
      <c r="B17" s="104" t="s">
        <v>119</v>
      </c>
      <c r="C17" s="47"/>
      <c r="D17" s="47">
        <v>13000</v>
      </c>
      <c r="E17" s="104"/>
      <c r="F17" s="107" t="s">
        <v>114</v>
      </c>
      <c r="G17" s="104"/>
    </row>
    <row r="18" spans="1:7" x14ac:dyDescent="0.3">
      <c r="A18" s="105">
        <v>45916</v>
      </c>
      <c r="B18" t="s">
        <v>55</v>
      </c>
      <c r="C18" s="11">
        <v>5800</v>
      </c>
      <c r="D18" s="11"/>
      <c r="F18" s="52" t="s">
        <v>114</v>
      </c>
    </row>
    <row r="19" spans="1:7" x14ac:dyDescent="0.3">
      <c r="A19" s="105">
        <v>45916</v>
      </c>
      <c r="B19" t="s">
        <v>52</v>
      </c>
      <c r="C19" s="11"/>
      <c r="D19" s="11"/>
      <c r="E19" t="s">
        <v>205</v>
      </c>
      <c r="F19" s="52" t="s">
        <v>114</v>
      </c>
    </row>
    <row r="20" spans="1:7" x14ac:dyDescent="0.3">
      <c r="A20" s="105"/>
      <c r="C20" s="11"/>
      <c r="D20" s="11"/>
      <c r="F20" s="52"/>
    </row>
    <row r="21" spans="1:7" x14ac:dyDescent="0.3">
      <c r="A21" s="105"/>
      <c r="C21" s="11"/>
      <c r="D21" s="11"/>
      <c r="F21" s="52"/>
    </row>
    <row r="22" spans="1:7" x14ac:dyDescent="0.3">
      <c r="A22" s="105"/>
      <c r="C22" s="11"/>
      <c r="D22" s="11"/>
      <c r="F22" s="52"/>
    </row>
    <row r="23" spans="1:7" x14ac:dyDescent="0.3">
      <c r="A23" s="106"/>
      <c r="B23" s="104"/>
      <c r="C23" s="47"/>
      <c r="D23" s="47"/>
      <c r="E23" s="104"/>
      <c r="F23" s="107"/>
      <c r="G23" s="104"/>
    </row>
    <row r="24" spans="1:7" x14ac:dyDescent="0.3">
      <c r="A24" s="43"/>
      <c r="C24" s="14">
        <f>SUBTOTAL(109,Table14[Debit])</f>
        <v>391126</v>
      </c>
      <c r="D24" s="14">
        <f>SUBTOTAL(109,Table14[Credit])</f>
        <v>609629</v>
      </c>
      <c r="F24" s="62">
        <f>(Table14[[#Totals],[Credit]]-Table14[[#Totals],[Debit]])</f>
        <v>218503</v>
      </c>
    </row>
    <row r="163" spans="10:12" x14ac:dyDescent="0.3">
      <c r="J163" s="3" t="s">
        <v>6</v>
      </c>
      <c r="K163" t="s">
        <v>137</v>
      </c>
      <c r="L163" t="s">
        <v>138</v>
      </c>
    </row>
    <row r="164" spans="10:12" x14ac:dyDescent="0.3">
      <c r="J164" s="4" t="s">
        <v>109</v>
      </c>
      <c r="K164" s="14"/>
      <c r="L164" s="14"/>
    </row>
    <row r="165" spans="10:12" x14ac:dyDescent="0.3">
      <c r="J165" s="4" t="s">
        <v>199</v>
      </c>
      <c r="K165" s="14">
        <v>20913</v>
      </c>
      <c r="L165" s="14"/>
    </row>
    <row r="166" spans="10:12" x14ac:dyDescent="0.3">
      <c r="J166" s="4" t="s">
        <v>28</v>
      </c>
      <c r="K166" s="14">
        <v>20913</v>
      </c>
      <c r="L166" s="14"/>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139</v>
      </c>
      <c r="C1" s="2" t="s">
        <v>140</v>
      </c>
      <c r="D1" s="8" t="s">
        <v>4</v>
      </c>
      <c r="E1" s="8" t="s">
        <v>141</v>
      </c>
      <c r="F1" s="8" t="s">
        <v>116</v>
      </c>
      <c r="G1" s="8" t="s">
        <v>97</v>
      </c>
      <c r="H1" s="8" t="s">
        <v>18</v>
      </c>
      <c r="I1" s="8" t="s">
        <v>142</v>
      </c>
    </row>
    <row r="2" spans="1:14" x14ac:dyDescent="0.3">
      <c r="A2" s="93">
        <v>45885</v>
      </c>
      <c r="B2" s="90" t="s">
        <v>64</v>
      </c>
      <c r="C2" s="90"/>
      <c r="D2" s="90"/>
      <c r="E2" s="90"/>
      <c r="F2" s="90" t="s">
        <v>125</v>
      </c>
      <c r="G2" s="90"/>
      <c r="H2" s="90">
        <v>567500</v>
      </c>
      <c r="I2" s="90" t="s">
        <v>143</v>
      </c>
      <c r="K2" t="s">
        <v>76</v>
      </c>
      <c r="L2" t="s">
        <v>45</v>
      </c>
      <c r="M2" t="s">
        <v>36</v>
      </c>
      <c r="N2" t="s">
        <v>5</v>
      </c>
    </row>
    <row r="3" spans="1:14" x14ac:dyDescent="0.3">
      <c r="A3" s="1">
        <v>45885</v>
      </c>
      <c r="B3" t="s">
        <v>121</v>
      </c>
      <c r="E3">
        <v>114250</v>
      </c>
      <c r="G3">
        <v>114250</v>
      </c>
      <c r="H3">
        <f>Table8[[#This Row],[Price]]-Table8[[#This Row],[Paid]]</f>
        <v>0</v>
      </c>
      <c r="I3" t="s">
        <v>64</v>
      </c>
      <c r="K3" s="1"/>
      <c r="L3" t="s">
        <v>144</v>
      </c>
      <c r="N3" s="11">
        <f t="shared" ref="N3" si="0">47000+28750</f>
        <v>75750</v>
      </c>
    </row>
    <row r="4" spans="1:14" x14ac:dyDescent="0.3">
      <c r="A4" s="1">
        <v>45888</v>
      </c>
      <c r="B4" t="s">
        <v>121</v>
      </c>
      <c r="F4" t="s">
        <v>125</v>
      </c>
      <c r="G4">
        <f>SUMIFS(Table14[Debit], Table14[Date], Table8[[#This Row],[Date]], Table14[Party], F2)</f>
        <v>0</v>
      </c>
      <c r="H4">
        <f>Table8[[#This Row],[Price]]-Table8[[#This Row],[Paid]]</f>
        <v>0</v>
      </c>
      <c r="K4" s="1"/>
      <c r="N4" s="11"/>
    </row>
    <row r="5" spans="1:14" x14ac:dyDescent="0.3">
      <c r="A5" s="1">
        <v>45888</v>
      </c>
      <c r="B5" t="s">
        <v>121</v>
      </c>
      <c r="E5">
        <v>46500</v>
      </c>
      <c r="G5">
        <f>SUMIFS(Table14[Debit], Table14[Date], Table8[[#This Row],[Date]], Table14[Party], Table8[[#This Row],[Chemical Name]],Table14[Description],Table8[[#This Row],[info]])</f>
        <v>0</v>
      </c>
      <c r="H5">
        <f>Table8[[#This Row],[Price]]-Table8[[#This Row],[Paid]]</f>
        <v>46500</v>
      </c>
      <c r="I5" t="s">
        <v>122</v>
      </c>
      <c r="K5" s="1"/>
      <c r="N5" s="14">
        <f>SUM(Table7[Total])</f>
        <v>75750</v>
      </c>
    </row>
    <row r="6" spans="1:14" x14ac:dyDescent="0.3">
      <c r="A6" s="1">
        <v>45888</v>
      </c>
      <c r="B6" t="s">
        <v>121</v>
      </c>
      <c r="E6">
        <v>13600</v>
      </c>
      <c r="G6">
        <f>SUMIFS(Table14[Debit], Table14[Date], Table8[[#This Row],[Date]], Table14[Party], Table8[[#This Row],[Chemical Name]],Table14[Description],Table8[[#This Row],[info]])</f>
        <v>0</v>
      </c>
      <c r="H6">
        <f>Table8[[#This Row],[Price]]-Table8[[#This Row],[Paid]]</f>
        <v>13600</v>
      </c>
      <c r="I6" t="s">
        <v>123</v>
      </c>
    </row>
    <row r="7" spans="1:14" x14ac:dyDescent="0.3">
      <c r="A7" s="1">
        <v>45889</v>
      </c>
      <c r="B7" t="s">
        <v>145</v>
      </c>
      <c r="C7">
        <v>6</v>
      </c>
      <c r="D7">
        <v>920</v>
      </c>
      <c r="E7">
        <f>Table8[[#This Row],[Boxes]]*Table8[[#This Row],[Rate]]*25</f>
        <v>138000</v>
      </c>
      <c r="F7" t="s">
        <v>125</v>
      </c>
      <c r="H7">
        <f>Table8[[#This Row],[Price]]-Table8[[#This Row],[Paid]]</f>
        <v>138000</v>
      </c>
      <c r="K7" s="3" t="s">
        <v>116</v>
      </c>
      <c r="L7" t="s">
        <v>125</v>
      </c>
    </row>
    <row r="8" spans="1:14" x14ac:dyDescent="0.3">
      <c r="A8" s="1">
        <v>45889</v>
      </c>
      <c r="B8" t="s">
        <v>146</v>
      </c>
      <c r="C8">
        <v>3</v>
      </c>
      <c r="D8">
        <v>1130</v>
      </c>
      <c r="E8">
        <f>Table8[[#This Row],[Boxes]]*Table8[[#This Row],[Rate]]*25</f>
        <v>84750</v>
      </c>
      <c r="F8" t="s">
        <v>125</v>
      </c>
      <c r="H8">
        <f>Table8[[#This Row],[Price]]-Table8[[#This Row],[Paid]]</f>
        <v>84750</v>
      </c>
    </row>
    <row r="9" spans="1:14" x14ac:dyDescent="0.3">
      <c r="A9" s="1">
        <v>45889</v>
      </c>
      <c r="B9" t="s">
        <v>147</v>
      </c>
      <c r="C9">
        <v>3</v>
      </c>
      <c r="D9">
        <v>1130</v>
      </c>
      <c r="E9">
        <f>Table8[[#This Row],[Boxes]]*Table8[[#This Row],[Rate]]*25</f>
        <v>84750</v>
      </c>
      <c r="F9" t="s">
        <v>125</v>
      </c>
      <c r="H9">
        <f>Table8[[#This Row],[Price]]-Table8[[#This Row],[Paid]]</f>
        <v>84750</v>
      </c>
      <c r="K9" s="3" t="s">
        <v>6</v>
      </c>
      <c r="L9" t="s">
        <v>148</v>
      </c>
      <c r="M9" t="s">
        <v>149</v>
      </c>
    </row>
    <row r="10" spans="1:14" x14ac:dyDescent="0.3">
      <c r="A10" s="1">
        <v>45889</v>
      </c>
      <c r="B10" t="s">
        <v>150</v>
      </c>
      <c r="C10">
        <v>3</v>
      </c>
      <c r="D10">
        <v>1340</v>
      </c>
      <c r="E10">
        <f>Table8[[#This Row],[Boxes]]*Table8[[#This Row],[Rate]]*25</f>
        <v>100500</v>
      </c>
      <c r="F10" t="s">
        <v>125</v>
      </c>
      <c r="H10">
        <f>Table8[[#This Row],[Price]]-Table8[[#This Row],[Paid]]</f>
        <v>100500</v>
      </c>
      <c r="K10" s="27">
        <v>45888</v>
      </c>
      <c r="L10" s="108"/>
      <c r="M10" s="108">
        <v>0</v>
      </c>
    </row>
    <row r="11" spans="1:14" x14ac:dyDescent="0.3">
      <c r="A11" s="1">
        <v>45889</v>
      </c>
      <c r="B11" t="s">
        <v>151</v>
      </c>
      <c r="C11">
        <v>2</v>
      </c>
      <c r="D11">
        <v>1130</v>
      </c>
      <c r="E11">
        <f>Table8[[#This Row],[Boxes]]*Table8[[#This Row],[Rate]]*25</f>
        <v>56500</v>
      </c>
      <c r="F11" t="s">
        <v>125</v>
      </c>
      <c r="H11">
        <f>Table8[[#This Row],[Price]]-Table8[[#This Row],[Paid]]</f>
        <v>56500</v>
      </c>
      <c r="K11" s="27">
        <v>45889</v>
      </c>
      <c r="L11" s="108">
        <v>659500</v>
      </c>
      <c r="M11" s="108">
        <v>659500</v>
      </c>
    </row>
    <row r="12" spans="1:14" x14ac:dyDescent="0.3">
      <c r="A12" s="1">
        <v>45889</v>
      </c>
      <c r="B12" t="s">
        <v>152</v>
      </c>
      <c r="C12">
        <v>2</v>
      </c>
      <c r="D12">
        <v>1650</v>
      </c>
      <c r="E12">
        <f>Table8[[#This Row],[Boxes]]*Table8[[#This Row],[Rate]]*25</f>
        <v>82500</v>
      </c>
      <c r="F12" t="s">
        <v>125</v>
      </c>
      <c r="H12">
        <f>Table8[[#This Row],[Price]]-Table8[[#This Row],[Paid]]</f>
        <v>82500</v>
      </c>
      <c r="K12" s="27">
        <v>45892</v>
      </c>
      <c r="L12" s="108">
        <v>154500</v>
      </c>
      <c r="M12" s="108">
        <v>154500</v>
      </c>
    </row>
    <row r="13" spans="1:14" x14ac:dyDescent="0.3">
      <c r="A13" s="1">
        <v>45889</v>
      </c>
      <c r="B13" t="s">
        <v>153</v>
      </c>
      <c r="C13">
        <v>1</v>
      </c>
      <c r="D13">
        <v>1400</v>
      </c>
      <c r="E13">
        <f>Table8[[#This Row],[Boxes]]*Table8[[#This Row],[Rate]]*25</f>
        <v>35000</v>
      </c>
      <c r="F13" t="s">
        <v>125</v>
      </c>
      <c r="H13">
        <f>Table8[[#This Row],[Price]]-Table8[[#This Row],[Paid]]</f>
        <v>35000</v>
      </c>
      <c r="K13" s="27">
        <v>45885</v>
      </c>
      <c r="L13" s="108"/>
      <c r="M13" s="108">
        <v>567500</v>
      </c>
    </row>
    <row r="14" spans="1:14" x14ac:dyDescent="0.3">
      <c r="A14" s="1">
        <v>45889</v>
      </c>
      <c r="B14" t="s">
        <v>154</v>
      </c>
      <c r="C14">
        <v>1</v>
      </c>
      <c r="D14">
        <v>1450</v>
      </c>
      <c r="E14">
        <f>Table8[[#This Row],[Boxes]]*Table8[[#This Row],[Rate]]*25</f>
        <v>36250</v>
      </c>
      <c r="F14" t="s">
        <v>125</v>
      </c>
      <c r="H14">
        <f>Table8[[#This Row],[Price]]-Table8[[#This Row],[Paid]]</f>
        <v>36250</v>
      </c>
      <c r="K14" s="27">
        <v>45910</v>
      </c>
      <c r="L14" s="108"/>
      <c r="M14" s="108">
        <v>0</v>
      </c>
    </row>
    <row r="15" spans="1:14" x14ac:dyDescent="0.3">
      <c r="A15" s="1">
        <v>45889</v>
      </c>
      <c r="B15" t="s">
        <v>155</v>
      </c>
      <c r="C15">
        <v>1</v>
      </c>
      <c r="D15">
        <v>1650</v>
      </c>
      <c r="E15">
        <f>Table8[[#This Row],[Boxes]]*Table8[[#This Row],[Rate]]*25</f>
        <v>41250</v>
      </c>
      <c r="F15" t="s">
        <v>125</v>
      </c>
      <c r="H15">
        <f>Table8[[#This Row],[Price]]-Table8[[#This Row],[Paid]]</f>
        <v>41250</v>
      </c>
      <c r="K15" s="4" t="s">
        <v>28</v>
      </c>
      <c r="L15" s="108">
        <v>814000</v>
      </c>
      <c r="M15" s="108">
        <v>1381500</v>
      </c>
    </row>
    <row r="16" spans="1:14" x14ac:dyDescent="0.3">
      <c r="A16" s="1">
        <v>45892</v>
      </c>
      <c r="B16" t="s">
        <v>133</v>
      </c>
      <c r="C16">
        <v>1</v>
      </c>
      <c r="E16">
        <v>12000</v>
      </c>
      <c r="F16" t="s">
        <v>102</v>
      </c>
      <c r="G16">
        <f>SUMIFS(Table14[Debit], Table14[Date], Table8[[#This Row],[Date]], Table14[Party], "Chemicals",Table14[Description], Table8[[#This Row],[Chemical Name]])</f>
        <v>0</v>
      </c>
      <c r="H16">
        <f>Table8[[#This Row],[Price]]-Table8[[#This Row],[Paid]]</f>
        <v>12000</v>
      </c>
    </row>
    <row r="17" spans="1:9" x14ac:dyDescent="0.3">
      <c r="A17" s="1">
        <v>45892</v>
      </c>
      <c r="B17" t="s">
        <v>173</v>
      </c>
      <c r="C17">
        <v>3</v>
      </c>
      <c r="D17">
        <v>1300</v>
      </c>
      <c r="E17">
        <f>Table8[[#This Row],[Boxes]]*Table8[[#This Row],[Rate]]*25</f>
        <v>97500</v>
      </c>
      <c r="F17" t="s">
        <v>125</v>
      </c>
      <c r="H17">
        <f>Table8[[#This Row],[Price]]-Table8[[#This Row],[Paid]]</f>
        <v>97500</v>
      </c>
    </row>
    <row r="18" spans="1:9" x14ac:dyDescent="0.3">
      <c r="A18" s="1">
        <v>45892</v>
      </c>
      <c r="B18" t="s">
        <v>174</v>
      </c>
      <c r="C18">
        <v>2</v>
      </c>
      <c r="D18">
        <v>1140</v>
      </c>
      <c r="E18">
        <f>Table8[[#This Row],[Boxes]]*Table8[[#This Row],[Rate]]*25</f>
        <v>57000</v>
      </c>
      <c r="F18" t="s">
        <v>125</v>
      </c>
      <c r="H18">
        <f>Table8[[#This Row],[Price]]-Table8[[#This Row],[Paid]]</f>
        <v>57000</v>
      </c>
    </row>
    <row r="19" spans="1:9" x14ac:dyDescent="0.3">
      <c r="A19" s="1">
        <v>45910</v>
      </c>
      <c r="B19" t="s">
        <v>64</v>
      </c>
      <c r="F19" t="s">
        <v>125</v>
      </c>
      <c r="G19">
        <f>SUMIFS(Table14[Debit], Table14[Date], Table8[[#This Row],[Date]], Table14[Party], Table8[[#This Row],[Party]])</f>
        <v>0</v>
      </c>
      <c r="H19">
        <f>Table8[[#This Row],[Price]]-Table8[[#This Row],[Paid]]</f>
        <v>0</v>
      </c>
    </row>
    <row r="20" spans="1:9" x14ac:dyDescent="0.3">
      <c r="A20" s="1">
        <v>45910</v>
      </c>
      <c r="B20" t="s">
        <v>147</v>
      </c>
      <c r="C20">
        <v>1</v>
      </c>
      <c r="E20">
        <v>28500</v>
      </c>
      <c r="F20" t="s">
        <v>102</v>
      </c>
      <c r="G20">
        <v>28500</v>
      </c>
      <c r="H20">
        <f>Table8[[#This Row],[Price]]-Table8[[#This Row],[Paid]]</f>
        <v>0</v>
      </c>
    </row>
    <row r="21" spans="1:9" x14ac:dyDescent="0.3">
      <c r="A21" s="1">
        <v>45910</v>
      </c>
      <c r="B21" t="s">
        <v>146</v>
      </c>
      <c r="C21">
        <v>1</v>
      </c>
      <c r="E21">
        <v>28500</v>
      </c>
      <c r="G21">
        <v>28500</v>
      </c>
      <c r="H21">
        <f>Table8[[#This Row],[Price]]-Table8[[#This Row],[Paid]]</f>
        <v>0</v>
      </c>
    </row>
    <row r="22" spans="1:9" x14ac:dyDescent="0.3">
      <c r="A22" s="1">
        <v>45913</v>
      </c>
      <c r="B22" t="s">
        <v>64</v>
      </c>
      <c r="E22">
        <v>32800</v>
      </c>
      <c r="G22">
        <v>32800</v>
      </c>
      <c r="H22">
        <f>Table8[[#This Row],[Price]]-Table8[[#This Row],[Paid]]</f>
        <v>0</v>
      </c>
      <c r="I22" t="s">
        <v>194</v>
      </c>
    </row>
    <row r="23" spans="1:9" x14ac:dyDescent="0.3">
      <c r="A23" s="1">
        <v>45913</v>
      </c>
      <c r="B23" t="s">
        <v>147</v>
      </c>
      <c r="C23">
        <v>2</v>
      </c>
      <c r="D23">
        <v>1140</v>
      </c>
      <c r="E23">
        <f>Table8[[#This Row],[Boxes]]*Table8[[#This Row],[Rate]]*25</f>
        <v>57000</v>
      </c>
      <c r="H23">
        <f>Table8[[#This Row],[Price]]-Table8[[#This Row],[Paid]]</f>
        <v>57000</v>
      </c>
    </row>
    <row r="24" spans="1:9" x14ac:dyDescent="0.3">
      <c r="A24" s="1">
        <v>45913</v>
      </c>
      <c r="B24" t="s">
        <v>174</v>
      </c>
      <c r="C24">
        <v>2</v>
      </c>
      <c r="D24">
        <v>1140</v>
      </c>
      <c r="E24">
        <f>Table8[[#This Row],[Boxes]]*Table8[[#This Row],[Rate]]*25</f>
        <v>57000</v>
      </c>
      <c r="H24">
        <f>Table8[[#This Row],[Price]]-Table8[[#This Row],[Paid]]</f>
        <v>57000</v>
      </c>
    </row>
    <row r="25" spans="1:9" x14ac:dyDescent="0.3">
      <c r="A25" s="1">
        <v>45913</v>
      </c>
      <c r="B25" t="s">
        <v>173</v>
      </c>
      <c r="C25">
        <v>2</v>
      </c>
      <c r="D25">
        <v>1300</v>
      </c>
      <c r="E25">
        <f>Table8[[#This Row],[Boxes]]*Table8[[#This Row],[Rate]]*25</f>
        <v>65000</v>
      </c>
      <c r="H25">
        <f>Table8[[#This Row],[Price]]-Table8[[#This Row],[Paid]]</f>
        <v>65000</v>
      </c>
    </row>
    <row r="26" spans="1:9" x14ac:dyDescent="0.3">
      <c r="A26" s="1">
        <v>45913</v>
      </c>
      <c r="B26" t="s">
        <v>145</v>
      </c>
      <c r="C26">
        <v>2</v>
      </c>
      <c r="D26">
        <v>920</v>
      </c>
      <c r="E26">
        <f>Table8[[#This Row],[Boxes]]*Table8[[#This Row],[Rate]]*25</f>
        <v>46000</v>
      </c>
      <c r="H26">
        <f>Table8[[#This Row],[Price]]-Table8[[#This Row],[Paid]]</f>
        <v>46000</v>
      </c>
    </row>
    <row r="27" spans="1:9" x14ac:dyDescent="0.3">
      <c r="A27" s="1">
        <v>45913</v>
      </c>
      <c r="B27" t="s">
        <v>146</v>
      </c>
      <c r="C27">
        <v>2</v>
      </c>
      <c r="D27">
        <v>1130</v>
      </c>
      <c r="E27">
        <f>Table8[[#This Row],[Boxes]]*Table8[[#This Row],[Rate]]*25</f>
        <v>56500</v>
      </c>
      <c r="H27">
        <f>Table8[[#This Row],[Price]]-Table8[[#This Row],[Paid]]</f>
        <v>56500</v>
      </c>
    </row>
    <row r="28" spans="1:9" x14ac:dyDescent="0.3">
      <c r="A28" s="1">
        <v>45913</v>
      </c>
      <c r="B28" t="s">
        <v>195</v>
      </c>
      <c r="C28">
        <v>1</v>
      </c>
      <c r="D28">
        <v>3100</v>
      </c>
      <c r="E28">
        <f>Table8[[#This Row],[Boxes]]*Table8[[#This Row],[Rate]]*25</f>
        <v>77500</v>
      </c>
      <c r="H28">
        <f>Table8[[#This Row],[Price]]-Table8[[#This Row],[Paid]]</f>
        <v>77500</v>
      </c>
    </row>
    <row r="29" spans="1:9" x14ac:dyDescent="0.3">
      <c r="A29" s="1">
        <v>45913</v>
      </c>
      <c r="B29" t="s">
        <v>153</v>
      </c>
      <c r="C29">
        <v>1</v>
      </c>
      <c r="D29">
        <v>1400</v>
      </c>
      <c r="E29">
        <f>Table8[[#This Row],[Boxes]]*Table8[[#This Row],[Rate]]*25</f>
        <v>35000</v>
      </c>
      <c r="H29">
        <f>Table8[[#This Row],[Price]]-Table8[[#This Row],[Paid]]</f>
        <v>35000</v>
      </c>
    </row>
    <row r="30" spans="1:9" x14ac:dyDescent="0.3">
      <c r="E30">
        <f>SUBTOTAL(109,Table8[Price])</f>
        <v>1484150</v>
      </c>
      <c r="H30">
        <f>SUBTOTAL(109,Table8[Balance])</f>
        <v>1847600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C15" sqref="C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156</v>
      </c>
      <c r="D4" s="2" t="s">
        <v>140</v>
      </c>
      <c r="E4" s="8" t="s">
        <v>157</v>
      </c>
      <c r="F4" s="8" t="s">
        <v>141</v>
      </c>
      <c r="G4" s="8" t="s">
        <v>97</v>
      </c>
      <c r="H4" s="8" t="s">
        <v>18</v>
      </c>
      <c r="J4" s="3" t="s">
        <v>6</v>
      </c>
      <c r="K4" t="s">
        <v>148</v>
      </c>
      <c r="L4" t="s">
        <v>107</v>
      </c>
      <c r="M4" t="s">
        <v>149</v>
      </c>
    </row>
    <row r="5" spans="1:13" x14ac:dyDescent="0.3">
      <c r="A5" s="93">
        <v>45885</v>
      </c>
      <c r="B5" s="93" t="s">
        <v>127</v>
      </c>
      <c r="C5" s="90" t="s">
        <v>86</v>
      </c>
      <c r="D5" s="90"/>
      <c r="E5" s="90"/>
      <c r="F5" s="90"/>
      <c r="G5" s="90">
        <f>SUMIFS(Table14[Debit], Table14[Date], Table2[[#This Row],[Date]], Table14[Party], Table2[[#This Row],[Party Name]])</f>
        <v>0</v>
      </c>
      <c r="H5" s="90">
        <v>95000</v>
      </c>
      <c r="J5" s="4" t="s">
        <v>127</v>
      </c>
      <c r="K5" s="108">
        <v>25000</v>
      </c>
      <c r="L5" s="108">
        <v>0</v>
      </c>
      <c r="M5" s="108">
        <v>120000</v>
      </c>
    </row>
    <row r="6" spans="1:13" x14ac:dyDescent="0.3">
      <c r="A6" s="1">
        <v>45885</v>
      </c>
      <c r="B6" s="1" t="s">
        <v>102</v>
      </c>
      <c r="C6" t="s">
        <v>61</v>
      </c>
      <c r="D6">
        <v>10</v>
      </c>
      <c r="F6">
        <v>69950</v>
      </c>
      <c r="G6">
        <v>69950</v>
      </c>
      <c r="H6">
        <f>Table2[[#This Row],[Price]]-Table2[[#This Row],[Paid]]</f>
        <v>0</v>
      </c>
      <c r="J6" s="4" t="s">
        <v>102</v>
      </c>
      <c r="K6" s="108">
        <v>123050</v>
      </c>
      <c r="L6" s="108">
        <v>69950</v>
      </c>
      <c r="M6" s="108">
        <v>53100</v>
      </c>
    </row>
    <row r="7" spans="1:13" x14ac:dyDescent="0.3">
      <c r="A7" s="1">
        <v>45889</v>
      </c>
      <c r="B7" s="1" t="s">
        <v>127</v>
      </c>
      <c r="G7">
        <f>SUMIFS(Table14[Debit], Table14[Date], Table2[[#This Row],[Date]], Table14[Party], Table2[[#This Row],[Party Name]])</f>
        <v>0</v>
      </c>
      <c r="H7">
        <f>Table2[[#This Row],[Price]]-Table2[[#This Row],[Paid]]</f>
        <v>0</v>
      </c>
      <c r="J7" s="4" t="s">
        <v>130</v>
      </c>
      <c r="K7" s="108">
        <v>735350</v>
      </c>
      <c r="L7" s="108">
        <v>0</v>
      </c>
      <c r="M7" s="108">
        <v>735350</v>
      </c>
    </row>
    <row r="8" spans="1:13" x14ac:dyDescent="0.3">
      <c r="A8" s="1">
        <v>45892</v>
      </c>
      <c r="B8" s="1" t="s">
        <v>102</v>
      </c>
      <c r="C8" t="s">
        <v>131</v>
      </c>
      <c r="D8">
        <v>3</v>
      </c>
      <c r="F8">
        <v>43500</v>
      </c>
      <c r="G8">
        <f>SUMIFS(Table14[Debit], Table14[Date], Table2[[#This Row],[Date]], Table14[Party], "Finish",Table14[Description],Table2[[#This Row],[Item]])</f>
        <v>0</v>
      </c>
      <c r="H8">
        <f>Table2[[#This Row],[Price]]-Table2[[#This Row],[Paid]]</f>
        <v>43500</v>
      </c>
      <c r="J8" s="4" t="s">
        <v>28</v>
      </c>
      <c r="K8" s="108">
        <v>883400</v>
      </c>
      <c r="L8" s="108">
        <v>69950</v>
      </c>
      <c r="M8" s="108">
        <v>908450</v>
      </c>
    </row>
    <row r="9" spans="1:13" x14ac:dyDescent="0.3">
      <c r="A9" s="1">
        <v>45892</v>
      </c>
      <c r="B9" s="1" t="s">
        <v>102</v>
      </c>
      <c r="C9" t="s">
        <v>132</v>
      </c>
      <c r="F9">
        <v>9600</v>
      </c>
      <c r="G9">
        <f>SUMIFS(Table14[Debit], Table14[Date], Table2[[#This Row],[Date]], Table14[Party], "Finish",Table14[Description],Table2[[#This Row],[Item]])</f>
        <v>0</v>
      </c>
      <c r="H9">
        <f>Table2[[#This Row],[Price]]-Table2[[#This Row],[Paid]]</f>
        <v>9600</v>
      </c>
    </row>
    <row r="10" spans="1:13" x14ac:dyDescent="0.3">
      <c r="A10" s="1">
        <v>45896</v>
      </c>
      <c r="B10" s="1" t="s">
        <v>130</v>
      </c>
      <c r="C10" t="s">
        <v>61</v>
      </c>
      <c r="F10">
        <v>303750</v>
      </c>
      <c r="G10">
        <f>SUMIFS(Table14[Debit], Table14[Date], Table2[[#This Row],[Date]], Table14[Party], "Finish",Table14[Description],Table2[[#This Row],[Item]])</f>
        <v>0</v>
      </c>
      <c r="H10">
        <f>Table2[[#This Row],[Price]]-Table2[[#This Row],[Paid]]</f>
        <v>303750</v>
      </c>
    </row>
    <row r="11" spans="1:13" x14ac:dyDescent="0.3">
      <c r="A11" s="1">
        <v>45901</v>
      </c>
      <c r="B11" s="1" t="s">
        <v>130</v>
      </c>
      <c r="C11" t="s">
        <v>131</v>
      </c>
      <c r="D11">
        <v>3</v>
      </c>
      <c r="F11">
        <v>51600</v>
      </c>
      <c r="G11">
        <f>SUMIFS(Table14[Debit], Table14[Date], Table2[[#This Row],[Date]], Table14[Party], Table2[[#This Row],[Party Name]])</f>
        <v>0</v>
      </c>
      <c r="H11">
        <f>Table2[[#This Row],[Price]]-Table2[[#This Row],[Paid]]</f>
        <v>51600</v>
      </c>
    </row>
    <row r="12" spans="1:13" x14ac:dyDescent="0.3">
      <c r="A12" s="1">
        <v>45909</v>
      </c>
      <c r="B12" s="1" t="s">
        <v>130</v>
      </c>
      <c r="C12" t="s">
        <v>61</v>
      </c>
      <c r="D12">
        <v>10</v>
      </c>
      <c r="F12">
        <v>69500</v>
      </c>
      <c r="G12">
        <f>SUMIFS(Table14[Debit], Table14[Date], Table2[[#This Row],[Date]], Table14[Party], Table2[[#This Row],[Party Name]])</f>
        <v>0</v>
      </c>
      <c r="H12">
        <f>Table2[[#This Row],[Price]]-Table2[[#This Row],[Paid]]</f>
        <v>69500</v>
      </c>
    </row>
    <row r="13" spans="1:13" x14ac:dyDescent="0.3">
      <c r="A13" s="1"/>
      <c r="B13" s="1" t="s">
        <v>127</v>
      </c>
      <c r="C13" t="s">
        <v>128</v>
      </c>
      <c r="F13">
        <f>200*125</f>
        <v>25000</v>
      </c>
      <c r="G13">
        <f>SUMIFS(Table14[Debit], Table14[Date], Table2[[#This Row],[Date]], Table14[Party], Table2[[#This Row],[Party Name]])</f>
        <v>0</v>
      </c>
      <c r="H13">
        <f>Table2[[#This Row],[Price]]-Table2[[#This Row],[Paid]]</f>
        <v>25000</v>
      </c>
    </row>
    <row r="14" spans="1:13" x14ac:dyDescent="0.3">
      <c r="A14" s="1">
        <v>45913</v>
      </c>
      <c r="B14" s="1" t="s">
        <v>130</v>
      </c>
      <c r="C14" t="s">
        <v>61</v>
      </c>
      <c r="D14">
        <v>45</v>
      </c>
      <c r="F14">
        <v>310500</v>
      </c>
      <c r="G14">
        <f>SUMIFS(Table14[Debit], Table14[Date], Table2[[#This Row],[Date]], Table14[Party], Table2[[#This Row],[Party Name]])</f>
        <v>0</v>
      </c>
      <c r="H14">
        <f>Table2[[#This Row],[Price]]-Table2[[#This Row],[Paid]]</f>
        <v>310500</v>
      </c>
    </row>
    <row r="15" spans="1:13" x14ac:dyDescent="0.3">
      <c r="A15" s="1">
        <v>45915</v>
      </c>
      <c r="B15" s="1" t="s">
        <v>127</v>
      </c>
      <c r="G15">
        <f>SUMIFS(Table14[Debit], Table14[Date], Table2[[#This Row],[Date]], Table14[Party], Table2[[#This Row],[Party Name]])</f>
        <v>0</v>
      </c>
      <c r="H15">
        <f>Table2[[#This Row],[Price]]-Table2[[#This Row],[Paid]]</f>
        <v>0</v>
      </c>
    </row>
    <row r="16" spans="1:13" x14ac:dyDescent="0.3">
      <c r="A16" s="1"/>
      <c r="F16">
        <f>SUBTOTAL(109,Table2[Price])</f>
        <v>883400</v>
      </c>
      <c r="G16">
        <f>SUBTOTAL(109,Table2[Paid])</f>
        <v>69950</v>
      </c>
      <c r="H16">
        <f>SUBTOTAL(109,Table2[Balance])</f>
        <v>908450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158</v>
      </c>
      <c r="D2" t="s">
        <v>159</v>
      </c>
      <c r="E2" t="s">
        <v>5</v>
      </c>
    </row>
    <row r="3" spans="2:5" x14ac:dyDescent="0.3">
      <c r="B3" s="19" t="s">
        <v>160</v>
      </c>
      <c r="C3" s="19" t="s">
        <v>102</v>
      </c>
      <c r="D3" s="19" t="s">
        <v>102</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161</v>
      </c>
      <c r="J2" t="s">
        <v>162</v>
      </c>
    </row>
    <row r="3" spans="2:10" x14ac:dyDescent="0.3">
      <c r="B3" s="1">
        <v>45893</v>
      </c>
      <c r="C3" s="20">
        <f>SUMIFS(Table14[Debit], Table14[Date], Table11[[#This Row],[Date]], Table14[Party],"Salary ", Table14[Description],Table11[[#This Row],[Column1]])</f>
        <v>0</v>
      </c>
      <c r="H3" s="1">
        <v>45886</v>
      </c>
      <c r="I3">
        <v>4000</v>
      </c>
      <c r="J3" t="s">
        <v>134</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0</v>
      </c>
      <c r="D5" t="s">
        <v>170</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0</v>
      </c>
      <c r="D6" t="s">
        <v>136</v>
      </c>
      <c r="H6" s="1">
        <v>45889</v>
      </c>
      <c r="I6">
        <f>SUMIFS(Table14[Debit], Table14[Date], Table16[[#This Row],[Date]], Table14[Party], "Advance Salary", Table14[Description], Table16[[#This Row],[Person]] )</f>
        <v>0</v>
      </c>
      <c r="J6" t="s">
        <v>172</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0</v>
      </c>
      <c r="J7" t="s">
        <v>129</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0</v>
      </c>
      <c r="J8" t="s">
        <v>134</v>
      </c>
    </row>
    <row r="9" spans="2:10" x14ac:dyDescent="0.3">
      <c r="B9" s="1">
        <v>45899</v>
      </c>
      <c r="C9" s="20">
        <f>SUMIFS(Table14[Debit], Table14[Date], Table11[[#This Row],[Date]], Table14[Party],"Salary ", Table14[Description],Table11[[#This Row],[Column1]])</f>
        <v>0</v>
      </c>
      <c r="D9" t="s">
        <v>177</v>
      </c>
      <c r="H9" s="1"/>
    </row>
    <row r="10" spans="2:10" x14ac:dyDescent="0.3">
      <c r="B10" s="1">
        <v>45900</v>
      </c>
      <c r="C10" s="20">
        <f>SUMIFS(Table14[Debit], Table14[Date], Table11[[#This Row],[Date]], Table14[Party],"Salary ", Table14[Description],Table11[[#This Row],[Column1]])</f>
        <v>0</v>
      </c>
      <c r="D10" t="s">
        <v>119</v>
      </c>
      <c r="H10" s="1">
        <v>45892</v>
      </c>
      <c r="I10">
        <f>SUMIFS(Table14[Debit], Table14[Date], Table16[[#This Row],[Date]], Table14[Party], "Advance Salary", Table14[Description], Table16[[#This Row],[Person]] )</f>
        <v>0</v>
      </c>
      <c r="J10" t="s">
        <v>135</v>
      </c>
    </row>
    <row r="11" spans="2:10" x14ac:dyDescent="0.3">
      <c r="B11" s="1">
        <v>45901</v>
      </c>
      <c r="C11" s="20">
        <f>SUMIFS(Table14[Debit], Table14[Date], Table11[[#This Row],[Date]], Table14[Party],"Salary ", Table14[Description],Table11[[#This Row],[Column1]])</f>
        <v>0</v>
      </c>
      <c r="D11" t="s">
        <v>178</v>
      </c>
      <c r="E11" t="s">
        <v>179</v>
      </c>
      <c r="H11" s="1">
        <v>45893</v>
      </c>
      <c r="I11">
        <f>SUMIFS(Table14[Debit], Table14[Date], Table16[[#This Row],[Date]], Table14[Party], "Advance Salary", Table14[Description], Table16[[#This Row],[Person]] )</f>
        <v>0</v>
      </c>
      <c r="J11" t="s">
        <v>136</v>
      </c>
    </row>
    <row r="12" spans="2:10" x14ac:dyDescent="0.3">
      <c r="B12" s="1">
        <v>45902</v>
      </c>
      <c r="C12" s="20">
        <f>SUMIFS(Table14[Debit], Table14[Date], Table11[[#This Row],[Date]], Table14[Party],"Salary ", Table14[Description],Table11[[#This Row],[Column1]])</f>
        <v>0</v>
      </c>
      <c r="D12" t="s">
        <v>135</v>
      </c>
      <c r="E12" t="s">
        <v>182</v>
      </c>
      <c r="H12" s="1">
        <v>45895</v>
      </c>
      <c r="I12">
        <f>SUMIFS(Table14[Debit], Table14[Date], Table16[[#This Row],[Date]], Table14[Party], "Advance Salary", Table14[Description], Table16[[#This Row],[Person]] )</f>
        <v>0</v>
      </c>
      <c r="J12" t="s">
        <v>134</v>
      </c>
    </row>
    <row r="13" spans="2:10" x14ac:dyDescent="0.3">
      <c r="B13" s="1">
        <v>45902</v>
      </c>
      <c r="C13" s="20">
        <f>SUMIFS(Table14[Debit], Table14[Date], Table11[[#This Row],[Date]], Table14[Party],"Salary ", Table14[Description],Table11[[#This Row],[Column1]])</f>
        <v>0</v>
      </c>
      <c r="D13" t="s">
        <v>181</v>
      </c>
      <c r="H13" s="1"/>
    </row>
    <row r="14" spans="2:10" x14ac:dyDescent="0.3">
      <c r="B14" s="1">
        <v>45910</v>
      </c>
      <c r="C14" s="20">
        <f>SUMIFS(Table14[Debit], Table14[Date], Table11[[#This Row],[Date]], Table14[Party],"Salary ", Table14[Description],Table11[[#This Row],[Column1]])</f>
        <v>0</v>
      </c>
      <c r="D14" t="s">
        <v>191</v>
      </c>
      <c r="H14" s="1">
        <v>45895</v>
      </c>
      <c r="I14">
        <f>SUMIFS(Table14[Debit], Table14[Date], Table16[[#This Row],[Date]], Table14[Party], "Advance Salary", Table14[Description], Table16[[#This Row],[Person]] )</f>
        <v>0</v>
      </c>
      <c r="J14" t="s">
        <v>171</v>
      </c>
    </row>
    <row r="15" spans="2:10" x14ac:dyDescent="0.3">
      <c r="B15" s="1">
        <v>45910</v>
      </c>
      <c r="C15" s="20">
        <f>SUMIFS(Table14[Debit], Table14[Date], Table11[[#This Row],[Date]], Table14[Party],"Salary ", Table14[Description],Table11[[#This Row],[Column1]])</f>
        <v>0</v>
      </c>
      <c r="D15" t="s">
        <v>190</v>
      </c>
      <c r="H15" s="1">
        <v>45895</v>
      </c>
      <c r="I15">
        <f>SUMIFS(Table14[Debit], Table14[Date], Table16[[#This Row],[Date]], Table14[Party], "Advance Salary", Table14[Description], Table16[[#This Row],[Person]] )</f>
        <v>0</v>
      </c>
      <c r="J15" t="s">
        <v>172</v>
      </c>
    </row>
    <row r="16" spans="2:10" x14ac:dyDescent="0.3">
      <c r="B16" s="1">
        <v>45911</v>
      </c>
      <c r="C16" s="20">
        <f>SUMIFS(Table14[Debit], Table14[Date], Table11[[#This Row],[Date]], Table14[Party],"Salary ", Table14[Description],Table11[[#This Row],[Column1]])</f>
        <v>0</v>
      </c>
      <c r="D16" t="s">
        <v>52</v>
      </c>
      <c r="H16" s="1">
        <v>45896</v>
      </c>
      <c r="I16">
        <f>SUMIFS(Table14[Debit], Table14[Date], Table16[[#This Row],[Date]], Table14[Party], "Advance Salary", Table14[Description], Table16[[#This Row],[Person]] )</f>
        <v>0</v>
      </c>
      <c r="J16" t="s">
        <v>175</v>
      </c>
    </row>
    <row r="17" spans="2:10" x14ac:dyDescent="0.3">
      <c r="B17" s="1">
        <v>45911</v>
      </c>
      <c r="C17" s="20">
        <f>SUMIFS(Table14[Debit], Table14[Date], Table11[[#This Row],[Date]], Table14[Party],"Salary ", Table14[Description],Table11[[#This Row],[Column1]])</f>
        <v>0</v>
      </c>
      <c r="D17" t="s">
        <v>136</v>
      </c>
      <c r="H17" s="1">
        <v>45897</v>
      </c>
      <c r="I17">
        <f>SUMIFS(Table14[Debit], Table14[Date], Table16[[#This Row],[Date]], Table14[Party], "Advance Salary", Table14[Description], Table16[[#This Row],[Person]] )</f>
        <v>0</v>
      </c>
      <c r="J17" t="s">
        <v>134</v>
      </c>
    </row>
    <row r="18" spans="2:10" x14ac:dyDescent="0.3">
      <c r="B18" s="1">
        <v>45911</v>
      </c>
      <c r="C18" s="20">
        <f>SUMIFS(Table14[Debit], Table14[Date], Table11[[#This Row],[Date]], Table14[Party],"Salary ", Table14[Description],Table11[[#This Row],[Column1]])</f>
        <v>0</v>
      </c>
      <c r="D18" t="s">
        <v>134</v>
      </c>
      <c r="H18" s="1"/>
    </row>
    <row r="19" spans="2:10" x14ac:dyDescent="0.3">
      <c r="B19" s="1">
        <v>45912</v>
      </c>
      <c r="C19" s="20">
        <f>SUMIFS(Table14[Debit], Table14[Date], Table11[[#This Row],[Date]], Table14[Party],"Salary ", Table14[Description],Table11[[#This Row],[Column1]])</f>
        <v>0</v>
      </c>
      <c r="D19" t="s">
        <v>134</v>
      </c>
      <c r="H19" s="1">
        <v>45899</v>
      </c>
      <c r="I19">
        <f>SUMIFS(Table14[Debit], Table14[Date], Table16[[#This Row],[Date]], Table14[Party], "Advance Salary", Table14[Description], Table16[[#This Row],[Person]] )</f>
        <v>0</v>
      </c>
      <c r="J19" t="s">
        <v>176</v>
      </c>
    </row>
    <row r="20" spans="2:10" x14ac:dyDescent="0.3">
      <c r="B20" s="1">
        <v>45912</v>
      </c>
      <c r="C20" s="20">
        <f>SUMIFS(Table14[Debit], Table14[Date], Table11[[#This Row],[Date]], Table14[Party],"Salary ", Table14[Description],Table11[[#This Row],[Column1]])</f>
        <v>0</v>
      </c>
      <c r="D20" t="s">
        <v>193</v>
      </c>
      <c r="H20" s="1">
        <v>45900</v>
      </c>
      <c r="I20">
        <f>SUMIFS(Table14[Debit], Table14[Date], Table16[[#This Row],[Date]], Table14[Party], "Advance Salary", Table14[Description], Table16[[#This Row],[Person]] )</f>
        <v>0</v>
      </c>
      <c r="J20" t="s">
        <v>135</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0</v>
      </c>
      <c r="J21" t="s">
        <v>136</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0</v>
      </c>
      <c r="J22" t="s">
        <v>184</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0</v>
      </c>
      <c r="J23" t="s">
        <v>185</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c r="J24" t="s">
        <v>171</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c r="J25" t="s">
        <v>187</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0</v>
      </c>
      <c r="J26" t="s">
        <v>135</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4000</v>
      </c>
    </row>
    <row r="36" spans="2:9" x14ac:dyDescent="0.3">
      <c r="B36" s="1">
        <v>45917</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90</v>
      </c>
      <c r="C1" s="14"/>
    </row>
    <row r="2" spans="1:12" x14ac:dyDescent="0.3">
      <c r="A2" s="36" t="s">
        <v>28</v>
      </c>
      <c r="B2" s="38">
        <f ca="1">SUM(B4:INDEX(B:B, MATCH(1E+100, B:B)-1))</f>
        <v>1402057</v>
      </c>
      <c r="C2" s="37">
        <f>GETPIVOTDATA("Sum of Tiyaar/gaz",$A$3)</f>
        <v>0</v>
      </c>
      <c r="D2" s="36">
        <f ca="1">((B2*48)+((C2/1.0936)*10))/C2</f>
        <v>57.418077191961707</v>
      </c>
      <c r="J2">
        <v>48</v>
      </c>
    </row>
    <row r="3" spans="1:12" x14ac:dyDescent="0.3">
      <c r="A3" s="39" t="s">
        <v>163</v>
      </c>
      <c r="B3" s="40" t="s">
        <v>164</v>
      </c>
      <c r="C3" s="41" t="s">
        <v>91</v>
      </c>
      <c r="D3" s="37" t="s">
        <v>165</v>
      </c>
      <c r="E3" s="11" t="s">
        <v>166</v>
      </c>
      <c r="F3" s="11" t="str">
        <f t="shared" ref="F3:F38" si="0">C3</f>
        <v>Sum of Tiyaar/gaz</v>
      </c>
      <c r="G3" s="85" t="s">
        <v>83</v>
      </c>
      <c r="H3" s="11" t="s">
        <v>167</v>
      </c>
      <c r="I3" s="34" t="s">
        <v>168</v>
      </c>
    </row>
    <row r="4" spans="1:12" x14ac:dyDescent="0.3">
      <c r="A4" s="16" t="s">
        <v>109</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45886</v>
      </c>
      <c r="C3" t="s">
        <v>120</v>
      </c>
      <c r="D3">
        <f>SUMIFS(Table14[Debit], Table14[Date], Table5[[#This Row],[Date]], Table14[Party], "Rashan")</f>
        <v>0</v>
      </c>
      <c r="H3" s="1">
        <v>45886</v>
      </c>
      <c r="I3" t="s">
        <v>169</v>
      </c>
      <c r="J3">
        <v>80000</v>
      </c>
    </row>
    <row r="4" spans="2:10" x14ac:dyDescent="0.3">
      <c r="B4" s="1">
        <v>45887</v>
      </c>
      <c r="C4" t="s">
        <v>120</v>
      </c>
      <c r="D4">
        <f>SUMIFS(Table14[Debit], Table14[Date], Table5[[#This Row],[Date]], Table14[Party], "Rashan")</f>
        <v>0</v>
      </c>
      <c r="H4" s="1">
        <v>45887</v>
      </c>
      <c r="I4" t="s">
        <v>55</v>
      </c>
      <c r="J4">
        <f>SUMIFS(Table14[Debit], Table14[Date], Table15[[#This Row],[Date]], Table14[Party], "Parts")</f>
        <v>0</v>
      </c>
    </row>
    <row r="5" spans="2:10" x14ac:dyDescent="0.3">
      <c r="B5" s="1">
        <v>45888</v>
      </c>
      <c r="C5" t="s">
        <v>120</v>
      </c>
      <c r="D5">
        <f>SUMIFS(Table14[Debit], Table14[Date], Table5[[#This Row],[Date]], Table14[Party], "Rashan")</f>
        <v>0</v>
      </c>
      <c r="H5" s="1">
        <v>45888</v>
      </c>
      <c r="I5" t="s">
        <v>55</v>
      </c>
      <c r="J5">
        <f>SUMIFS(Table14[Debit], Table14[Date], Table15[[#This Row],[Date]], Table14[Party], "Parts")</f>
        <v>0</v>
      </c>
    </row>
    <row r="6" spans="2:10" x14ac:dyDescent="0.3">
      <c r="B6" s="1">
        <v>45889</v>
      </c>
      <c r="C6" t="s">
        <v>120</v>
      </c>
      <c r="D6">
        <f>SUMIFS(Table14[Debit], Table14[Date], Table5[[#This Row],[Date]], Table14[Party], "Rashan")</f>
        <v>0</v>
      </c>
      <c r="H6" s="1">
        <v>45889</v>
      </c>
      <c r="I6" t="s">
        <v>55</v>
      </c>
      <c r="J6">
        <f>SUMIFS(Table14[Debit], Table14[Date], Table15[[#This Row],[Date]], Table14[Party], "Parts")</f>
        <v>0</v>
      </c>
    </row>
    <row r="7" spans="2:10" x14ac:dyDescent="0.3">
      <c r="B7" s="1">
        <v>45890</v>
      </c>
      <c r="C7" t="s">
        <v>120</v>
      </c>
      <c r="D7">
        <f>SUMIFS(Table14[Debit], Table14[Date], Table5[[#This Row],[Date]], Table14[Party], "Rashan")</f>
        <v>0</v>
      </c>
      <c r="H7" s="1">
        <v>45890</v>
      </c>
      <c r="I7" t="s">
        <v>55</v>
      </c>
      <c r="J7">
        <f>SUMIFS(Table14[Debit], Table14[Date], Table15[[#This Row],[Date]], Table14[Party], "Parts")</f>
        <v>0</v>
      </c>
    </row>
    <row r="8" spans="2:10" x14ac:dyDescent="0.3">
      <c r="B8" s="1">
        <v>45891</v>
      </c>
      <c r="C8" t="s">
        <v>120</v>
      </c>
      <c r="D8">
        <f>SUMIFS(Table14[Debit], Table14[Date], Table5[[#This Row],[Date]], Table14[Party], "Rashan")</f>
        <v>0</v>
      </c>
      <c r="H8" s="1">
        <v>45891</v>
      </c>
      <c r="J8">
        <f>SUMIFS(Table14[Debit], Table14[Date], Table15[[#This Row],[Date]], Table14[Party], "Parts")</f>
        <v>0</v>
      </c>
    </row>
    <row r="9" spans="2:10" x14ac:dyDescent="0.3">
      <c r="B9" s="1">
        <v>45892</v>
      </c>
      <c r="C9" t="s">
        <v>120</v>
      </c>
      <c r="D9">
        <f>SUMIFS(Table14[Debit], Table14[Date], Table5[[#This Row],[Date]], Table14[Party], "Rashan")</f>
        <v>0</v>
      </c>
      <c r="H9" s="1">
        <v>45892</v>
      </c>
      <c r="J9">
        <f>SUMIFS(Table14[Debit], Table14[Date], Table15[[#This Row],[Date]], Table14[Party], "Parts")</f>
        <v>0</v>
      </c>
    </row>
    <row r="10" spans="2:10" x14ac:dyDescent="0.3">
      <c r="B10" s="1">
        <v>45893</v>
      </c>
      <c r="C10" t="s">
        <v>120</v>
      </c>
      <c r="D10">
        <f>SUMIFS(Table14[Debit], Table14[Date], Table5[[#This Row],[Date]], Table14[Party], "Rashan")</f>
        <v>0</v>
      </c>
      <c r="H10" s="1">
        <v>45893</v>
      </c>
      <c r="J10">
        <f>SUMIFS(Table14[Debit], Table14[Date], Table15[[#This Row],[Date]], Table14[Party], "Parts")</f>
        <v>0</v>
      </c>
    </row>
    <row r="11" spans="2:10" x14ac:dyDescent="0.3">
      <c r="B11" s="1">
        <v>45894</v>
      </c>
      <c r="C11" t="s">
        <v>120</v>
      </c>
      <c r="D11">
        <f>SUMIFS(Table14[Debit], Table14[Date], Table5[[#This Row],[Date]], Table14[Party], "Rashan")</f>
        <v>0</v>
      </c>
      <c r="H11" s="1">
        <v>45894</v>
      </c>
      <c r="J11">
        <f>SUMIFS(Table14[Debit], Table14[Date], Table15[[#This Row],[Date]], Table14[Party], "Parts")</f>
        <v>0</v>
      </c>
    </row>
    <row r="12" spans="2:10" x14ac:dyDescent="0.3">
      <c r="B12" s="1">
        <v>45895</v>
      </c>
      <c r="C12" t="s">
        <v>120</v>
      </c>
      <c r="D12">
        <f>SUMIFS(Table14[Debit], Table14[Date], Table5[[#This Row],[Date]], Table14[Party], "Rashan")</f>
        <v>0</v>
      </c>
      <c r="H12" s="1">
        <v>45895</v>
      </c>
      <c r="J12">
        <f>SUMIFS(Table14[Debit], Table14[Date], Table15[[#This Row],[Date]], Table14[Party], "Parts")</f>
        <v>0</v>
      </c>
    </row>
    <row r="13" spans="2:10" x14ac:dyDescent="0.3">
      <c r="B13" s="1">
        <v>45896</v>
      </c>
      <c r="C13" t="s">
        <v>120</v>
      </c>
      <c r="D13">
        <f>SUMIFS(Table14[Debit], Table14[Date], Table5[[#This Row],[Date]], Table14[Party], "Rashan")</f>
        <v>0</v>
      </c>
      <c r="H13" s="1">
        <v>45896</v>
      </c>
      <c r="J13">
        <f>SUMIFS(Table14[Debit], Table14[Date], Table15[[#This Row],[Date]], Table14[Party], "Parts")</f>
        <v>0</v>
      </c>
    </row>
    <row r="14" spans="2:10" x14ac:dyDescent="0.3">
      <c r="B14" s="1">
        <v>45897</v>
      </c>
      <c r="C14" t="s">
        <v>120</v>
      </c>
      <c r="D14">
        <f>SUMIFS(Table14[Debit], Table14[Date], Table5[[#This Row],[Date]], Table14[Party], "Rashan")</f>
        <v>0</v>
      </c>
      <c r="H14" s="1">
        <v>45897</v>
      </c>
      <c r="J14">
        <f>SUMIFS(Table14[Debit], Table14[Date], Table15[[#This Row],[Date]], Table14[Party], "Parts")</f>
        <v>0</v>
      </c>
    </row>
    <row r="15" spans="2:10" x14ac:dyDescent="0.3">
      <c r="B15" s="1">
        <v>45898</v>
      </c>
      <c r="C15" t="s">
        <v>120</v>
      </c>
      <c r="D15">
        <f>SUMIFS(Table14[Debit], Table14[Date], Table5[[#This Row],[Date]], Table14[Party], "Rashan")</f>
        <v>0</v>
      </c>
      <c r="H15" s="1">
        <v>45898</v>
      </c>
      <c r="J15">
        <f>SUMIFS(Table14[Debit], Table14[Date], Table15[[#This Row],[Date]], Table14[Party], "Parts")</f>
        <v>0</v>
      </c>
    </row>
    <row r="16" spans="2:10" x14ac:dyDescent="0.3">
      <c r="B16" s="1">
        <v>45899</v>
      </c>
      <c r="C16" t="s">
        <v>120</v>
      </c>
      <c r="D16">
        <f>SUMIFS(Table14[Debit], Table14[Date], Table5[[#This Row],[Date]], Table14[Party], "Rashan")</f>
        <v>0</v>
      </c>
      <c r="H16" s="1">
        <v>45899</v>
      </c>
      <c r="J16">
        <f>SUMIFS(Table14[Debit], Table14[Date], Table15[[#This Row],[Date]], Table14[Party], "Parts")</f>
        <v>0</v>
      </c>
    </row>
    <row r="17" spans="2:10" x14ac:dyDescent="0.3">
      <c r="B17" s="1">
        <v>45900</v>
      </c>
      <c r="C17" t="s">
        <v>120</v>
      </c>
      <c r="D17">
        <f>SUMIFS(Table14[Debit], Table14[Date], Table5[[#This Row],[Date]], Table14[Party], "Rashan")</f>
        <v>0</v>
      </c>
      <c r="H17" s="1">
        <v>45900</v>
      </c>
      <c r="J17">
        <f>SUMIFS(Table14[Debit], Table14[Date], Table15[[#This Row],[Date]], Table14[Party], "Parts")</f>
        <v>0</v>
      </c>
    </row>
    <row r="18" spans="2:10" x14ac:dyDescent="0.3">
      <c r="B18" s="1">
        <v>45901</v>
      </c>
      <c r="C18" t="s">
        <v>120</v>
      </c>
      <c r="D18">
        <f>SUMIFS(Table14[Debit], Table14[Date], Table5[[#This Row],[Date]], Table14[Party], "Rashan")</f>
        <v>0</v>
      </c>
      <c r="H18" s="1">
        <v>45901</v>
      </c>
      <c r="J18">
        <f>SUMIFS(Table14[Debit], Table14[Date], Table15[[#This Row],[Date]], Table14[Party], "Parts")</f>
        <v>0</v>
      </c>
    </row>
    <row r="19" spans="2:10" x14ac:dyDescent="0.3">
      <c r="B19" s="1">
        <v>45902</v>
      </c>
      <c r="C19" t="s">
        <v>120</v>
      </c>
      <c r="D19">
        <f>SUMIFS(Table14[Debit], Table14[Date], Table5[[#This Row],[Date]], Table14[Party], "Rashan")</f>
        <v>0</v>
      </c>
      <c r="H19" s="1">
        <v>45902</v>
      </c>
      <c r="J19">
        <f>SUMIFS(Table14[Debit], Table14[Date], Table15[[#This Row],[Date]], Table14[Party], "Parts")</f>
        <v>0</v>
      </c>
    </row>
    <row r="20" spans="2:10" x14ac:dyDescent="0.3">
      <c r="B20" s="1">
        <v>45903</v>
      </c>
      <c r="C20" t="s">
        <v>120</v>
      </c>
      <c r="D20">
        <f>SUMIFS(Table14[Debit], Table14[Date], Table5[[#This Row],[Date]], Table14[Party], "Rashan")</f>
        <v>0</v>
      </c>
      <c r="H20" s="1">
        <v>45903</v>
      </c>
      <c r="J20">
        <f>SUMIFS(Table14[Debit], Table14[Date], Table15[[#This Row],[Date]], Table14[Party], "Parts")</f>
        <v>0</v>
      </c>
    </row>
    <row r="21" spans="2:10" x14ac:dyDescent="0.3">
      <c r="B21" s="1">
        <v>45904</v>
      </c>
      <c r="C21" t="s">
        <v>120</v>
      </c>
      <c r="D21">
        <f>SUMIFS(Table14[Debit], Table14[Date], Table5[[#This Row],[Date]], Table14[Party], "Rashan")</f>
        <v>0</v>
      </c>
      <c r="H21" s="1">
        <v>45904</v>
      </c>
      <c r="J21">
        <f>SUMIFS(Table14[Debit], Table14[Date], Table15[[#This Row],[Date]], Table14[Party], "Parts")</f>
        <v>0</v>
      </c>
    </row>
    <row r="22" spans="2:10" x14ac:dyDescent="0.3">
      <c r="B22" s="1">
        <v>45905</v>
      </c>
      <c r="C22" t="s">
        <v>120</v>
      </c>
      <c r="D22">
        <f>SUMIFS(Table14[Debit], Table14[Date], Table5[[#This Row],[Date]], Table14[Party], "Rashan")</f>
        <v>0</v>
      </c>
      <c r="H22" s="1">
        <v>45905</v>
      </c>
      <c r="J22">
        <f>SUMIFS(Table14[Debit], Table14[Date], Table15[[#This Row],[Date]], Table14[Party], "Parts")</f>
        <v>0</v>
      </c>
    </row>
    <row r="23" spans="2:10" x14ac:dyDescent="0.3">
      <c r="B23" s="1">
        <v>45906</v>
      </c>
      <c r="C23" t="s">
        <v>120</v>
      </c>
      <c r="D23">
        <f>SUMIFS(Table14[Debit], Table14[Date], Table5[[#This Row],[Date]], Table14[Party], "Rashan")</f>
        <v>0</v>
      </c>
      <c r="H23" s="1">
        <v>45906</v>
      </c>
      <c r="J23">
        <f>SUMIFS(Table14[Debit], Table14[Date], Table15[[#This Row],[Date]], Table14[Party], "Parts")</f>
        <v>0</v>
      </c>
    </row>
    <row r="24" spans="2:10" x14ac:dyDescent="0.3">
      <c r="B24" s="1">
        <v>45907</v>
      </c>
      <c r="C24" t="s">
        <v>120</v>
      </c>
      <c r="D24">
        <f>SUMIFS(Table14[Debit], Table14[Date], Table5[[#This Row],[Date]], Table14[Party], "Rashan")</f>
        <v>0</v>
      </c>
      <c r="H24" s="1">
        <v>45907</v>
      </c>
      <c r="J24">
        <f>SUMIFS(Table14[Debit], Table14[Date], Table15[[#This Row],[Date]], Table14[Party], "Parts")</f>
        <v>0</v>
      </c>
    </row>
    <row r="25" spans="2:10" x14ac:dyDescent="0.3">
      <c r="B25" s="1">
        <v>45908</v>
      </c>
      <c r="C25" t="s">
        <v>120</v>
      </c>
      <c r="D25">
        <f>SUMIFS(Table14[Debit], Table14[Date], Table5[[#This Row],[Date]], Table14[Party], "Rashan")</f>
        <v>0</v>
      </c>
      <c r="H25" s="1">
        <v>45908</v>
      </c>
      <c r="J25">
        <f>SUMIFS(Table14[Debit], Table14[Date], Table15[[#This Row],[Date]], Table14[Party], "Parts")</f>
        <v>0</v>
      </c>
    </row>
    <row r="26" spans="2:10" x14ac:dyDescent="0.3">
      <c r="B26" s="1">
        <v>45909</v>
      </c>
      <c r="C26" t="s">
        <v>120</v>
      </c>
      <c r="D26">
        <f>SUMIFS(Table14[Debit], Table14[Date], Table5[[#This Row],[Date]], Table14[Party], "Rashan")</f>
        <v>0</v>
      </c>
      <c r="H26" s="1">
        <v>45909</v>
      </c>
      <c r="J26">
        <f>SUMIFS(Table14[Debit], Table14[Date], Table15[[#This Row],[Date]], Table14[Party], "Parts")</f>
        <v>0</v>
      </c>
    </row>
    <row r="27" spans="2:10" x14ac:dyDescent="0.3">
      <c r="B27" s="1">
        <v>45910</v>
      </c>
      <c r="C27" t="s">
        <v>120</v>
      </c>
      <c r="D27">
        <f>SUMIFS(Table14[Debit], Table14[Date], Table5[[#This Row],[Date]], Table14[Party], "Rashan")</f>
        <v>0</v>
      </c>
      <c r="H27" s="1">
        <v>45910</v>
      </c>
      <c r="J27">
        <f>SUMIFS(Table14[Debit], Table14[Date], Table15[[#This Row],[Date]], Table14[Party], "Parts")</f>
        <v>0</v>
      </c>
    </row>
    <row r="28" spans="2:10" x14ac:dyDescent="0.3">
      <c r="B28" s="1">
        <v>45911</v>
      </c>
      <c r="C28" t="s">
        <v>120</v>
      </c>
      <c r="D28">
        <f>SUMIFS(Table14[Debit], Table14[Date], Table5[[#This Row],[Date]], Table14[Party], "Rashan")</f>
        <v>0</v>
      </c>
      <c r="H28" s="1">
        <v>45911</v>
      </c>
      <c r="J28">
        <f>SUMIFS(Table14[Debit], Table14[Date], Table15[[#This Row],[Date]], Table14[Party], "Parts")</f>
        <v>0</v>
      </c>
    </row>
    <row r="29" spans="2:10" x14ac:dyDescent="0.3">
      <c r="B29" s="1">
        <v>45912</v>
      </c>
      <c r="C29" t="s">
        <v>120</v>
      </c>
      <c r="D29">
        <f>SUMIFS(Table14[Debit], Table14[Date], Table5[[#This Row],[Date]], Table14[Party], "Rashan")</f>
        <v>0</v>
      </c>
      <c r="H29" s="1">
        <v>45912</v>
      </c>
      <c r="J29">
        <f>SUMIFS(Table14[Debit], Table14[Date], Table15[[#This Row],[Date]], Table14[Party], "Parts")</f>
        <v>0</v>
      </c>
    </row>
    <row r="30" spans="2:10" x14ac:dyDescent="0.3">
      <c r="B30" s="1">
        <v>45913</v>
      </c>
      <c r="C30" t="s">
        <v>120</v>
      </c>
      <c r="D30">
        <f>SUMIFS(Table14[Debit], Table14[Date], Table5[[#This Row],[Date]], Table14[Party], "Rashan")</f>
        <v>0</v>
      </c>
      <c r="H30" s="1">
        <v>45913</v>
      </c>
      <c r="J30">
        <f>SUMIFS(Table14[Debit], Table14[Date], Table15[[#This Row],[Date]], Table14[Party], "Parts")</f>
        <v>0</v>
      </c>
    </row>
    <row r="31" spans="2:10" x14ac:dyDescent="0.3">
      <c r="B31" s="1">
        <v>45914</v>
      </c>
      <c r="C31" t="s">
        <v>120</v>
      </c>
      <c r="D31">
        <f>SUMIFS(Table14[Debit], Table14[Date], Table5[[#This Row],[Date]], Table14[Party], "Rashan")</f>
        <v>0</v>
      </c>
      <c r="H31" s="1">
        <v>45914</v>
      </c>
      <c r="J31">
        <f>SUMIFS(Table14[Debit], Table14[Date], Table15[[#This Row],[Date]], Table14[Party], "Parts")</f>
        <v>0</v>
      </c>
    </row>
    <row r="32" spans="2:10" x14ac:dyDescent="0.3">
      <c r="B32" s="1">
        <v>45915</v>
      </c>
      <c r="C32" t="s">
        <v>120</v>
      </c>
      <c r="D32">
        <f>SUMIFS(Table14[Debit], Table14[Date], Table5[[#This Row],[Date]], Table14[Party], "Rashan")</f>
        <v>0</v>
      </c>
      <c r="H32" s="1">
        <v>45915</v>
      </c>
      <c r="J32">
        <f>SUMIFS(Table14[Debit], Table14[Date], Table15[[#This Row],[Date]], Table14[Party], "Parts")</f>
        <v>0</v>
      </c>
    </row>
    <row r="33" spans="2:10" x14ac:dyDescent="0.3">
      <c r="B33" s="1">
        <v>45916</v>
      </c>
      <c r="C33" t="s">
        <v>120</v>
      </c>
      <c r="D33">
        <f>SUMIFS(Table14[Debit], Table14[Date], Table5[[#This Row],[Date]], Table14[Party], "Rashan")</f>
        <v>0</v>
      </c>
      <c r="H33" s="1">
        <v>45916</v>
      </c>
      <c r="J33">
        <f>SUMIFS(Table14[Debit], Table14[Date], Table15[[#This Row],[Date]], Table14[Party], "Parts")</f>
        <v>5800</v>
      </c>
    </row>
    <row r="34" spans="2:10" x14ac:dyDescent="0.3">
      <c r="B34" s="1">
        <v>45917</v>
      </c>
      <c r="C34" t="s">
        <v>120</v>
      </c>
      <c r="D34">
        <f>SUMIFS(Table14[Debit], Table14[Date], Table5[[#This Row],[Date]], Table14[Party], "Rashan")</f>
        <v>0</v>
      </c>
      <c r="H34" s="1">
        <v>45917</v>
      </c>
      <c r="J34">
        <f>SUMIFS(Table14[Debit], Table14[Date], Table15[[#This Row],[Date]], Table14[Party], "Parts")</f>
        <v>0</v>
      </c>
    </row>
    <row r="35" spans="2:10" x14ac:dyDescent="0.3">
      <c r="B35" s="1"/>
      <c r="D35">
        <f>SUM(Table5[Amount])</f>
        <v>0</v>
      </c>
      <c r="H35" s="1"/>
      <c r="J35">
        <f>SUM(Table15[Amount])</f>
        <v>85800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2" sqref="B2"/>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7178783</v>
      </c>
    </row>
    <row r="3" spans="1:2" x14ac:dyDescent="0.3">
      <c r="A3" t="str">
        <f>Billing!O6</f>
        <v>Ejaz Sahab</v>
      </c>
      <c r="B3" s="14">
        <f>Billing!W6</f>
        <v>737354</v>
      </c>
    </row>
    <row r="4" spans="1:2" x14ac:dyDescent="0.3">
      <c r="A4" t="str">
        <f>Billing!O7</f>
        <v>Arshad</v>
      </c>
      <c r="B4" s="14">
        <f>Billing!W7</f>
        <v>1134726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2025-09-16T21:13:17Z</dcterms:modified>
  <cp:category/>
  <cp:contentStatus/>
</cp:coreProperties>
</file>