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1027" documentId="8_{04F26ED9-7C3F-46BE-B42F-003E2A3A444E}" xr6:coauthVersionLast="47" xr6:coauthVersionMax="47" xr10:uidLastSave="{3E1719A1-CF5A-41F7-9B19-C1DF1A190985}"/>
  <bookViews>
    <workbookView xWindow="-108" yWindow="-108" windowWidth="23256" windowHeight="12456" firstSheet="5" activeTab="6"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8"/>
    <pivotCache cacheId="1" r:id="rId19"/>
    <pivotCache cacheId="2" r:id="rId20"/>
    <pivotCache cacheId="3" r:id="rId21"/>
    <pivotCache cacheId="4" r:id="rId22"/>
    <pivotCache cacheId="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9" i="6" l="1"/>
  <c r="D72" i="17"/>
  <c r="H35" i="1"/>
  <c r="J35" i="1" a="1"/>
  <c r="J35" i="1" s="1"/>
  <c r="I28" i="1"/>
  <c r="J28" i="1" a="1"/>
  <c r="J28" i="1" s="1"/>
  <c r="I29" i="1"/>
  <c r="J29" i="1" s="1" a="1"/>
  <c r="J29" i="1" s="1"/>
  <c r="I30" i="1"/>
  <c r="J30" i="1" s="1" a="1"/>
  <c r="J30" i="1" s="1"/>
  <c r="I31" i="1"/>
  <c r="J31" i="1" s="1" a="1"/>
  <c r="J31" i="1" s="1"/>
  <c r="I32" i="1"/>
  <c r="J32" i="1" s="1" a="1"/>
  <c r="J32" i="1" s="1"/>
  <c r="I33" i="1"/>
  <c r="J33" i="1" a="1"/>
  <c r="J33" i="1" s="1"/>
  <c r="I34" i="1"/>
  <c r="J34" i="1" s="1" a="1"/>
  <c r="J34" i="1" s="1"/>
  <c r="I25" i="1" l="1"/>
  <c r="J25" i="1" s="1" a="1"/>
  <c r="J25" i="1" s="1"/>
  <c r="I26" i="1"/>
  <c r="J26" i="1" a="1"/>
  <c r="J26" i="1" s="1"/>
  <c r="I27" i="1"/>
  <c r="J27" i="1" s="1" a="1"/>
  <c r="J27" i="1" s="1"/>
  <c r="F5" i="15"/>
  <c r="F6" i="15"/>
  <c r="F7" i="15"/>
  <c r="F8" i="15"/>
  <c r="H18" i="6"/>
  <c r="I18" i="6" s="1"/>
  <c r="H16" i="6"/>
  <c r="I16" i="6" s="1"/>
  <c r="D62" i="17"/>
  <c r="D76" i="17" s="1"/>
  <c r="D54" i="17"/>
  <c r="H3" i="7"/>
  <c r="H14" i="6"/>
  <c r="I14" i="6" s="1"/>
  <c r="D44" i="17"/>
  <c r="I16" i="1"/>
  <c r="J16" i="1" s="1" a="1"/>
  <c r="J16" i="1" s="1"/>
  <c r="I17" i="1"/>
  <c r="J17" i="1" a="1"/>
  <c r="J17" i="1" s="1"/>
  <c r="I18" i="1"/>
  <c r="J18" i="1" s="1" a="1"/>
  <c r="J18" i="1" s="1"/>
  <c r="I19" i="1"/>
  <c r="J19" i="1" s="1" a="1"/>
  <c r="J19" i="1" s="1"/>
  <c r="I20" i="1"/>
  <c r="J20" i="1" s="1" a="1"/>
  <c r="J20" i="1" s="1"/>
  <c r="I21" i="1"/>
  <c r="J21" i="1" s="1" a="1"/>
  <c r="J21" i="1" s="1"/>
  <c r="I22" i="1"/>
  <c r="J22" i="1" a="1"/>
  <c r="J22" i="1" s="1"/>
  <c r="I23" i="1"/>
  <c r="J23" i="1" s="1" a="1"/>
  <c r="J23" i="1" s="1"/>
  <c r="I24" i="1"/>
  <c r="J24" i="1" s="1" a="1"/>
  <c r="J24" i="1" s="1"/>
  <c r="I15" i="1"/>
  <c r="J15" i="1" s="1" a="1"/>
  <c r="J15" i="1" s="1"/>
  <c r="H7" i="6"/>
  <c r="I7" i="6" s="1"/>
  <c r="H8" i="6"/>
  <c r="I8" i="6" s="1"/>
  <c r="H9" i="6"/>
  <c r="H10" i="6"/>
  <c r="I10" i="6" s="1"/>
  <c r="H11" i="6"/>
  <c r="I11" i="6" s="1"/>
  <c r="H12" i="6"/>
  <c r="I12" i="6" s="1"/>
  <c r="H13" i="6"/>
  <c r="I13" i="6" s="1"/>
  <c r="H5" i="6"/>
  <c r="I5" i="6" s="1"/>
  <c r="G21" i="6"/>
  <c r="I21" i="6"/>
  <c r="G20" i="6"/>
  <c r="I20" i="6"/>
  <c r="G19" i="6"/>
  <c r="I19" i="6"/>
  <c r="G18" i="6"/>
  <c r="G22" i="6" s="1"/>
  <c r="G17" i="6"/>
  <c r="I17" i="6"/>
  <c r="G16" i="6"/>
  <c r="G15" i="6"/>
  <c r="I15" i="6"/>
  <c r="G14" i="6"/>
  <c r="G12" i="6"/>
  <c r="G13" i="6"/>
  <c r="G11" i="6"/>
  <c r="G10" i="6"/>
  <c r="C6" i="8"/>
  <c r="G7" i="15"/>
  <c r="H7" i="15" s="1"/>
  <c r="G8" i="15"/>
  <c r="H8" i="15" s="1"/>
  <c r="D2" i="17"/>
  <c r="G9" i="6"/>
  <c r="D30" i="18"/>
  <c r="I3" i="12"/>
  <c r="C5" i="8"/>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5" i="15"/>
  <c r="I6" i="6"/>
  <c r="G8" i="6"/>
  <c r="G5" i="6"/>
  <c r="G6" i="6"/>
  <c r="G7" i="6"/>
  <c r="G4" i="6"/>
  <c r="D3" i="17"/>
  <c r="O5" i="9" a="1"/>
  <c r="A13" i="20" s="1"/>
  <c r="E56" i="2"/>
  <c r="F56" i="2"/>
  <c r="H56" i="2"/>
  <c r="I56" i="2"/>
  <c r="D56" i="2"/>
  <c r="G56" i="2"/>
  <c r="E57" i="2"/>
  <c r="F57" i="2"/>
  <c r="G57" i="2"/>
  <c r="E58" i="2"/>
  <c r="F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c r="E46" i="2"/>
  <c r="F46" i="2"/>
  <c r="H46" i="2"/>
  <c r="I46" i="2"/>
  <c r="D46" i="2"/>
  <c r="E47" i="2"/>
  <c r="G47" i="2"/>
  <c r="F47" i="2"/>
  <c r="E48" i="2"/>
  <c r="F48" i="2"/>
  <c r="H48" i="2"/>
  <c r="I48" i="2"/>
  <c r="D48" i="2"/>
  <c r="E49" i="2"/>
  <c r="F49" i="2"/>
  <c r="H49" i="2"/>
  <c r="I49" i="2"/>
  <c r="D49" i="2"/>
  <c r="E50" i="2"/>
  <c r="F50" i="2"/>
  <c r="G50" i="2"/>
  <c r="E51" i="2"/>
  <c r="F51" i="2"/>
  <c r="H51" i="2"/>
  <c r="I51" i="2"/>
  <c r="D51" i="2"/>
  <c r="E52" i="2"/>
  <c r="G52" i="2"/>
  <c r="F52" i="2"/>
  <c r="H52" i="2"/>
  <c r="I52" i="2"/>
  <c r="D52" i="2"/>
  <c r="E53" i="2"/>
  <c r="F53" i="2"/>
  <c r="E54" i="2"/>
  <c r="F54" i="2"/>
  <c r="E55" i="2"/>
  <c r="F55" i="2"/>
  <c r="H55" i="2"/>
  <c r="I55" i="2"/>
  <c r="D55" i="2"/>
  <c r="C17" i="12"/>
  <c r="C18" i="12"/>
  <c r="C3" i="12"/>
  <c r="C4" i="12"/>
  <c r="C5" i="12"/>
  <c r="C6" i="12"/>
  <c r="C7" i="12"/>
  <c r="C8" i="12"/>
  <c r="C9" i="12"/>
  <c r="C10" i="12"/>
  <c r="C11" i="12"/>
  <c r="C12" i="12"/>
  <c r="C13" i="12"/>
  <c r="C14" i="12"/>
  <c r="C15" i="12"/>
  <c r="C19" i="12"/>
  <c r="C20" i="12"/>
  <c r="C21" i="12"/>
  <c r="C22" i="12"/>
  <c r="C23" i="12"/>
  <c r="C24" i="12"/>
  <c r="C25" i="12"/>
  <c r="C26" i="12"/>
  <c r="C27" i="12"/>
  <c r="C28" i="12"/>
  <c r="C29" i="12"/>
  <c r="C30" i="12"/>
  <c r="C31" i="12"/>
  <c r="C32" i="12"/>
  <c r="C33" i="12"/>
  <c r="C34" i="12"/>
  <c r="C35" i="12"/>
  <c r="C36" i="12"/>
  <c r="B26" i="9" a="1"/>
  <c r="H54" i="9" s="1"/>
  <c r="U15" i="9" s="1" a="1"/>
  <c r="U15" i="9" s="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O7" i="17"/>
  <c r="G6" i="15"/>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H33" i="2"/>
  <c r="I33" i="2"/>
  <c r="D33" i="2"/>
  <c r="G33" i="2"/>
  <c r="E34" i="2"/>
  <c r="F34" i="2"/>
  <c r="H34" i="2"/>
  <c r="I34" i="2"/>
  <c r="D34" i="2"/>
  <c r="E35" i="2"/>
  <c r="F35" i="2"/>
  <c r="H35" i="2"/>
  <c r="I35" i="2"/>
  <c r="D35" i="2"/>
  <c r="E36" i="2"/>
  <c r="F36" i="2"/>
  <c r="H36" i="2"/>
  <c r="I36" i="2"/>
  <c r="D36" i="2"/>
  <c r="E37" i="2"/>
  <c r="F37" i="2"/>
  <c r="G37" i="2"/>
  <c r="E39" i="2"/>
  <c r="F39" i="2"/>
  <c r="G39" i="2"/>
  <c r="H39" i="2"/>
  <c r="I39" i="2"/>
  <c r="D39" i="2"/>
  <c r="E40" i="2"/>
  <c r="F40" i="2"/>
  <c r="H40" i="2"/>
  <c r="I40" i="2"/>
  <c r="D40" i="2"/>
  <c r="E41" i="2"/>
  <c r="F41" i="2"/>
  <c r="G41" i="2"/>
  <c r="H41" i="2"/>
  <c r="I41" i="2"/>
  <c r="D41" i="2"/>
  <c r="E42" i="2"/>
  <c r="F42" i="2"/>
  <c r="G42" i="2"/>
  <c r="E43" i="2"/>
  <c r="F43" i="2"/>
  <c r="H43" i="2"/>
  <c r="I43" i="2"/>
  <c r="D43" i="2"/>
  <c r="E44" i="2"/>
  <c r="F44" i="2"/>
  <c r="H44" i="2"/>
  <c r="I44" i="2"/>
  <c r="D44" i="2"/>
  <c r="G44" i="2"/>
  <c r="F38" i="2"/>
  <c r="H38" i="2"/>
  <c r="I38" i="2"/>
  <c r="D38" i="2"/>
  <c r="E38" i="2"/>
  <c r="B44" i="9" a="1"/>
  <c r="B44" i="9"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G21" i="2"/>
  <c r="H21" i="2"/>
  <c r="I21" i="2"/>
  <c r="D21" i="2"/>
  <c r="F22" i="2"/>
  <c r="H22" i="2"/>
  <c r="I22" i="2"/>
  <c r="D22" i="2"/>
  <c r="F23" i="2"/>
  <c r="H23" i="2"/>
  <c r="I23" i="2"/>
  <c r="D23" i="2"/>
  <c r="F24" i="2"/>
  <c r="G24" i="2"/>
  <c r="H24" i="2"/>
  <c r="I24" i="2"/>
  <c r="D24" i="2"/>
  <c r="F25" i="2"/>
  <c r="F26" i="2"/>
  <c r="F27" i="2"/>
  <c r="H27" i="2"/>
  <c r="I27" i="2"/>
  <c r="D27" i="2"/>
  <c r="F28" i="2"/>
  <c r="G28" i="2"/>
  <c r="H28" i="2"/>
  <c r="I28" i="2"/>
  <c r="D28" i="2"/>
  <c r="F29" i="2"/>
  <c r="G29" i="2"/>
  <c r="H29" i="2"/>
  <c r="I29" i="2"/>
  <c r="D29" i="2"/>
  <c r="F30" i="2"/>
  <c r="H30" i="2"/>
  <c r="I30" i="2"/>
  <c r="D30" i="2"/>
  <c r="F31" i="2"/>
  <c r="H31" i="2"/>
  <c r="I31" i="2"/>
  <c r="D31" i="2"/>
  <c r="F32" i="2"/>
  <c r="G32" i="2"/>
  <c r="H32" i="2"/>
  <c r="I32" i="2"/>
  <c r="D32" i="2"/>
  <c r="E22" i="2"/>
  <c r="G22" i="2"/>
  <c r="E23" i="2"/>
  <c r="E24" i="2"/>
  <c r="E25" i="2"/>
  <c r="G25" i="2"/>
  <c r="E26" i="2"/>
  <c r="E27" i="2"/>
  <c r="G27" i="2"/>
  <c r="E28" i="2"/>
  <c r="E29" i="2"/>
  <c r="E30" i="2"/>
  <c r="E31" i="2"/>
  <c r="G31" i="2"/>
  <c r="E32" i="2"/>
  <c r="E20" i="2"/>
  <c r="E21" i="2"/>
  <c r="N4" i="17"/>
  <c r="F20" i="2"/>
  <c r="E15" i="2"/>
  <c r="G15" i="2" s="1"/>
  <c r="E16" i="2"/>
  <c r="E17" i="2"/>
  <c r="E18" i="2"/>
  <c r="E19" i="2"/>
  <c r="E7" i="2"/>
  <c r="E8" i="2"/>
  <c r="E9" i="2"/>
  <c r="G9" i="2"/>
  <c r="H20" i="1"/>
  <c r="E10" i="2"/>
  <c r="E11" i="2"/>
  <c r="E12" i="2"/>
  <c r="E13" i="2"/>
  <c r="E14" i="2"/>
  <c r="G14" i="2" s="1"/>
  <c r="E5" i="2"/>
  <c r="E6" i="2"/>
  <c r="E4" i="2"/>
  <c r="F13" i="2"/>
  <c r="G13" i="2" s="1"/>
  <c r="H13" i="2"/>
  <c r="I13" i="2"/>
  <c r="D13" i="2"/>
  <c r="F14" i="2"/>
  <c r="H14" i="2"/>
  <c r="I14" i="2"/>
  <c r="D14" i="2"/>
  <c r="F15" i="2"/>
  <c r="F16" i="2"/>
  <c r="H16" i="2"/>
  <c r="I16" i="2"/>
  <c r="D16" i="2"/>
  <c r="F17" i="2"/>
  <c r="H17" i="2" s="1"/>
  <c r="I17" i="2" s="1"/>
  <c r="D17" i="2" s="1"/>
  <c r="F18" i="2"/>
  <c r="F19" i="2"/>
  <c r="G19" i="2"/>
  <c r="H19" i="2"/>
  <c r="I19" i="2"/>
  <c r="D19" i="2"/>
  <c r="C8" i="8"/>
  <c r="F11" i="2"/>
  <c r="G11" i="2" s="1"/>
  <c r="H11" i="2"/>
  <c r="I11" i="2" s="1"/>
  <c r="F10" i="2"/>
  <c r="G10" i="2"/>
  <c r="H21" i="1"/>
  <c r="H10" i="2"/>
  <c r="I10" i="2" s="1"/>
  <c r="D10" i="2" s="1"/>
  <c r="F6" i="2"/>
  <c r="H6" i="2"/>
  <c r="I6" i="2"/>
  <c r="D6" i="2"/>
  <c r="F7" i="2"/>
  <c r="H7" i="2" s="1"/>
  <c r="I7" i="2" s="1"/>
  <c r="D7" i="2" s="1"/>
  <c r="F8" i="2"/>
  <c r="G8" i="2" s="1"/>
  <c r="H19" i="1" s="1"/>
  <c r="H8" i="2"/>
  <c r="I8" i="2" s="1"/>
  <c r="D8" i="2" s="1"/>
  <c r="F9" i="2"/>
  <c r="H9" i="2"/>
  <c r="I9" i="2"/>
  <c r="D9" i="2"/>
  <c r="N3" i="7"/>
  <c r="N5" i="7"/>
  <c r="E6" i="11"/>
  <c r="D6" i="11"/>
  <c r="F12" i="2"/>
  <c r="H12" i="2"/>
  <c r="I12" i="2" s="1"/>
  <c r="D12" i="2" s="1"/>
  <c r="F5" i="2"/>
  <c r="F3" i="2"/>
  <c r="F4" i="2"/>
  <c r="G4" i="2" s="1"/>
  <c r="F9" i="15"/>
  <c r="G55" i="2"/>
  <c r="G43" i="2"/>
  <c r="H47" i="2"/>
  <c r="I47" i="2"/>
  <c r="D47" i="2"/>
  <c r="H45" i="2"/>
  <c r="I45" i="2"/>
  <c r="D45" i="2"/>
  <c r="C7" i="8"/>
  <c r="G54" i="2"/>
  <c r="G49" i="2"/>
  <c r="H57" i="2"/>
  <c r="I57" i="2"/>
  <c r="D57" i="2"/>
  <c r="G53" i="2"/>
  <c r="E4" i="7"/>
  <c r="C16" i="12"/>
  <c r="H54" i="2"/>
  <c r="I54" i="2"/>
  <c r="D54" i="2"/>
  <c r="G34" i="2"/>
  <c r="G35" i="2"/>
  <c r="G18" i="2"/>
  <c r="H53" i="2"/>
  <c r="I53" i="2"/>
  <c r="D53" i="2"/>
  <c r="J15" i="14"/>
  <c r="H25" i="2"/>
  <c r="I25" i="2"/>
  <c r="D25" i="2"/>
  <c r="H20" i="2"/>
  <c r="I20" i="2"/>
  <c r="D20" i="2"/>
  <c r="H18" i="2"/>
  <c r="I18" i="2"/>
  <c r="D18" i="2"/>
  <c r="H61" i="2"/>
  <c r="I61" i="2"/>
  <c r="D61" i="2"/>
  <c r="G20" i="2"/>
  <c r="G23" i="2"/>
  <c r="G26" i="2"/>
  <c r="G40" i="2"/>
  <c r="G48" i="2"/>
  <c r="H59" i="2"/>
  <c r="I59" i="2"/>
  <c r="D59" i="2"/>
  <c r="G36" i="2"/>
  <c r="C76" i="17"/>
  <c r="K4" i="17" s="1"/>
  <c r="N6" i="17"/>
  <c r="C16" i="10"/>
  <c r="H62" i="2"/>
  <c r="I62" i="2"/>
  <c r="D62" i="2"/>
  <c r="H60" i="2"/>
  <c r="I60" i="2"/>
  <c r="D60" i="2"/>
  <c r="H58" i="2"/>
  <c r="I58" i="2"/>
  <c r="D58" i="2"/>
  <c r="G51" i="2"/>
  <c r="H26" i="2"/>
  <c r="I26" i="2"/>
  <c r="D26" i="2"/>
  <c r="G46" i="2"/>
  <c r="H42" i="2"/>
  <c r="I42" i="2"/>
  <c r="D42" i="2"/>
  <c r="G12" i="2"/>
  <c r="H23" i="1"/>
  <c r="G6" i="2"/>
  <c r="H17" i="1" s="1"/>
  <c r="G5" i="2"/>
  <c r="G30" i="2"/>
  <c r="H15" i="2"/>
  <c r="I15" i="2"/>
  <c r="D15" i="2"/>
  <c r="G38" i="2"/>
  <c r="H5" i="2"/>
  <c r="I5" i="2"/>
  <c r="D5" i="2"/>
  <c r="H37" i="2"/>
  <c r="I37" i="2"/>
  <c r="D37" i="2"/>
  <c r="H50" i="2"/>
  <c r="I50" i="2"/>
  <c r="D50" i="2"/>
  <c r="G16" i="2"/>
  <c r="H4" i="7"/>
  <c r="W17" i="9"/>
  <c r="B14" i="20" s="1"/>
  <c r="J38" i="9"/>
  <c r="P17" i="9" a="1"/>
  <c r="P17" i="9" s="1"/>
  <c r="R17" i="9" a="1"/>
  <c r="R17" i="9" s="1"/>
  <c r="H38" i="9" a="1"/>
  <c r="H38" i="9" s="1"/>
  <c r="G38" i="9" a="1"/>
  <c r="G38" i="9" s="1"/>
  <c r="Q17" i="9" a="1"/>
  <c r="Q17" i="9" s="1"/>
  <c r="A14" i="20"/>
  <c r="H16" i="1"/>
  <c r="U17" i="9" a="1"/>
  <c r="U17" i="9" s="1"/>
  <c r="T17" i="9" a="1"/>
  <c r="T17" i="9" s="1"/>
  <c r="S17" i="9" a="1"/>
  <c r="S17" i="9" s="1"/>
  <c r="B2" i="2"/>
  <c r="I12" i="1"/>
  <c r="J12" i="1" s="1" a="1"/>
  <c r="J12" i="1" s="1"/>
  <c r="I7" i="1"/>
  <c r="J7" i="1" s="1" a="1"/>
  <c r="J7" i="1" s="1"/>
  <c r="I9" i="1"/>
  <c r="J9" i="1" s="1" a="1"/>
  <c r="J9" i="1" s="1"/>
  <c r="I4" i="1"/>
  <c r="J4" i="1" s="1" a="1"/>
  <c r="J4" i="1" s="1"/>
  <c r="I5" i="1"/>
  <c r="J5" i="1" s="1" a="1"/>
  <c r="J5" i="1" s="1"/>
  <c r="I6" i="1"/>
  <c r="J6" i="1" s="1" a="1"/>
  <c r="J6" i="1" s="1"/>
  <c r="I8" i="1"/>
  <c r="J8" i="1" s="1" a="1"/>
  <c r="J8" i="1" s="1"/>
  <c r="I11" i="1"/>
  <c r="J11" i="1" s="1" a="1"/>
  <c r="J11" i="1" s="1"/>
  <c r="I3" i="1"/>
  <c r="J3" i="1" s="1" a="1"/>
  <c r="J3" i="1" s="1"/>
  <c r="I10" i="1"/>
  <c r="J10" i="1" s="1" a="1"/>
  <c r="J10" i="1" s="1"/>
  <c r="I2" i="1"/>
  <c r="J2" i="1" s="1" a="1"/>
  <c r="J2" i="1" s="1"/>
  <c r="I13" i="1"/>
  <c r="J13" i="1" s="1" a="1"/>
  <c r="J13" i="1" s="1"/>
  <c r="I14" i="1"/>
  <c r="J14" i="1" s="1" a="1"/>
  <c r="J14" i="1" s="1"/>
  <c r="C2" i="2"/>
  <c r="N5" i="17" l="1"/>
  <c r="C12" i="10"/>
  <c r="J27" i="9"/>
  <c r="G34" i="9" a="1"/>
  <c r="G34" i="9" s="1"/>
  <c r="H25" i="1"/>
  <c r="H28" i="1"/>
  <c r="H22" i="1"/>
  <c r="H30" i="1"/>
  <c r="H31" i="1"/>
  <c r="H34" i="1"/>
  <c r="H26" i="1"/>
  <c r="H32" i="1"/>
  <c r="H24" i="1"/>
  <c r="H33" i="1"/>
  <c r="H29" i="1"/>
  <c r="H27" i="1"/>
  <c r="H4" i="2"/>
  <c r="I4" i="2" s="1"/>
  <c r="D4" i="2" s="1"/>
  <c r="G17" i="2"/>
  <c r="G7" i="2"/>
  <c r="H18" i="1" s="1"/>
  <c r="J46" i="9"/>
  <c r="G48" i="9"/>
  <c r="T9" i="9" s="1" a="1"/>
  <c r="T9" i="9" s="1"/>
  <c r="F51" i="9"/>
  <c r="S12" i="9" s="1" a="1"/>
  <c r="S12" i="9" s="1"/>
  <c r="C45" i="9"/>
  <c r="P6" i="9" s="1" a="1"/>
  <c r="P6" i="9" s="1"/>
  <c r="T16" i="9" a="1"/>
  <c r="T16" i="9" s="1"/>
  <c r="J28" i="9"/>
  <c r="G49" i="9"/>
  <c r="T10" i="9" s="1" a="1"/>
  <c r="T10" i="9" s="1"/>
  <c r="F53" i="9"/>
  <c r="S14" i="9" s="1" a="1"/>
  <c r="S14" i="9" s="1"/>
  <c r="C47" i="9"/>
  <c r="P8" i="9" s="1" a="1"/>
  <c r="P8" i="9" s="1"/>
  <c r="C53" i="9"/>
  <c r="P14" i="9" s="1" a="1"/>
  <c r="P14" i="9" s="1"/>
  <c r="Q16" i="9" a="1"/>
  <c r="Q16" i="9" s="1"/>
  <c r="H46" i="9"/>
  <c r="U7" i="9" s="1" a="1"/>
  <c r="U7" i="9" s="1"/>
  <c r="G53" i="9"/>
  <c r="T14" i="9" s="1" a="1"/>
  <c r="T14" i="9" s="1"/>
  <c r="H28" i="9" a="1"/>
  <c r="H28" i="9" s="1"/>
  <c r="G50" i="9"/>
  <c r="T11" i="9" s="1" a="1"/>
  <c r="T11" i="9" s="1"/>
  <c r="G46" i="9"/>
  <c r="T7" i="9" s="1" a="1"/>
  <c r="T7" i="9" s="1"/>
  <c r="F49" i="9"/>
  <c r="S10" i="9" s="1" a="1"/>
  <c r="S10" i="9" s="1"/>
  <c r="D50" i="9"/>
  <c r="Q11" i="9" s="1" a="1"/>
  <c r="Q11" i="9" s="1"/>
  <c r="J50" i="9"/>
  <c r="W11" i="9" s="1"/>
  <c r="B8" i="20" s="1"/>
  <c r="S16" i="9" a="1"/>
  <c r="S16" i="9" s="1"/>
  <c r="B13" i="9"/>
  <c r="C13" i="9" s="1"/>
  <c r="E54" i="9"/>
  <c r="R15" i="9" s="1" a="1"/>
  <c r="R15" i="9" s="1"/>
  <c r="H30" i="9" a="1"/>
  <c r="H30" i="9" s="1"/>
  <c r="W16" i="9"/>
  <c r="B13" i="20" s="1"/>
  <c r="H52" i="9"/>
  <c r="U13" i="9" s="1" a="1"/>
  <c r="U13" i="9" s="1"/>
  <c r="D45" i="9"/>
  <c r="Q6" i="9" s="1" a="1"/>
  <c r="Q6" i="9" s="1"/>
  <c r="C49" i="9"/>
  <c r="P10" i="9" s="1" a="1"/>
  <c r="P10" i="9" s="1"/>
  <c r="H48" i="9"/>
  <c r="U9" i="9" s="1" a="1"/>
  <c r="U9" i="9" s="1"/>
  <c r="E46" i="9"/>
  <c r="R7" i="9" s="1" a="1"/>
  <c r="R7" i="9" s="1"/>
  <c r="J52" i="9"/>
  <c r="C46" i="9"/>
  <c r="P7" i="9" s="1" a="1"/>
  <c r="P7" i="9" s="1"/>
  <c r="G27" i="9" a="1"/>
  <c r="G27" i="9" s="1"/>
  <c r="G33" i="9" a="1"/>
  <c r="G33" i="9" s="1"/>
  <c r="H37" i="9" a="1"/>
  <c r="H37" i="9" s="1"/>
  <c r="G54" i="9"/>
  <c r="I54" i="9" s="1"/>
  <c r="H47" i="9"/>
  <c r="D53" i="9"/>
  <c r="Q14" i="9" s="1" a="1"/>
  <c r="Q14" i="9" s="1"/>
  <c r="J53" i="9"/>
  <c r="J30" i="9"/>
  <c r="F45" i="9"/>
  <c r="S6" i="9" s="1" a="1"/>
  <c r="S6" i="9" s="1"/>
  <c r="C54" i="9"/>
  <c r="P15" i="9" s="1" a="1"/>
  <c r="P15" i="9" s="1"/>
  <c r="H45" i="9"/>
  <c r="J48" i="9"/>
  <c r="W9" i="9" s="1"/>
  <c r="B6" i="20" s="1"/>
  <c r="D52" i="9"/>
  <c r="Q13" i="9" s="1" a="1"/>
  <c r="Q13" i="9" s="1"/>
  <c r="J47" i="9"/>
  <c r="W8" i="9" s="1"/>
  <c r="B5" i="20" s="1"/>
  <c r="B14" i="9"/>
  <c r="C14" i="9" s="1"/>
  <c r="G45" i="9"/>
  <c r="T6" i="9" s="1" a="1"/>
  <c r="T6" i="9" s="1"/>
  <c r="F46" i="9"/>
  <c r="S7" i="9" s="1" a="1"/>
  <c r="S7" i="9" s="1"/>
  <c r="D49" i="9"/>
  <c r="Q10" i="9" s="1" a="1"/>
  <c r="Q10" i="9" s="1"/>
  <c r="J54" i="9"/>
  <c r="W15" i="9" s="1"/>
  <c r="B12" i="20" s="1"/>
  <c r="C52" i="9"/>
  <c r="P13" i="9" s="1" a="1"/>
  <c r="P13" i="9" s="1"/>
  <c r="H31" i="9" a="1"/>
  <c r="H31" i="9" s="1"/>
  <c r="N7" i="17"/>
  <c r="C19" i="10" s="1"/>
  <c r="V18" i="9"/>
  <c r="X18" i="9" s="1"/>
  <c r="H49" i="9"/>
  <c r="U10" i="9" s="1" a="1"/>
  <c r="U10" i="9" s="1"/>
  <c r="D46" i="9"/>
  <c r="Q7" i="9" s="1" a="1"/>
  <c r="Q7" i="9" s="1"/>
  <c r="J49" i="9"/>
  <c r="W10" i="9" s="1"/>
  <c r="B7" i="20" s="1"/>
  <c r="C48" i="9"/>
  <c r="P9" i="9" s="1" a="1"/>
  <c r="P9" i="9" s="1"/>
  <c r="P16" i="9" a="1"/>
  <c r="P16" i="9" s="1"/>
  <c r="B15" i="9"/>
  <c r="E15" i="9" s="1"/>
  <c r="H53" i="9"/>
  <c r="U14" i="9" s="1" a="1"/>
  <c r="U14" i="9" s="1"/>
  <c r="E47" i="9"/>
  <c r="R8" i="9" s="1" a="1"/>
  <c r="R8" i="9" s="1"/>
  <c r="E45" i="9"/>
  <c r="R6" i="9" s="1" a="1"/>
  <c r="R6" i="9" s="1"/>
  <c r="D51" i="9"/>
  <c r="Q12" i="9" s="1" a="1"/>
  <c r="Q12" i="9" s="1"/>
  <c r="J31" i="9"/>
  <c r="R16" i="9" a="1"/>
  <c r="R16" i="9" s="1"/>
  <c r="J36" i="9"/>
  <c r="G47" i="9"/>
  <c r="T8" i="9" s="1" a="1"/>
  <c r="T8" i="9" s="1"/>
  <c r="F47" i="9"/>
  <c r="S8" i="9" s="1" a="1"/>
  <c r="S8" i="9" s="1"/>
  <c r="E53" i="9"/>
  <c r="R14" i="9" s="1" a="1"/>
  <c r="R14" i="9" s="1"/>
  <c r="C51" i="9"/>
  <c r="P12" i="9" s="1" a="1"/>
  <c r="P12" i="9" s="1"/>
  <c r="B6" i="9"/>
  <c r="C6" i="9" s="1"/>
  <c r="H35" i="9" a="1"/>
  <c r="H35" i="9" s="1"/>
  <c r="H32" i="9" a="1"/>
  <c r="H32" i="9" s="1"/>
  <c r="G32" i="9" a="1"/>
  <c r="G32" i="9" s="1"/>
  <c r="F48" i="9"/>
  <c r="S9" i="9" s="1" a="1"/>
  <c r="S9" i="9" s="1"/>
  <c r="H51" i="9"/>
  <c r="U12" i="9" s="1" a="1"/>
  <c r="U12" i="9" s="1"/>
  <c r="F52" i="9"/>
  <c r="S13" i="9" s="1" a="1"/>
  <c r="S13" i="9" s="1"/>
  <c r="D47" i="9"/>
  <c r="Q8" i="9" s="1" a="1"/>
  <c r="Q8" i="9" s="1"/>
  <c r="E49" i="9"/>
  <c r="R10" i="9" s="1" a="1"/>
  <c r="R10" i="9" s="1"/>
  <c r="C50" i="9"/>
  <c r="P11" i="9" s="1" a="1"/>
  <c r="P11" i="9" s="1"/>
  <c r="B9" i="9"/>
  <c r="E9" i="9" s="1" a="1"/>
  <c r="E9" i="9" s="1"/>
  <c r="J29" i="9"/>
  <c r="D54" i="9"/>
  <c r="Q15" i="9" s="1" a="1"/>
  <c r="Q15" i="9" s="1"/>
  <c r="G37" i="9" a="1"/>
  <c r="G37" i="9" s="1"/>
  <c r="B12" i="9"/>
  <c r="E12" i="9" s="1"/>
  <c r="G51" i="9"/>
  <c r="T12" i="9" s="1" a="1"/>
  <c r="T12" i="9" s="1"/>
  <c r="F50" i="9"/>
  <c r="S11" i="9" s="1" a="1"/>
  <c r="S11" i="9" s="1"/>
  <c r="G52" i="9"/>
  <c r="T13" i="9" s="1" a="1"/>
  <c r="T13" i="9" s="1"/>
  <c r="E51" i="9"/>
  <c r="R12" i="9" s="1" a="1"/>
  <c r="R12" i="9" s="1"/>
  <c r="J51" i="9"/>
  <c r="W12" i="9" s="1"/>
  <c r="B9" i="20" s="1"/>
  <c r="G28" i="9" a="1"/>
  <c r="G28" i="9" s="1"/>
  <c r="I28" i="9" s="1"/>
  <c r="J35" i="9"/>
  <c r="J33" i="9"/>
  <c r="H50" i="9"/>
  <c r="U11" i="9" s="1" a="1"/>
  <c r="U11" i="9" s="1"/>
  <c r="F54" i="9"/>
  <c r="S15" i="9" s="1" a="1"/>
  <c r="S15" i="9" s="1"/>
  <c r="D48" i="9"/>
  <c r="Q9" i="9" s="1" a="1"/>
  <c r="Q9" i="9" s="1"/>
  <c r="E52" i="9"/>
  <c r="R13" i="9" s="1" a="1"/>
  <c r="R13" i="9" s="1"/>
  <c r="J45" i="9"/>
  <c r="W6" i="9" s="1"/>
  <c r="B3" i="20" s="1"/>
  <c r="H27" i="9" a="1"/>
  <c r="H27" i="9" s="1"/>
  <c r="H29" i="9" a="1"/>
  <c r="H29" i="9" s="1"/>
  <c r="J37" i="9"/>
  <c r="I38" i="9"/>
  <c r="K38" i="9" s="1"/>
  <c r="E50" i="9"/>
  <c r="R11" i="9" s="1" a="1"/>
  <c r="R11" i="9" s="1"/>
  <c r="U16" i="9" a="1"/>
  <c r="U16" i="9" s="1"/>
  <c r="G30" i="9" a="1"/>
  <c r="G30" i="9" s="1"/>
  <c r="B11" i="9"/>
  <c r="I36" i="1" a="1"/>
  <c r="I36" i="1" s="1"/>
  <c r="V17" i="9"/>
  <c r="X17" i="9" s="1"/>
  <c r="B7" i="9"/>
  <c r="B8" i="9"/>
  <c r="H36" i="9" a="1"/>
  <c r="H36" i="9" s="1"/>
  <c r="G35" i="9" a="1"/>
  <c r="G35" i="9" s="1"/>
  <c r="A7" i="20"/>
  <c r="W13" i="9"/>
  <c r="B10" i="20" s="1"/>
  <c r="V19" i="9"/>
  <c r="X19" i="9" s="1"/>
  <c r="E48" i="9"/>
  <c r="R9" i="9" s="1" a="1"/>
  <c r="R9" i="9" s="1"/>
  <c r="G31" i="9" a="1"/>
  <c r="G31" i="9" s="1"/>
  <c r="I31" i="9" s="1"/>
  <c r="B10" i="9"/>
  <c r="B5" i="9"/>
  <c r="J32" i="9"/>
  <c r="A3" i="20"/>
  <c r="A5" i="20"/>
  <c r="W14" i="9"/>
  <c r="B11" i="20" s="1"/>
  <c r="A9" i="20"/>
  <c r="H34" i="9" a="1"/>
  <c r="H34" i="9" s="1"/>
  <c r="I34" i="9" s="1"/>
  <c r="A8" i="20"/>
  <c r="A10" i="20"/>
  <c r="W7" i="9"/>
  <c r="B4" i="20" s="1"/>
  <c r="H33" i="9" a="1"/>
  <c r="H33" i="9" s="1"/>
  <c r="B26" i="9"/>
  <c r="G29" i="9" a="1"/>
  <c r="G29" i="9" s="1"/>
  <c r="O5" i="9"/>
  <c r="A4" i="20"/>
  <c r="G36" i="9" a="1"/>
  <c r="G36" i="9" s="1"/>
  <c r="A12" i="20"/>
  <c r="J34" i="9"/>
  <c r="A11" i="20"/>
  <c r="A6" i="20"/>
  <c r="N14" i="6"/>
  <c r="C4" i="8" s="1"/>
  <c r="G9" i="15"/>
  <c r="C37" i="12"/>
  <c r="H9" i="15"/>
  <c r="H22" i="6"/>
  <c r="D35" i="14"/>
  <c r="C10" i="8" s="1"/>
  <c r="I35" i="12"/>
  <c r="J35" i="14"/>
  <c r="C12" i="8" s="1"/>
  <c r="D35" i="18"/>
  <c r="C11" i="8" s="1"/>
  <c r="I9" i="6"/>
  <c r="I22" i="6" s="1"/>
  <c r="F76" i="17"/>
  <c r="E35" i="18"/>
  <c r="J36" i="1" a="1"/>
  <c r="J36" i="1" s="1"/>
  <c r="K36" i="1"/>
  <c r="D2" i="2"/>
  <c r="K5" i="17"/>
  <c r="K6" i="17" s="1"/>
  <c r="U6" i="9" a="1"/>
  <c r="U6" i="9" s="1"/>
  <c r="C9" i="8" l="1"/>
  <c r="C14" i="8" s="1"/>
  <c r="C4" i="10" s="1"/>
  <c r="C15" i="10" s="1"/>
  <c r="C17" i="10" s="1"/>
  <c r="P7" i="17"/>
  <c r="I48" i="9"/>
  <c r="V11" i="9"/>
  <c r="K31" i="9"/>
  <c r="K48" i="9"/>
  <c r="K28" i="9"/>
  <c r="H7" i="1"/>
  <c r="H3" i="1"/>
  <c r="H8" i="1"/>
  <c r="H12" i="1"/>
  <c r="H2" i="1"/>
  <c r="H6" i="1"/>
  <c r="H13" i="1"/>
  <c r="H11" i="1"/>
  <c r="H5" i="1"/>
  <c r="H4" i="1"/>
  <c r="H14" i="1"/>
  <c r="H9" i="1"/>
  <c r="H10" i="1"/>
  <c r="V16" i="9"/>
  <c r="X16" i="9" s="1"/>
  <c r="V12" i="9"/>
  <c r="X12" i="9" s="1"/>
  <c r="E13" i="9"/>
  <c r="C15" i="9"/>
  <c r="K54" i="9"/>
  <c r="V9" i="9"/>
  <c r="X9" i="9" s="1"/>
  <c r="I47" i="9"/>
  <c r="K47" i="9" s="1"/>
  <c r="V10" i="9"/>
  <c r="X10" i="9" s="1"/>
  <c r="I49" i="9"/>
  <c r="K49" i="9" s="1"/>
  <c r="I53" i="9"/>
  <c r="K53" i="9" s="1"/>
  <c r="U8" i="9" a="1"/>
  <c r="U8" i="9" s="1"/>
  <c r="V8" i="9" s="1"/>
  <c r="X8" i="9" s="1"/>
  <c r="V7" i="9"/>
  <c r="X7" i="9" s="1"/>
  <c r="I52" i="9"/>
  <c r="K52" i="9" s="1"/>
  <c r="I46" i="9"/>
  <c r="K46" i="9" s="1"/>
  <c r="I35" i="9"/>
  <c r="K35" i="9" s="1"/>
  <c r="V14" i="9"/>
  <c r="X14" i="9" s="1"/>
  <c r="I33" i="9"/>
  <c r="K33" i="9" s="1"/>
  <c r="I27" i="9"/>
  <c r="K27" i="9" s="1"/>
  <c r="V13" i="9"/>
  <c r="X13" i="9" s="1"/>
  <c r="E6" i="9"/>
  <c r="E14" i="9"/>
  <c r="I45" i="9"/>
  <c r="K45" i="9" s="1"/>
  <c r="T15" i="9" a="1"/>
  <c r="T15" i="9" s="1"/>
  <c r="V15" i="9" s="1"/>
  <c r="X15" i="9" s="1"/>
  <c r="V6" i="9"/>
  <c r="X6" i="9" s="1"/>
  <c r="I30" i="9"/>
  <c r="K30" i="9" s="1"/>
  <c r="I29" i="9"/>
  <c r="K29" i="9" s="1"/>
  <c r="I32" i="9"/>
  <c r="K32" i="9" s="1"/>
  <c r="I37" i="9"/>
  <c r="K37" i="9" s="1"/>
  <c r="C9" i="9"/>
  <c r="I50" i="9"/>
  <c r="K50" i="9" s="1"/>
  <c r="I51" i="9"/>
  <c r="K51" i="9" s="1"/>
  <c r="I36" i="9"/>
  <c r="K36" i="9" s="1"/>
  <c r="C12" i="9"/>
  <c r="X11" i="9"/>
  <c r="C11" i="9"/>
  <c r="E11" i="9"/>
  <c r="K34" i="9"/>
  <c r="C5" i="9"/>
  <c r="E5" i="9"/>
  <c r="A2" i="20"/>
  <c r="E10" i="9"/>
  <c r="C10" i="9"/>
  <c r="C8" i="9"/>
  <c r="E8" i="9"/>
  <c r="F26" i="9" a="1"/>
  <c r="F26" i="9" s="1"/>
  <c r="H26" i="9" a="1"/>
  <c r="H26" i="9" s="1"/>
  <c r="C26" i="9" a="1"/>
  <c r="C26" i="9" s="1"/>
  <c r="C44" i="9"/>
  <c r="P5" i="9" s="1" a="1"/>
  <c r="P5" i="9" s="1"/>
  <c r="D8" i="19" s="1" a="1"/>
  <c r="D8" i="19" s="1"/>
  <c r="F44" i="9"/>
  <c r="S5" i="9" s="1" a="1"/>
  <c r="S5" i="9" s="1"/>
  <c r="D14" i="19" s="1" a="1"/>
  <c r="D14" i="19" s="1"/>
  <c r="G44" i="9"/>
  <c r="C14" i="19" a="1"/>
  <c r="C14" i="19" s="1"/>
  <c r="G26" i="9" a="1"/>
  <c r="G26" i="9" s="1"/>
  <c r="C12" i="19" a="1"/>
  <c r="C12" i="19" s="1"/>
  <c r="H44" i="9"/>
  <c r="U5" i="9" s="1" a="1"/>
  <c r="U5" i="9" s="1"/>
  <c r="D26" i="9" a="1"/>
  <c r="D26" i="9" s="1"/>
  <c r="J44" i="9"/>
  <c r="W5" i="9" s="1"/>
  <c r="E26" i="9" a="1"/>
  <c r="E26" i="9" s="1"/>
  <c r="J26" i="9"/>
  <c r="E44" i="9"/>
  <c r="R5" i="9" s="1" a="1"/>
  <c r="R5" i="9" s="1"/>
  <c r="D12" i="19" s="1" a="1"/>
  <c r="D12" i="19" s="1"/>
  <c r="B4" i="9"/>
  <c r="D44" i="9"/>
  <c r="Q5" i="9" s="1" a="1"/>
  <c r="Q5" i="9" s="1"/>
  <c r="D10" i="19" s="1" a="1"/>
  <c r="D10" i="19" s="1"/>
  <c r="E7" i="9"/>
  <c r="C7" i="9"/>
  <c r="F35" i="18"/>
  <c r="E12" i="19" l="1"/>
  <c r="E14" i="19"/>
  <c r="B2" i="20"/>
  <c r="E18" i="19" a="1"/>
  <c r="E18" i="19" s="1"/>
  <c r="I26" i="9"/>
  <c r="C16" i="9"/>
  <c r="I44" i="9"/>
  <c r="K44" i="9" s="1"/>
  <c r="T5" i="9" a="1"/>
  <c r="T5" i="9" s="1"/>
  <c r="V5" i="9" s="1"/>
  <c r="X5" i="9" s="1"/>
  <c r="E20" i="19" s="1" a="1"/>
  <c r="E20" i="19" s="1"/>
  <c r="C4" i="9"/>
  <c r="E4" i="9"/>
  <c r="C18" i="9" l="1"/>
  <c r="C3" i="10" s="1"/>
  <c r="C11" i="10" s="1"/>
  <c r="C13" i="10" s="1"/>
  <c r="C21" i="10" s="1"/>
  <c r="K26" i="9"/>
  <c r="E16" i="19"/>
  <c r="C5" i="10" l="1"/>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<sst xmlns="http://schemas.openxmlformats.org/spreadsheetml/2006/main" count="679" uniqueCount="220">
  <si>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</si>
  <si>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</si>
  <si>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</si>
  <si>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</si>
  <si>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</si>
  <si>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</si>
  <si>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</si>
  <si>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</si>
  <si>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</si>
  <si>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</si>
  <si>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</si>
  <si>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</si>
  <si>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</si>
  <si>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</si>
  <si>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</si>
  <si>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</si>
  <si>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</si>
  <si>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</si>
  <si>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</si>
  <si>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</si>
  <si>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</si>
  <si>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</si>
  <si>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</si>
  <si>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</si>
  <si>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</si>
  <si>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</si>
  <si>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</si>
  <si>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</si>
  <si>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</si>
  <si>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</si>
  <si>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</si>
  <si>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</si>
  <si>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</si>
  <si>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</si>
  <si>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</si>
  <si>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</si>
  <si>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</si>
  <si>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</si>
  <si>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</si>
  <si>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</si>
  <si>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</si>
  <si>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</si>
  <si>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</si>
  <si>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</si>
  <si>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</si>
  <si>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</si>
  <si>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</si>
  <si>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</si>
  <si>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</si>
  <si>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</si>
  <si>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</si>
  <si>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</si>
  <si>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</si>
  <si>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</si>
  <si>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</si>
  <si>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</si>
  <si>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</si>
  <si>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</si>
  <si>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</si>
  <si>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</si>
  <si>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</si>
  <si>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</si>
  <si>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</si>
  <si>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</si>
  <si>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</si>
  <si>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</si>
  <si>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</si>
  <si>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</si>
  <si>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</si>
  <si>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</si>
  <si>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</si>
  <si>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</si>
  <si>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</si>
  <si>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</si>
  <si>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</si>
  <si>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</si>
  <si>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</si>
  <si>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</si>
  <si>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</si>
  <si>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</si>
  <si>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</si>
  <si>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</si>
  <si>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</si>
  <si>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</si>
  <si>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</si>
  <si>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</si>
  <si>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</si>
  <si>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</si>
  <si>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</si>
  <si>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</si>
  <si>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</si>
  <si>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</si>
  <si>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</si>
  <si>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</si>
  <si>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</si>
  <si>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</si>
  <si>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</si>
  <si>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</si>
  <si>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</si>
  <si>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</si>
  <si>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</si>
  <si>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</si>
  <si>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</si>
  <si>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</si>
  <si>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</si>
  <si>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</si>
  <si>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</si>
  <si>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</si>
  <si>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</si>
  <si>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</si>
  <si>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</si>
  <si>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</si>
  <si>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</si>
  <si>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</si>
  <si>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</si>
  <si>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</si>
  <si>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</si>
  <si>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</si>
  <si>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</si>
  <si>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</si>
  <si>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</si>
  <si>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</si>
  <si>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</si>
  <si>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</si>
  <si>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</si>
  <si>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</si>
  <si>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</si>
  <si>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</si>
  <si>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</si>
  <si>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</si>
  <si>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</si>
  <si>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</si>
  <si>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</si>
  <si>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</si>
  <si>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</si>
  <si>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</si>
  <si>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</si>
  <si>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</si>
  <si>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</si>
  <si>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</si>
  <si>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</si>
  <si>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</si>
  <si>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</si>
  <si>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</si>
  <si>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</si>
  <si>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</si>
  <si>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</si>
  <si>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</si>
  <si>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</si>
  <si>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</si>
  <si>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</si>
  <si>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</si>
  <si>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</si>
  <si>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</si>
  <si>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</si>
  <si>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</si>
  <si>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</si>
  <si>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</si>
  <si>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</si>
  <si>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</si>
  <si>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</si>
  <si>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</si>
  <si>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</si>
  <si>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</si>
  <si>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</si>
  <si>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</si>
  <si>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</si>
  <si>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</si>
  <si>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</si>
  <si>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</si>
  <si>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</si>
  <si>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</si>
  <si>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</si>
  <si>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</si>
  <si>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</si>
  <si>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</si>
  <si>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</si>
  <si>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</si>
  <si>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</si>
  <si>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</si>
  <si>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</si>
  <si>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</si>
  <si>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</si>
  <si>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</si>
  <si>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</si>
  <si>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</si>
  <si>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</si>
  <si>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</si>
  <si>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</si>
  <si>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</si>
  <si>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</si>
  <si>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</si>
  <si>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</si>
  <si>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</si>
  <si>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</si>
  <si>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</si>
  <si>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</si>
  <si>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</si>
  <si>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</si>
  <si>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</si>
  <si>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</si>
  <si>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</si>
  <si>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</si>
  <si>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</si>
  <si>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</si>
  <si>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</si>
  <si>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</si>
  <si>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</si>
  <si>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</si>
  <si>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Arshad Atari//</t>
  </si>
  <si>
    <t>Master Arshad</t>
  </si>
  <si>
    <t>CAF 442</t>
  </si>
  <si>
    <t>kora Transport</t>
  </si>
  <si>
    <t>Tanveer sb advance</t>
  </si>
  <si>
    <t>Master Tanveer</t>
  </si>
  <si>
    <t>puncture</t>
  </si>
  <si>
    <t>AS Traders</t>
  </si>
  <si>
    <t>PVA</t>
  </si>
  <si>
    <t>bearings</t>
  </si>
  <si>
    <t>LRO 6613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</si>
</sst>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3">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4" fontId="0" fillId="0" borderId="7" xfId="0" applyNumberFormat="1" applyFont="1" applyBorder="1"/>
    <xf numFmtId="14" fontId="0" fillId="0" borderId="8" xfId="0" applyNumberFormat="1" applyFont="1" applyBorder="1"/>
    <xf numFmtId="0" fontId="0" fillId="0" borderId="0" xfId="0" applyBorder="1"/>
    <xf numFmtId="0" fontId="0" fillId="0" borderId="0" xfId="0" applyBorder="1" applyAlignment="1">
      <alignment horizontal="center"/>
    </xf>
  </cellXfs>
  <cellStyles count="2">
    <cellStyle name="Comma" xfId="1" builtinId="3"/>
    <cellStyle name="Normal" xfId="0" builtinId="0"/>
  </cellStyles>
  <dxfs count="126">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ustomXml" Target="../customXml/item1.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893490</xdr:colOff>
      <xdr:row>109</xdr:row>
      <xdr:rowOff>172006</xdr:rowOff>
    </xdr:from>
    <xdr:to>
      <xdr:col>15</xdr:col>
      <xdr:colOff>1085846</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347936</xdr:colOff>
      <xdr:row>14</xdr:row>
      <xdr:rowOff>54325</xdr:rowOff>
    </xdr:from>
    <xdr:to>
      <xdr:col>13</xdr:col>
      <xdr:colOff>130189</xdr:colOff>
      <xdr:row>21</xdr:row>
      <xdr:rowOff>167678</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078475" y="2626075"/>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s>
    <sheetDataSet>
      <sheetData sheetId="0">
        <row r="5">
          <cell r="O5" t="str">
            <v>BSC</v>
          </cell>
          <cell r="P5">
            <v>1186829</v>
          </cell>
          <cell r="Q5">
            <v>1085249.6342355525</v>
          </cell>
          <cell r="R5">
            <v>1070697.6956839797</v>
          </cell>
          <cell r="S5">
            <v>14551.938551572788</v>
          </cell>
          <cell r="T5">
            <v>10706976.956839796</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sheetData>
      <sheetData sheetId="1"/>
      <sheetData sheetId="2"/>
      <sheetData sheetId="3"/>
      <sheetData sheetId="4"/>
      <sheetData sheetId="5"/>
      <sheetData sheetId="6"/>
      <sheetData sheetId="7">
        <row r="10">
          <cell r="R10">
            <v>-41752</v>
          </cell>
        </row>
        <row r="11">
          <cell r="R11">
            <v>12665</v>
          </cell>
        </row>
      </sheetData>
      <sheetData sheetId="8"/>
      <sheetData sheetId="9"/>
      <sheetData sheetId="10"/>
      <sheetData sheetId="11"/>
      <sheetData sheetId="12"/>
      <sheetData sheetId="13"/>
      <sheetData sheetId="14"/>
      <sheetData sheetId="15"/>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1.084478935183" createdVersion="8" refreshedVersion="8" minRefreshableVersion="3" recordCount="70" xr:uid="{B5BDFB73-D93A-4A7A-8149-666BC190B09B}">
  <cacheSource type="worksheet">
    <worksheetSource name="Table14"/>
  </cacheSource>
  <cacheFields count="7">
    <cacheField name="Date" numFmtId="14">
      <sharedItems containsSemiMixedTypes="0" containsNonDate="0" containsDate="1" containsString="0" minDate="2025-09-16T00:00:00" maxDate="2025-09-21T00:00:00"/>
    </cacheField>
    <cacheField name="Party" numFmtId="0">
      <sharedItems containsBlank="1" count="39">
        <s v="Closing August CF"/>
        <s v="Ejaz Sahab"/>
        <s v="Malik Zaheer"/>
        <s v="Hafiz Qureshi"/>
        <s v="Arshad"/>
        <s v="Misc"/>
        <s v="Omer"/>
        <s v="Advance Salary"/>
        <s v="BSC"/>
        <s v="Transport"/>
        <s v="Dasti"/>
        <s v="Parts"/>
        <s v="Salary"/>
        <s v="Dyes"/>
        <s v="Rafaqat"/>
        <s v="Azam"/>
        <s v="Sufi Nawaz Sahab"/>
        <s v="Rashan"/>
        <m u="1"/>
        <s v="Closing July CF" u="1"/>
        <s v="Sajad Khan" u="1"/>
        <s v="Chemicals" u="1"/>
        <s v="Unicolour" u="1"/>
        <s v="Raaz" u="1"/>
        <s v="Faysal Akraam" u="1"/>
        <s v="Cash" u="1"/>
        <s v="Diesel" u="1"/>
        <s v="Old Bill" u="1"/>
        <s v="Finish" u="1"/>
        <s v="temp" u="1"/>
        <s v="temp (Ashfaq Sahab)" u="1"/>
        <s v="Ubaidullah" u="1"/>
        <s v="Salary " u="1"/>
        <s v="Aqib" u="1"/>
        <s v="Raaz fabrics" u="1"/>
        <s v="Shehzad Kamoki" u="1"/>
        <s v="Toll" u="1"/>
        <s v="Self" u="1"/>
        <s v="Aqib Freight" u="1"/>
      </sharedItems>
    </cacheField>
    <cacheField name="Debit" numFmtId="164">
      <sharedItems containsString="0" containsBlank="1" containsNumber="1" containsInteger="1" minValue="200" maxValue="280516"/>
    </cacheField>
    <cacheField name="Credit" numFmtId="164">
      <sharedItems containsString="0" containsBlank="1" containsNumber="1" containsInteger="1" minValue="-41752" maxValue="315000"/>
    </cacheField>
    <cacheField name="Description" numFmtId="0">
      <sharedItems containsBlank="1"/>
    </cacheField>
    <cacheField name="Mode" numFmtId="0">
      <sharedItems/>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1.084479282406"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Azam"/>
        <s v="Ubaidullah"/>
        <s v="Ashraf Zia"/>
        <s v="Hafiz Qureshi"/>
        <n v="0"/>
      </sharedItems>
    </cacheField>
    <cacheField name="Tiyaar" numFmtId="1">
      <sharedItems containsSemiMixedTypes="0" containsString="0" containsNumber="1" minValue="0" maxValue="66983.357717629857"/>
    </cacheField>
    <cacheField name="Rate" numFmtId="0">
      <sharedItems containsString="0" containsBlank="1" containsNumber="1" minValue="10" maxValue="12"/>
    </cacheField>
    <cacheField name="Total" numFmtId="164">
      <sharedItems containsSemiMixedTypes="0" containsString="0" containsNumber="1" minValue="0" maxValue="669833.577176298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1.084479398145" createdVersion="8" refreshedVersion="8" minRefreshableVersion="3" recordCount="2" xr:uid="{AC867DCC-CE64-4D1A-827D-F1F3EE10EE4E}">
  <cacheSource type="worksheet">
    <worksheetSource name="Table8"/>
  </cacheSource>
  <cacheFields count="9">
    <cacheField name="Date" numFmtId="14">
      <sharedItems containsSemiMixedTypes="0" containsNonDate="0" containsDate="1" containsString="0" minDate="2025-05-16T00:00:00" maxDate="2025-09-20T00:00:00" count="21">
        <d v="2025-09-16T00:00:00"/>
        <d v="2025-09-19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NonDate="0" containsString="0" containsBlank="1"/>
    </cacheField>
    <cacheField name="Rate" numFmtId="0">
      <sharedItems containsNonDate="0" containsString="0" containsBlank="1"/>
    </cacheField>
    <cacheField name="Price" numFmtId="0">
      <sharedItems containsString="0" containsBlank="1" containsNumber="1" containsInteger="1" minValue="121000" maxValue="121000"/>
    </cacheField>
    <cacheField name="Party" numFmtId="0">
      <sharedItems containsBlank="1" count="3">
        <s v="Unicolour"/>
        <m/>
        <s v="-" u="1"/>
      </sharedItems>
    </cacheField>
    <cacheField name="Paid" numFmtId="0">
      <sharedItems containsString="0" containsBlank="1" containsNumber="1" containsInteger="1" minValue="121000" maxValue="121000"/>
    </cacheField>
    <cacheField name="Balance" numFmtId="0">
      <sharedItems containsSemiMixedTypes="0" containsString="0" containsNumber="1" containsInteger="1" minValue="0" maxValue="708000"/>
    </cacheField>
    <cacheField name="info"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1.08447962963" createdVersion="8" refreshedVersion="8" minRefreshableVersion="3" recordCount="20" xr:uid="{3E5C2981-ACF5-44A9-8567-B1D65DB3A8D2}">
  <cacheSource type="worksheet">
    <worksheetSource name="Table3"/>
  </cacheSource>
  <cacheFields count="9">
    <cacheField name="Date" numFmtId="14">
      <sharedItems containsNonDate="0" containsDate="1" containsString="0" containsBlank="1" minDate="2025-05-02T00:00:00" maxDate="2025-09-21T00:00:00" count="57">
        <d v="2025-09-16T00:00:00"/>
        <d v="2025-09-17T00:00:00"/>
        <d v="2025-09-18T00:00:00"/>
        <d v="2025-09-19T00:00:00"/>
        <d v="2025-09-20T00:00:00"/>
        <m/>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s v="Aqib Freight" u="1"/>
      </sharedItems>
    </cacheField>
    <cacheField name="Vehicle Number" numFmtId="0">
      <sharedItems containsBlank="1" containsMixedTypes="1" containsNumber="1" containsInteger="1" minValue="31" maxValue="9940" count="49">
        <s v="Closing Balance CF"/>
        <n v="112"/>
        <n v="1435"/>
        <m/>
        <n v="4646"/>
        <n v="1196"/>
        <n v="4366"/>
        <n v="442"/>
        <n v="6691" u="1"/>
        <n v="1055" u="1"/>
        <n v="8395" u="1"/>
        <n v="3229" u="1"/>
        <n v="4649" u="1"/>
        <n v="52" u="1"/>
        <n v="739" u="1"/>
        <n v="1288" u="1"/>
        <n v="5045" u="1"/>
        <n v="561" u="1"/>
        <n v="447" u="1"/>
        <n v="5946" u="1"/>
        <n v="1910" u="1"/>
        <n v="7286" u="1"/>
        <n v="1961" u="1"/>
        <n v="8141" u="1"/>
        <n v="3220" u="1"/>
        <n v="5679" u="1"/>
        <n v="9373" u="1"/>
        <n v="160" u="1"/>
        <n v="1973" u="1"/>
        <n v="9940" u="1"/>
        <n v="685"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287"/>
    </cacheField>
    <cacheField name="Rate" numFmtId="164">
      <sharedItems containsString="0" containsBlank="1" containsNumber="1" containsInteger="1" minValue="550" maxValue="810"/>
    </cacheField>
    <cacheField name="Rent" numFmtId="164">
      <sharedItems containsString="0" containsBlank="1" containsNumber="1" containsInteger="1" minValue="30385" maxValue="43000"/>
    </cacheField>
    <cacheField name="Total" numFmtId="164">
      <sharedItems containsSemiMixedTypes="0" containsString="0" containsNumber="1" containsInteger="1" minValue="0" maxValue="219555"/>
    </cacheField>
    <cacheField name="Paid" numFmtId="164">
      <sharedItems containsString="0" containsBlank="1" containsNumber="1" containsInteger="1" minValue="0" maxValue="361826"/>
    </cacheField>
    <cacheField name="balance" numFmtId="164">
      <sharedItems containsSemiMixedTypes="0" containsString="0" containsNumber="1" containsInteger="1" minValue="-169856"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1.084479745368" createdVersion="8" refreshedVersion="8" minRefreshableVersion="3" recordCount="34" xr:uid="{46CBB50D-3613-4E5B-8212-DD0313DCD05A}">
  <cacheSource type="worksheet">
    <worksheetSource name="Table1"/>
  </cacheSource>
  <cacheFields count="14">
    <cacheField name="Date" numFmtId="0">
      <sharedItems containsNonDate="0" containsDate="1" containsString="0" containsBlank="1" minDate="2025-07-25T00:00:00" maxDate="2025-09-21T00:00:00" count="47">
        <d v="2025-09-16T00:00:00"/>
        <d v="2025-09-17T00:00:00"/>
        <d v="2025-09-18T00:00:00"/>
        <d v="2025-09-19T00:00:00"/>
        <d v="2025-08-19T00:00:00"/>
        <d v="2025-09-20T00:00:00"/>
        <m/>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Azam"/>
        <s v="Ubaidullah"/>
        <s v="Ashraf Zia"/>
        <s v="Hafiz Qureshi"/>
        <m/>
        <s v="YING" u="1"/>
        <s v="Meow" u="1"/>
        <s v="Umer Sb" u="1"/>
        <s v="-" u="1"/>
        <s v="Sajjad" u="1"/>
        <s v="Haji Ejaz" u="1"/>
      </sharedItems>
    </cacheField>
    <cacheField name="Bill Number" numFmtId="0">
      <sharedItems containsBlank="1" containsMixedTypes="1" containsNumber="1" containsInteger="1" minValue="604" maxValue="854" count="240">
        <s v="August Closing CF"/>
        <n v="835"/>
        <n v="836"/>
        <n v="837"/>
        <n v="838"/>
        <n v="839"/>
        <n v="840"/>
        <n v="841"/>
        <n v="842"/>
        <n v="843"/>
        <n v="844"/>
        <n v="845"/>
        <n v="846"/>
        <n v="847"/>
        <n v="848"/>
        <n v="849"/>
        <n v="850"/>
        <n v="851"/>
        <n v="852"/>
        <n v="853"/>
        <n v="854"/>
        <m/>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String="0" containsBlank="1" containsNumber="1" containsInteger="1" minValue="1558" maxValue="17000" count="118">
        <m/>
        <n v="1708"/>
        <n v="1720"/>
        <n v="1723"/>
        <n v="1724"/>
        <n v="1714"/>
        <n v="1690"/>
        <n v="1716"/>
        <n v="1696"/>
        <n v="1694"/>
        <n v="1687"/>
        <n v="1719"/>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2911" maxValue="34908"/>
    </cacheField>
    <cacheField name="Tiyaar/gaz" numFmtId="164">
      <sharedItems containsString="0" containsBlank="1" containsNumber="1" containsInteger="1" minValue="2190" maxValue="37420"/>
    </cacheField>
    <cacheField name="shortage %" numFmtId="165">
      <sharedItems containsMixedTypes="1" containsNumber="1" minValue="-0.4176927646869899" maxValue="92.76503260759533"/>
    </cacheField>
    <cacheField name="tiyar/meters" numFmtId="165">
      <sharedItems containsString="0" containsBlank="1" containsNumber="1" minValue="0" maxValue="1070697.6956839797"/>
    </cacheField>
    <cacheField name="billing" numFmtId="165">
      <sharedItems containsMixedTypes="1" containsNumber="1" minValue="0" maxValue="10706976.956839796"/>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1.084480324076" createdVersion="8" refreshedVersion="8" minRefreshableVersion="3" recordCount="4" xr:uid="{376A650C-1F79-4049-BC45-E34989F046B2}">
  <cacheSource type="worksheet">
    <worksheetSource name="Table2"/>
  </cacheSource>
  <cacheFields count="8">
    <cacheField name="Date" numFmtId="14">
      <sharedItems containsNonDate="0" containsDate="1" containsString="0" containsBlank="1" minDate="2025-09-16T00:00:00" maxDate="2025-09-21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NonDate="0" containsString="0" containsBlank="1"/>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625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
  <r>
    <d v="2025-09-16T00:00:00"/>
    <x v="0"/>
    <m/>
    <n v="-41752"/>
    <m/>
    <s v="Bank"/>
    <m/>
  </r>
  <r>
    <d v="2025-09-16T00:00:00"/>
    <x v="0"/>
    <m/>
    <n v="12665"/>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m/>
    <s v="Bank"/>
    <m/>
  </r>
  <r>
    <d v="2025-09-17T00:00:00"/>
    <x v="13"/>
    <n v="47000"/>
    <m/>
    <m/>
    <s v="Bank"/>
    <m/>
  </r>
  <r>
    <d v="2025-09-17T00:00:00"/>
    <x v="11"/>
    <n v="1200"/>
    <m/>
    <m/>
    <s v="Bank"/>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21000"/>
    <s v="1mil "/>
    <s v="Bank"/>
    <m/>
  </r>
  <r>
    <d v="2025-09-19T00:00:00"/>
    <x v="13"/>
    <n v="121000"/>
    <m/>
    <s v="BP26"/>
    <s v="Bank"/>
    <m/>
  </r>
  <r>
    <d v="2025-09-19T00:00:00"/>
    <x v="11"/>
    <n v="1371"/>
    <m/>
    <s v="Diesel"/>
    <s v="Bank"/>
    <m/>
  </r>
  <r>
    <d v="2025-09-19T00:00:00"/>
    <x v="5"/>
    <n v="780"/>
    <m/>
    <s v="cobra spray"/>
    <s v="Cash"/>
    <m/>
  </r>
  <r>
    <d v="2025-09-19T00:00:00"/>
    <x v="17"/>
    <n v="11185"/>
    <m/>
    <s v="5 days"/>
    <s v="Bank"/>
    <m/>
  </r>
  <r>
    <d v="2025-09-19T00:00:00"/>
    <x v="4"/>
    <m/>
    <n v="84190"/>
    <s v="BAHL"/>
    <s v="Bank"/>
    <m/>
  </r>
  <r>
    <d v="2025-09-19T00:00:00"/>
    <x v="11"/>
    <n v="8230"/>
    <m/>
    <s v="Diesel"/>
    <s v="Bank"/>
    <m/>
  </r>
  <r>
    <d v="2025-09-19T00:00:00"/>
    <x v="9"/>
    <n v="2500"/>
    <m/>
    <s v="dyes rent"/>
    <s v="Cash"/>
    <m/>
  </r>
  <r>
    <d v="2025-09-19T00:00:00"/>
    <x v="9"/>
    <n v="5330"/>
    <m/>
    <s v="petrol"/>
    <s v="Cash"/>
    <m/>
  </r>
  <r>
    <d v="2025-09-19T00:00:00"/>
    <x v="8"/>
    <m/>
    <n v="24480"/>
    <m/>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16"/>
    <m/>
    <n v="240000"/>
    <s v="Arshad Atari//"/>
    <s v="Cash"/>
    <m/>
  </r>
  <r>
    <d v="2025-09-20T00:00:00"/>
    <x v="8"/>
    <m/>
    <n v="8140"/>
    <m/>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48587.234820775426"/>
    <n v="10"/>
    <n v="485872.34820775426"/>
  </r>
  <r>
    <x v="1"/>
    <n v="0"/>
    <n v="10"/>
    <n v="0"/>
  </r>
  <r>
    <x v="2"/>
    <n v="0"/>
    <n v="10"/>
    <n v="0"/>
  </r>
  <r>
    <x v="3"/>
    <n v="0"/>
    <n v="10.5"/>
    <n v="0"/>
  </r>
  <r>
    <x v="4"/>
    <n v="48942.026335040238"/>
    <n v="10"/>
    <n v="587304.31602048292"/>
  </r>
  <r>
    <x v="5"/>
    <n v="25235.00365764448"/>
    <n v="10"/>
    <n v="252350.03657644481"/>
  </r>
  <r>
    <x v="6"/>
    <n v="0"/>
    <n v="10"/>
    <n v="0"/>
  </r>
  <r>
    <x v="7"/>
    <n v="66983.357717629857"/>
    <n v="10"/>
    <n v="669833.5771762986"/>
  </r>
  <r>
    <x v="8"/>
    <n v="15599.853694220923"/>
    <n v="10"/>
    <n v="155998.53694220923"/>
  </r>
  <r>
    <x v="9"/>
    <n v="0"/>
    <n v="12"/>
    <n v="0"/>
  </r>
  <r>
    <x v="10"/>
    <n v="0"/>
    <m/>
    <n v="0"/>
  </r>
  <r>
    <x v="11"/>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s v="Dyes"/>
    <m/>
    <m/>
    <m/>
    <x v="0"/>
    <m/>
    <n v="708000"/>
    <s v="August closing CF"/>
  </r>
  <r>
    <x v="1"/>
    <s v="NP9"/>
    <m/>
    <m/>
    <n v="121000"/>
    <x v="1"/>
    <n v="121000"/>
    <n v="0"/>
    <s v="NP9+Rubine B"/>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3"/>
    <x v="3"/>
    <m/>
    <m/>
    <m/>
    <n v="0"/>
    <m/>
    <n v="0"/>
  </r>
  <r>
    <x v="5"/>
    <x v="3"/>
    <x v="3"/>
    <m/>
    <m/>
    <m/>
    <n v="0"/>
    <m/>
    <n v="0"/>
  </r>
  <r>
    <x v="5"/>
    <x v="3"/>
    <x v="3"/>
    <m/>
    <m/>
    <m/>
    <n v="0"/>
    <m/>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
  <r>
    <x v="0"/>
    <x v="0"/>
    <x v="0"/>
    <s v="Chamki"/>
    <x v="0"/>
    <m/>
    <m/>
    <e v="#DIV/0!"/>
    <n v="1070697.6956839797"/>
    <n v="10706976.956839796"/>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92.76503260759533"/>
    <n v="2414.9597659107535"/>
    <n v="24149.597659107534"/>
    <m/>
  </r>
  <r>
    <x v="4"/>
    <x v="0"/>
    <x v="11"/>
    <s v="Chamki"/>
    <x v="7"/>
    <m/>
    <m/>
    <e v="#DIV/0!"/>
    <n v="0"/>
    <n v="0"/>
    <m/>
  </r>
  <r>
    <x v="4"/>
    <x v="5"/>
    <x v="12"/>
    <s v="Chamki"/>
    <x v="10"/>
    <n v="25625"/>
    <n v="2190"/>
    <n v="92.185130337038558"/>
    <n v="2002.56035113387"/>
    <n v="20025.603511338701"/>
    <m/>
  </r>
  <r>
    <x v="3"/>
    <x v="0"/>
    <x v="13"/>
    <s v="Chamki"/>
    <x v="11"/>
    <n v="30808"/>
    <n v="26284"/>
    <n v="1.557148819115568"/>
    <n v="24034.381858083398"/>
    <n v="240343.81858083396"/>
    <m/>
  </r>
  <r>
    <x v="3"/>
    <x v="2"/>
    <x v="14"/>
    <s v="Chamki"/>
    <x v="7"/>
    <m/>
    <m/>
    <e v="#DIV/0!"/>
    <m/>
    <n v="0"/>
    <m/>
  </r>
  <r>
    <x v="5"/>
    <x v="0"/>
    <x v="15"/>
    <s v="Chamki"/>
    <x v="11"/>
    <n v="30808"/>
    <n v="6883"/>
    <n v="1.557148819115568"/>
    <m/>
    <n v="0"/>
    <m/>
  </r>
  <r>
    <x v="5"/>
    <x v="0"/>
    <x v="16"/>
    <s v="Chamki"/>
    <x v="7"/>
    <m/>
    <m/>
    <e v="#DIV/0!"/>
    <m/>
    <n v="0"/>
    <m/>
  </r>
  <r>
    <x v="5"/>
    <x v="0"/>
    <x v="17"/>
    <s v="Chamki"/>
    <x v="7"/>
    <m/>
    <m/>
    <e v="#DIV/0!"/>
    <m/>
    <n v="0"/>
    <m/>
  </r>
  <r>
    <x v="5"/>
    <x v="7"/>
    <x v="18"/>
    <s v="Chamki"/>
    <x v="9"/>
    <n v="33379"/>
    <n v="10423"/>
    <n v="92.76503260759533"/>
    <m/>
    <n v="0"/>
    <m/>
  </r>
  <r>
    <x v="5"/>
    <x v="7"/>
    <x v="19"/>
    <s v="Chamki"/>
    <x v="9"/>
    <n v="33379"/>
    <n v="22769"/>
    <n v="92.76503260759533"/>
    <m/>
    <n v="0"/>
    <m/>
  </r>
  <r>
    <x v="5"/>
    <x v="5"/>
    <x v="20"/>
    <s v="Chamki"/>
    <x v="10"/>
    <n v="25625"/>
    <n v="25407"/>
    <n v="92.185130337038558"/>
    <m/>
    <n v="0"/>
    <m/>
  </r>
  <r>
    <x v="6"/>
    <x v="11"/>
    <x v="21"/>
    <m/>
    <x v="0"/>
    <m/>
    <m/>
    <e v="#DIV/0!"/>
    <m/>
    <e v="#N/A"/>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d v="2025-09-16T00:00:00"/>
    <x v="0"/>
    <s v="August Closing CF"/>
    <m/>
    <m/>
    <n v="0"/>
    <n v="0"/>
    <n v="310500"/>
  </r>
  <r>
    <d v="2025-09-16T00:00:00"/>
    <x v="1"/>
    <s v="August Closing CF"/>
    <m/>
    <m/>
    <n v="0"/>
    <n v="0"/>
    <n v="-5000"/>
  </r>
  <r>
    <d v="2025-09-20T00:00:00"/>
    <x v="2"/>
    <s v="PVA"/>
    <m/>
    <n v="250"/>
    <n v="62500"/>
    <n v="0"/>
    <n v="62500"/>
  </r>
  <r>
    <m/>
    <x v="3"/>
    <m/>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10"/>
        <item x="8"/>
        <item x="9"/>
        <item x="7"/>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25">
      <pivotArea field="0" grandRow="1" outline="0" collapsedLevelsAreSubtotals="1" axis="axisRow" fieldPosition="0">
        <references count="1">
          <reference field="4294967294" count="1" selected="0">
            <x v="1"/>
          </reference>
        </references>
      </pivotArea>
    </format>
    <format dxfId="124">
      <pivotArea field="0" grandRow="1" outline="0" collapsedLevelsAreSubtotals="1" axis="axisRow" fieldPosition="0">
        <references count="1">
          <reference field="4294967294" count="1" selected="0">
            <x v="0"/>
          </reference>
        </references>
      </pivotArea>
    </format>
    <format dxfId="123">
      <pivotArea collapsedLevelsAreSubtotals="1" fieldPosition="0">
        <references count="2">
          <reference field="4294967294" count="1" selected="0">
            <x v="1"/>
          </reference>
          <reference field="0" count="0"/>
        </references>
      </pivotArea>
    </format>
    <format dxfId="122">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42:G65" firstHeaderRow="0" firstDataRow="1" firstDataCol="1" rowPageCount="3" colPageCount="1"/>
  <pivotFields count="14">
    <pivotField axis="axisPage" showAll="0">
      <items count="48">
        <item m="1" x="31"/>
        <item m="1" x="32"/>
        <item m="1" x="33"/>
        <item m="1" x="34"/>
        <item m="1" x="35"/>
        <item m="1" x="36"/>
        <item m="1" x="46"/>
        <item m="1" x="37"/>
        <item m="1" x="38"/>
        <item m="1" x="39"/>
        <item m="1" x="40"/>
        <item m="1" x="41"/>
        <item m="1" x="42"/>
        <item m="1" x="43"/>
        <item m="1" x="44"/>
        <item m="1" x="45"/>
        <item m="1" x="8"/>
        <item m="1" x="7"/>
        <item x="4"/>
        <item m="1" x="9"/>
        <item m="1" x="10"/>
        <item m="1" x="11"/>
        <item m="1" x="12"/>
        <item m="1" x="13"/>
        <item m="1" x="14"/>
        <item m="1" x="15"/>
        <item m="1" x="16"/>
        <item m="1" x="17"/>
        <item m="1" x="18"/>
        <item m="1" x="19"/>
        <item m="1" x="20"/>
        <item m="1" x="21"/>
        <item m="1" x="22"/>
        <item m="1" x="23"/>
        <item m="1" x="24"/>
        <item m="1" x="25"/>
        <item m="1" x="26"/>
        <item m="1" x="27"/>
        <item m="1" x="28"/>
        <item m="1" x="29"/>
        <item m="1" x="30"/>
        <item x="0"/>
        <item x="1"/>
        <item x="2"/>
        <item x="3"/>
        <item x="5"/>
        <item x="6"/>
        <item t="default"/>
      </items>
    </pivotField>
    <pivotField axis="axisPage" multipleItemSelectionAllowed="1" showAll="0">
      <items count="19">
        <item x="2"/>
        <item x="0"/>
        <item m="1" x="17"/>
        <item x="6"/>
        <item m="1" x="16"/>
        <item m="1" x="15"/>
        <item m="1" x="14"/>
        <item x="1"/>
        <item x="3"/>
        <item m="1" x="13"/>
        <item x="4"/>
        <item m="1" x="12"/>
        <item x="11"/>
        <item x="5"/>
        <item x="10"/>
        <item x="8"/>
        <item x="9"/>
        <item x="7"/>
        <item t="default"/>
      </items>
    </pivotField>
    <pivotField axis="axisRow" numFmtId="164" showAll="0">
      <items count="24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130"/>
        <item m="1" x="131"/>
        <item m="1" x="132"/>
        <item m="1" x="133"/>
        <item m="1" x="134"/>
        <item m="1" x="135"/>
        <item m="1" x="136"/>
        <item m="1" x="137"/>
        <item m="1" x="138"/>
        <item m="1" x="139"/>
        <item m="1" x="140"/>
        <item m="1" x="141"/>
        <item m="1" x="142"/>
        <item m="1" x="143"/>
        <item m="1" x="144"/>
        <item m="1" x="145"/>
        <item m="1" x="146"/>
        <item m="1" x="147"/>
        <item m="1" x="176"/>
        <item m="1" x="148"/>
        <item m="1" x="149"/>
        <item m="1" x="150"/>
        <item m="1" x="151"/>
        <item m="1" x="152"/>
        <item m="1" x="153"/>
        <item m="1" x="165"/>
        <item m="1" x="154"/>
        <item m="1" x="155"/>
        <item m="1" x="156"/>
        <item m="1" x="157"/>
        <item m="1" x="158"/>
        <item m="1" x="159"/>
        <item m="1" x="160"/>
        <item m="1" x="161"/>
        <item m="1" x="162"/>
        <item m="1" x="163"/>
        <item m="1" x="164"/>
        <item m="1" x="166"/>
        <item m="1" x="167"/>
        <item m="1" x="168"/>
        <item m="1" x="169"/>
        <item m="1" x="170"/>
        <item m="1" x="171"/>
        <item m="1" x="172"/>
        <item m="1" x="173"/>
        <item m="1" x="174"/>
        <item m="1" x="175"/>
        <item m="1" x="177"/>
        <item m="1" x="178"/>
        <item m="1" x="179"/>
        <item m="1" x="180"/>
        <item m="1" x="181"/>
        <item m="1" x="182"/>
        <item m="1" x="183"/>
        <item m="1" x="184"/>
        <item m="1" x="185"/>
        <item m="1" x="186"/>
        <item m="1" x="187"/>
        <item m="1" x="188"/>
        <item m="1" x="189"/>
        <item m="1" x="190"/>
        <item m="1" x="191"/>
        <item m="1" x="22"/>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23"/>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20"/>
        <item m="1" x="121"/>
        <item m="1" x="122"/>
        <item m="1" x="119"/>
        <item m="1" x="123"/>
        <item m="1" x="124"/>
        <item m="1" x="125"/>
        <item m="1" x="126"/>
        <item m="1" x="127"/>
        <item m="1" x="128"/>
        <item m="1" x="129"/>
        <item x="0"/>
        <item x="1"/>
        <item x="2"/>
        <item x="3"/>
        <item x="4"/>
        <item x="5"/>
        <item x="6"/>
        <item x="7"/>
        <item x="8"/>
        <item x="9"/>
        <item x="10"/>
        <item x="11"/>
        <item x="12"/>
        <item x="13"/>
        <item x="14"/>
        <item x="21"/>
        <item x="15"/>
        <item x="16"/>
        <item x="17"/>
        <item x="18"/>
        <item x="19"/>
        <item x="20"/>
        <item t="default"/>
      </items>
    </pivotField>
    <pivotField showAll="0"/>
    <pivotField axis="axisPage" multipleItemSelectionAllowed="1" showAll="0">
      <items count="119">
        <item m="1" x="72"/>
        <item m="1" x="101"/>
        <item m="1" x="102"/>
        <item m="1" x="110"/>
        <item m="1" x="100"/>
        <item m="1" x="99"/>
        <item m="1" x="103"/>
        <item m="1" x="114"/>
        <item m="1" x="106"/>
        <item m="1" x="107"/>
        <item m="1" x="104"/>
        <item m="1" x="105"/>
        <item m="1" x="115"/>
        <item m="1" x="108"/>
        <item m="1" x="109"/>
        <item m="1" x="112"/>
        <item m="1" x="113"/>
        <item m="1" x="111"/>
        <item m="1" x="67"/>
        <item m="1" x="117"/>
        <item m="1" x="66"/>
        <item m="1" x="116"/>
        <item m="1" x="69"/>
        <item m="1" x="68"/>
        <item m="1" x="70"/>
        <item m="1" x="76"/>
        <item m="1" x="71"/>
        <item m="1" x="73"/>
        <item m="1" x="77"/>
        <item m="1" x="78"/>
        <item m="1" x="97"/>
        <item m="1" x="74"/>
        <item m="1" x="75"/>
        <item m="1" x="37"/>
        <item m="1" x="59"/>
        <item m="1" x="98"/>
        <item m="1" x="79"/>
        <item m="1" x="80"/>
        <item m="1" x="81"/>
        <item m="1" x="82"/>
        <item m="1" x="83"/>
        <item m="1" x="13"/>
        <item m="1" x="84"/>
        <item m="1" x="85"/>
        <item m="1" x="86"/>
        <item m="1" x="87"/>
        <item m="1" x="88"/>
        <item m="1" x="89"/>
        <item m="1" x="90"/>
        <item m="1" x="91"/>
        <item m="1" x="92"/>
        <item m="1" x="93"/>
        <item m="1" x="94"/>
        <item m="1" x="95"/>
        <item m="1" x="96"/>
        <item x="0"/>
        <item m="1" x="12"/>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8"/>
        <item m="1" x="39"/>
        <item m="1" x="40"/>
        <item m="1" x="41"/>
        <item m="1" x="42"/>
        <item m="1" x="43"/>
        <item m="1" x="44"/>
        <item m="1" x="45"/>
        <item m="1" x="46"/>
        <item m="1" x="47"/>
        <item m="1" x="48"/>
        <item m="1" x="49"/>
        <item m="1" x="50"/>
        <item m="1" x="51"/>
        <item m="1" x="52"/>
        <item m="1" x="53"/>
        <item m="1" x="54"/>
        <item m="1" x="55"/>
        <item m="1" x="56"/>
        <item m="1" x="57"/>
        <item m="1" x="58"/>
        <item m="1" x="60"/>
        <item m="1" x="61"/>
        <item m="1" x="62"/>
        <item m="1" x="63"/>
        <item m="1" x="64"/>
        <item m="1" x="65"/>
        <item x="1"/>
        <item x="2"/>
        <item x="3"/>
        <item x="4"/>
        <item x="5"/>
        <item x="6"/>
        <item x="7"/>
        <item x="8"/>
        <item x="9"/>
        <item x="10"/>
        <item x="11"/>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23">
    <i>
      <x v="218"/>
    </i>
    <i>
      <x v="219"/>
    </i>
    <i>
      <x v="220"/>
    </i>
    <i>
      <x v="221"/>
    </i>
    <i>
      <x v="222"/>
    </i>
    <i>
      <x v="223"/>
    </i>
    <i>
      <x v="224"/>
    </i>
    <i>
      <x v="225"/>
    </i>
    <i>
      <x v="226"/>
    </i>
    <i>
      <x v="227"/>
    </i>
    <i>
      <x v="228"/>
    </i>
    <i>
      <x v="229"/>
    </i>
    <i>
      <x v="230"/>
    </i>
    <i>
      <x v="231"/>
    </i>
    <i>
      <x v="232"/>
    </i>
    <i>
      <x v="233"/>
    </i>
    <i>
      <x v="234"/>
    </i>
    <i>
      <x v="235"/>
    </i>
    <i>
      <x v="236"/>
    </i>
    <i>
      <x v="237"/>
    </i>
    <i>
      <x v="238"/>
    </i>
    <i>
      <x v="239"/>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2:K50" firstHeaderRow="0" firstDataRow="1" firstDataCol="1"/>
  <pivotFields count="14">
    <pivotField axis="axisRow" numFmtId="14" showAll="0">
      <items count="48">
        <item m="1" x="31"/>
        <item m="1" x="32"/>
        <item m="1" x="33"/>
        <item m="1" x="34"/>
        <item m="1" x="35"/>
        <item m="1" x="36"/>
        <item m="1" x="46"/>
        <item m="1" x="37"/>
        <item m="1" x="38"/>
        <item m="1" x="39"/>
        <item m="1" x="40"/>
        <item m="1" x="41"/>
        <item m="1" x="42"/>
        <item m="1" x="43"/>
        <item m="1" x="44"/>
        <item m="1" x="45"/>
        <item m="1" x="8"/>
        <item m="1" x="7"/>
        <item x="4"/>
        <item m="1" x="9"/>
        <item m="1" x="10"/>
        <item m="1" x="11"/>
        <item m="1" x="12"/>
        <item m="1" x="13"/>
        <item m="1" x="14"/>
        <item m="1" x="15"/>
        <item m="1" x="16"/>
        <item m="1" x="17"/>
        <item m="1" x="18"/>
        <item m="1" x="19"/>
        <item m="1" x="20"/>
        <item m="1" x="21"/>
        <item m="1" x="22"/>
        <item m="1" x="23"/>
        <item m="1" x="24"/>
        <item m="1" x="25"/>
        <item m="1" x="26"/>
        <item m="1" x="27"/>
        <item m="1" x="28"/>
        <item m="1" x="29"/>
        <item m="1" x="30"/>
        <item x="0"/>
        <item x="1"/>
        <item x="2"/>
        <item x="3"/>
        <item x="5"/>
        <item x="6"/>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8">
    <i>
      <x v="18"/>
    </i>
    <i>
      <x v="41"/>
    </i>
    <i>
      <x v="42"/>
    </i>
    <i>
      <x v="43"/>
    </i>
    <i>
      <x v="44"/>
    </i>
    <i>
      <x v="45"/>
    </i>
    <i>
      <x v="46"/>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1">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25:I44" firstHeaderRow="0" firstDataRow="1" firstDataCol="1" rowPageCount="1" colPageCount="1"/>
  <pivotFields count="9">
    <pivotField axis="axisRow" numFmtId="14" showAll="0">
      <items count="58">
        <item m="1" x="41"/>
        <item m="1" x="42"/>
        <item m="1" x="43"/>
        <item m="1" x="44"/>
        <item m="1" x="45"/>
        <item m="1" x="46"/>
        <item m="1" x="47"/>
        <item m="1" x="56"/>
        <item m="1" x="37"/>
        <item m="1" x="48"/>
        <item m="1" x="49"/>
        <item m="1" x="50"/>
        <item m="1" x="51"/>
        <item m="1" x="52"/>
        <item m="1" x="53"/>
        <item m="1" x="54"/>
        <item m="1" x="7"/>
        <item m="1" x="8"/>
        <item m="1" x="55"/>
        <item m="1" x="9"/>
        <item m="1" x="6"/>
        <item m="1" x="10"/>
        <item m="1" x="12"/>
        <item m="1" x="13"/>
        <item m="1" x="14"/>
        <item m="1" x="16"/>
        <item m="1" x="17"/>
        <item m="1" x="18"/>
        <item m="1" x="11"/>
        <item m="1" x="15"/>
        <item m="1" x="19"/>
        <item m="1" x="20"/>
        <item m="1" x="21"/>
        <item m="1" x="22"/>
        <item m="1" x="23"/>
        <item m="1" x="24"/>
        <item m="1" x="38"/>
        <item m="1" x="39"/>
        <item m="1" x="40"/>
        <item m="1" x="25"/>
        <item m="1" x="26"/>
        <item m="1" x="27"/>
        <item m="1" x="28"/>
        <item m="1" x="29"/>
        <item m="1" x="30"/>
        <item m="1" x="31"/>
        <item m="1" x="32"/>
        <item m="1" x="33"/>
        <item m="1" x="34"/>
        <item m="1" x="35"/>
        <item m="1" x="36"/>
        <item x="0"/>
        <item x="1"/>
        <item x="2"/>
        <item x="5"/>
        <item x="3"/>
        <item x="4"/>
        <item t="default"/>
      </items>
    </pivotField>
    <pivotField axis="axisPage" showAll="0">
      <items count="6">
        <item x="1"/>
        <item x="0"/>
        <item x="3"/>
        <item m="1" x="4"/>
        <item x="2"/>
        <item t="default"/>
      </items>
    </pivotField>
    <pivotField axis="axisRow" showAll="0">
      <items count="50">
        <item m="1" x="39"/>
        <item m="1" x="20"/>
        <item m="1" x="35"/>
        <item m="1" x="11"/>
        <item m="1" x="40"/>
        <item m="1" x="41"/>
        <item m="1" x="36"/>
        <item m="1" x="37"/>
        <item m="1" x="38"/>
        <item x="3"/>
        <item m="1" x="13"/>
        <item m="1" x="42"/>
        <item m="1" x="43"/>
        <item m="1" x="44"/>
        <item m="1" x="45"/>
        <item m="1" x="46"/>
        <item m="1" x="47"/>
        <item m="1" x="8"/>
        <item m="1" x="9"/>
        <item m="1" x="48"/>
        <item m="1" x="10"/>
        <item x="0"/>
        <item m="1" x="12"/>
        <item m="1" x="14"/>
        <item m="1" x="15"/>
        <item m="1" x="16"/>
        <item m="1" x="17"/>
        <item m="1" x="18"/>
        <item m="1" x="19"/>
        <item m="1" x="21"/>
        <item m="1" x="22"/>
        <item m="1" x="23"/>
        <item m="1" x="24"/>
        <item m="1" x="25"/>
        <item m="1" x="26"/>
        <item m="1" x="27"/>
        <item m="1" x="28"/>
        <item m="1" x="29"/>
        <item m="1" x="30"/>
        <item m="1" x="31"/>
        <item m="1" x="32"/>
        <item m="1" x="33"/>
        <item m="1" x="34"/>
        <item x="1"/>
        <item x="2"/>
        <item x="4"/>
        <item x="5"/>
        <item x="6"/>
        <item x="7"/>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19">
    <i>
      <x v="51"/>
    </i>
    <i r="1">
      <x v="9"/>
    </i>
    <i r="1">
      <x v="21"/>
    </i>
    <i r="1">
      <x v="43"/>
    </i>
    <i r="1">
      <x v="44"/>
    </i>
    <i>
      <x v="52"/>
    </i>
    <i r="1">
      <x v="9"/>
    </i>
    <i>
      <x v="53"/>
    </i>
    <i r="1">
      <x v="9"/>
    </i>
    <i r="1">
      <x v="45"/>
    </i>
    <i>
      <x v="54"/>
    </i>
    <i r="1">
      <x v="9"/>
    </i>
    <i>
      <x v="55"/>
    </i>
    <i r="1">
      <x v="46"/>
    </i>
    <i>
      <x v="56"/>
    </i>
    <i r="1">
      <x v="9"/>
    </i>
    <i r="1">
      <x v="47"/>
    </i>
    <i r="1">
      <x v="48"/>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0">
      <pivotArea dataOnly="0" labelOnly="1" outline="0" fieldPosition="0">
        <references count="1">
          <reference field="1" count="1">
            <x v="1"/>
          </reference>
        </references>
      </pivotArea>
    </format>
    <format dxfId="79">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82" firstHeaderRow="0" firstDataRow="1" firstDataCol="1"/>
  <pivotFields count="7">
    <pivotField numFmtId="14" showAll="0"/>
    <pivotField axis="axisRow" showAll="0">
      <items count="40">
        <item x="7"/>
        <item x="4"/>
        <item x="8"/>
        <item m="1" x="25"/>
        <item m="1" x="21"/>
        <item m="1" x="28"/>
        <item x="2"/>
        <item x="5"/>
        <item x="11"/>
        <item x="17"/>
        <item x="12"/>
        <item m="1" x="37"/>
        <item m="1" x="35"/>
        <item x="9"/>
        <item m="1" x="24"/>
        <item m="1" x="33"/>
        <item x="10"/>
        <item m="1" x="29"/>
        <item x="6"/>
        <item x="1"/>
        <item m="1" x="18"/>
        <item m="1" x="20"/>
        <item m="1" x="38"/>
        <item x="16"/>
        <item x="3"/>
        <item m="1" x="36"/>
        <item m="1" x="19"/>
        <item m="1" x="22"/>
        <item m="1" x="23"/>
        <item m="1" x="26"/>
        <item m="1" x="27"/>
        <item m="1" x="30"/>
        <item m="1" x="31"/>
        <item m="1" x="32"/>
        <item m="1" x="34"/>
        <item x="14"/>
        <item x="13"/>
        <item x="15"/>
        <item x="0"/>
        <item t="default"/>
      </items>
    </pivotField>
    <pivotField dataField="1" showAll="0"/>
    <pivotField dataField="1" showAll="0"/>
    <pivotField showAll="0"/>
    <pivotField showAll="0"/>
    <pivotField showAll="0"/>
  </pivotFields>
  <rowFields count="1">
    <field x="1"/>
  </rowFields>
  <rowItems count="19">
    <i>
      <x/>
    </i>
    <i>
      <x v="1"/>
    </i>
    <i>
      <x v="2"/>
    </i>
    <i>
      <x v="6"/>
    </i>
    <i>
      <x v="7"/>
    </i>
    <i>
      <x v="8"/>
    </i>
    <i>
      <x v="9"/>
    </i>
    <i>
      <x v="10"/>
    </i>
    <i>
      <x v="13"/>
    </i>
    <i>
      <x v="16"/>
    </i>
    <i>
      <x v="18"/>
    </i>
    <i>
      <x v="19"/>
    </i>
    <i>
      <x v="23"/>
    </i>
    <i>
      <x v="24"/>
    </i>
    <i>
      <x v="35"/>
    </i>
    <i>
      <x v="36"/>
    </i>
    <i>
      <x v="37"/>
    </i>
    <i>
      <x v="38"/>
    </i>
    <i t="grand">
      <x/>
    </i>
  </rowItems>
  <colFields count="1">
    <field x="-2"/>
  </colFields>
  <colItems count="2">
    <i>
      <x/>
    </i>
    <i i="1">
      <x v="1"/>
    </i>
  </colItems>
  <dataFields count="2">
    <dataField name="Sum of Credit" fld="3" baseField="0" baseItem="0"/>
    <dataField name="Sum of Debit" fld="2" baseField="0" baseItem="0"/>
  </dataFields>
  <formats count="1">
    <format dxfId="7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1" firstHeaderRow="0" firstDataRow="1" firstDataCol="1" rowPageCount="1" colPageCount="1"/>
  <pivotFields count="9">
    <pivotField axis="axisRow" showAll="0">
      <items count="22">
        <item m="1" x="16"/>
        <item m="1" x="17"/>
        <item m="1" x="18"/>
        <item m="1" x="19"/>
        <item m="1" x="20"/>
        <item m="1" x="15"/>
        <item m="1" x="3"/>
        <item m="1" x="4"/>
        <item m="1" x="8"/>
        <item m="1" x="9"/>
        <item m="1" x="5"/>
        <item m="1" x="10"/>
        <item m="1" x="11"/>
        <item m="1" x="12"/>
        <item m="1" x="13"/>
        <item m="1" x="14"/>
        <item m="1" x="2"/>
        <item m="1" x="6"/>
        <item m="1" x="7"/>
        <item x="0"/>
        <item x="1"/>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2">
    <i>
      <x v="19"/>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16"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x="11"/>
        <item x="5"/>
        <item x="10"/>
        <item x="8"/>
        <item x="9"/>
        <item x="7"/>
        <item t="default"/>
      </items>
    </pivotField>
    <pivotField showAll="0"/>
    <pivotField showAll="0"/>
    <pivotField axis="axisRow" showAll="0">
      <items count="119">
        <item m="1" x="101"/>
        <item m="1" x="102"/>
        <item m="1" x="100"/>
        <item m="1" x="99"/>
        <item m="1" x="103"/>
        <item m="1" x="105"/>
        <item m="1" x="104"/>
        <item m="1" x="106"/>
        <item m="1" x="107"/>
        <item m="1" x="108"/>
        <item m="1" x="109"/>
        <item m="1" x="110"/>
        <item m="1" x="111"/>
        <item m="1" x="112"/>
        <item m="1" x="37"/>
        <item m="1" x="59"/>
        <item m="1" x="113"/>
        <item m="1" x="114"/>
        <item m="1" x="115"/>
        <item m="1" x="67"/>
        <item m="1" x="66"/>
        <item m="1" x="116"/>
        <item m="1" x="117"/>
        <item m="1" x="76"/>
        <item m="1" x="68"/>
        <item m="1" x="69"/>
        <item m="1" x="70"/>
        <item m="1" x="71"/>
        <item m="1" x="72"/>
        <item m="1" x="73"/>
        <item m="1" x="74"/>
        <item m="1" x="75"/>
        <item m="1" x="77"/>
        <item m="1" x="97"/>
        <item m="1" x="78"/>
        <item m="1" x="98"/>
        <item m="1" x="79"/>
        <item m="1" x="80"/>
        <item m="1" x="81"/>
        <item m="1" x="82"/>
        <item m="1" x="83"/>
        <item m="1" x="13"/>
        <item m="1" x="84"/>
        <item m="1" x="85"/>
        <item m="1" x="86"/>
        <item m="1" x="87"/>
        <item m="1" x="88"/>
        <item m="1" x="89"/>
        <item m="1" x="90"/>
        <item m="1" x="91"/>
        <item m="1" x="92"/>
        <item m="1" x="93"/>
        <item m="1" x="94"/>
        <item m="1" x="95"/>
        <item m="1" x="96"/>
        <item x="0"/>
        <item m="1" x="12"/>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8"/>
        <item m="1" x="39"/>
        <item m="1" x="40"/>
        <item m="1" x="41"/>
        <item m="1" x="42"/>
        <item m="1" x="43"/>
        <item m="1" x="44"/>
        <item m="1" x="45"/>
        <item m="1" x="46"/>
        <item m="1" x="47"/>
        <item m="1" x="48"/>
        <item m="1" x="49"/>
        <item m="1" x="50"/>
        <item m="1" x="51"/>
        <item m="1" x="52"/>
        <item m="1" x="53"/>
        <item m="1" x="54"/>
        <item m="1" x="55"/>
        <item m="1" x="56"/>
        <item m="1" x="57"/>
        <item m="1" x="58"/>
        <item m="1" x="60"/>
        <item m="1" x="61"/>
        <item m="1" x="62"/>
        <item m="1" x="63"/>
        <item m="1" x="64"/>
        <item m="1" x="65"/>
        <item x="1"/>
        <item x="2"/>
        <item x="3"/>
        <item x="4"/>
        <item x="5"/>
        <item x="6"/>
        <item x="7"/>
        <item x="8"/>
        <item x="9"/>
        <item x="10"/>
        <item x="11"/>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13">
    <i>
      <x v="55"/>
    </i>
    <i>
      <x v="107"/>
    </i>
    <i>
      <x v="108"/>
    </i>
    <i>
      <x v="109"/>
    </i>
    <i>
      <x v="110"/>
    </i>
    <i>
      <x v="111"/>
    </i>
    <i>
      <x v="112"/>
    </i>
    <i>
      <x v="113"/>
    </i>
    <i>
      <x v="114"/>
    </i>
    <i>
      <x v="115"/>
    </i>
    <i>
      <x v="116"/>
    </i>
    <i>
      <x v="117"/>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36">
      <pivotArea type="all" dataOnly="0" outline="0" fieldPosition="0"/>
    </format>
    <format dxfId="35">
      <pivotArea outline="0" collapsedLevelsAreSubtotals="1" fieldPosition="0"/>
    </format>
    <format dxfId="34">
      <pivotArea field="4" type="button" dataOnly="0" labelOnly="1" outline="0" axis="axisRow" fieldPosition="0"/>
    </format>
    <format dxfId="33">
      <pivotArea dataOnly="0" labelOnly="1" fieldPosition="0">
        <references count="1">
          <reference field="4" count="0"/>
        </references>
      </pivotArea>
    </format>
    <format dxfId="32">
      <pivotArea dataOnly="0" labelOnly="1" grandRow="1" outline="0" fieldPosition="0"/>
    </format>
    <format dxfId="31">
      <pivotArea dataOnly="0" labelOnly="1" outline="0" fieldPosition="0">
        <references count="1">
          <reference field="4294967294" count="2">
            <x v="0"/>
            <x v="1"/>
          </reference>
        </references>
      </pivotArea>
    </format>
    <format dxfId="30">
      <pivotArea grandRow="1" outline="0" collapsedLevelsAreSubtotals="1" fieldPosition="0"/>
    </format>
    <format dxfId="29">
      <pivotArea field="4" type="button" dataOnly="0" labelOnly="1" outline="0" axis="axisRow" fieldPosition="0"/>
    </format>
    <format dxfId="28">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18">
        <i x="10" s="1"/>
        <i x="6" s="1"/>
        <i x="9" s="1"/>
        <i x="8" s="1"/>
        <i x="1" s="1"/>
        <i x="5" s="1"/>
        <i x="11" s="1"/>
        <i x="2" s="1"/>
        <i x="3" s="1"/>
        <i x="4" s="1"/>
        <i x="72" s="1" nd="1"/>
        <i x="101" s="1" nd="1"/>
        <i x="102" s="1" nd="1"/>
        <i x="110" s="1" nd="1"/>
        <i x="100" s="1" nd="1"/>
        <i x="99" s="1" nd="1"/>
        <i x="103" s="1" nd="1"/>
        <i x="114" s="1" nd="1"/>
        <i x="106" s="1" nd="1"/>
        <i x="107" s="1" nd="1"/>
        <i x="104" s="1" nd="1"/>
        <i x="105" s="1" nd="1"/>
        <i x="115" s="1" nd="1"/>
        <i x="108" s="1" nd="1"/>
        <i x="109" s="1" nd="1"/>
        <i x="112" s="1" nd="1"/>
        <i x="113" s="1" nd="1"/>
        <i x="111" s="1" nd="1"/>
        <i x="67" s="1" nd="1"/>
        <i x="117" s="1" nd="1"/>
        <i x="66" s="1" nd="1"/>
        <i x="116" s="1" nd="1"/>
        <i x="69" s="1" nd="1"/>
        <i x="30" s="1" nd="1"/>
        <i x="68" s="1" nd="1"/>
        <i x="70" s="1" nd="1"/>
        <i x="76" s="1" nd="1"/>
        <i x="71" s="1" nd="1"/>
        <i x="73" s="1" nd="1"/>
        <i x="89" s="1" nd="1"/>
        <i x="12" s="1" nd="1"/>
        <i x="77" s="1" nd="1"/>
        <i x="17" s="1" nd="1"/>
        <i x="83" s="1" nd="1"/>
        <i x="78" s="1" nd="1"/>
        <i x="81" s="1" nd="1"/>
        <i x="86" s="1" nd="1"/>
        <i x="97" s="1" nd="1"/>
        <i x="79" s="1" nd="1"/>
        <i x="91" s="1" nd="1"/>
        <i x="94" s="1" nd="1"/>
        <i x="85" s="1" nd="1"/>
        <i x="74" s="1" nd="1"/>
        <i x="82" s="1" nd="1"/>
        <i x="75" s="1" nd="1"/>
        <i x="80" s="1" nd="1"/>
        <i x="13" s="1" nd="1"/>
        <i x="84" s="1" nd="1"/>
        <i x="90" s="1" nd="1"/>
        <i x="27" s="1" nd="1"/>
        <i x="87" s="1" nd="1"/>
        <i x="92" s="1" nd="1"/>
        <i x="88" s="1" nd="1"/>
        <i x="54" s="1" nd="1"/>
        <i x="93" s="1" nd="1"/>
        <i x="95" s="1" nd="1"/>
        <i x="15" s="1" nd="1"/>
        <i x="22" s="1" nd="1"/>
        <i x="96" s="1" nd="1"/>
        <i x="19" s="1" nd="1"/>
        <i x="20" s="1" nd="1"/>
        <i x="14" s="1" nd="1"/>
        <i x="18" s="1" nd="1"/>
        <i x="16" s="1" nd="1"/>
        <i x="25" s="1" nd="1"/>
        <i x="21" s="1" nd="1"/>
        <i x="23" s="1" nd="1"/>
        <i x="26" s="1" nd="1"/>
        <i x="34" s="1" nd="1"/>
        <i x="24" s="1" nd="1"/>
        <i x="33" s="1" nd="1"/>
        <i x="38" s="1" nd="1"/>
        <i x="32" s="1" nd="1"/>
        <i x="35" s="1" nd="1"/>
        <i x="45" s="1" nd="1"/>
        <i x="31" s="1" nd="1"/>
        <i x="28" s="1" nd="1"/>
        <i x="29" s="1" nd="1"/>
        <i x="44" s="1" nd="1"/>
        <i x="37" s="1" nd="1"/>
        <i x="48" s="1" nd="1"/>
        <i x="43" s="1" nd="1"/>
        <i x="36" s="1" nd="1"/>
        <i x="60" s="1" nd="1"/>
        <i x="41" s="1" nd="1"/>
        <i x="51" s="1" nd="1"/>
        <i x="49" s="1" nd="1"/>
        <i x="39" s="1" nd="1"/>
        <i x="47" s="1" nd="1"/>
        <i x="46" s="1" nd="1"/>
        <i x="42" s="1" nd="1"/>
        <i x="52" s="1" nd="1"/>
        <i x="50" s="1" nd="1"/>
        <i x="53" s="1" nd="1"/>
        <i x="40" s="1" nd="1"/>
        <i x="55" s="1" nd="1"/>
        <i x="56" s="1" nd="1"/>
        <i x="63" s="1" nd="1"/>
        <i x="57" s="1" nd="1"/>
        <i x="58" s="1" nd="1"/>
        <i x="65" s="1" nd="1"/>
        <i x="64" s="1" nd="1"/>
        <i x="59" s="1" nd="1"/>
        <i x="62" s="1" nd="1"/>
        <i x="61" s="1" nd="1"/>
        <i x="7" s="1" nd="1"/>
        <i x="98"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21">
      <calculatedColumnFormula>B26</calculatedColumnFormula>
    </tableColumn>
    <tableColumn id="2" xr3:uid="{7EDCC2ED-0339-42B3-9633-FFEA7A3DD9F3}" name="Tiyaar" dataDxfId="120">
      <calculatedColumnFormula>SUMIFS(ledger!G:G, ledger!B:B, B4, ledger!E:E, "&lt;&gt;*RD*") / 1.0936</calculatedColumnFormula>
    </tableColumn>
    <tableColumn id="3" xr3:uid="{CC1535DD-3FE7-4F55-8040-E7643388A78E}" name="Rate"/>
    <tableColumn id="4" xr3:uid="{059CB70B-ADAD-4985-84AA-0D530BAC5567}" name="Total" dataDxfId="119">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8" dataDxfId="117">
  <autoFilter ref="B7:E20" xr:uid="{449E5D32-DF9C-4018-96AB-CA98E118D910}"/>
  <tableColumns count="4">
    <tableColumn id="1" xr3:uid="{F663704C-91DD-4BB9-B7EB-EEB0C5EDED6C}" name="Description" dataDxfId="116"/>
    <tableColumn id="2" xr3:uid="{6D94D495-CD0B-4FD3-9771-81D731982A97}" name="Rate" dataDxfId="115" dataCellStyle="Comma"/>
    <tableColumn id="3" xr3:uid="{2D14CEAD-3602-40E7-A488-3584EBC9141E}" name="gazana" dataDxfId="114" dataCellStyle="Comma"/>
    <tableColumn id="4" xr3:uid="{06FEE63C-6480-4079-8426-51BC26B38B34}" name="sum" dataDxfId="113"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2" totalsRowDxfId="111"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0" dataDxfId="109" headerRowCellStyle="Comma" dataCellStyle="Comma">
  <autoFilter ref="B2:C5" xr:uid="{136E8F7F-D03F-4198-8335-91A003EA9E45}"/>
  <tableColumns count="2">
    <tableColumn id="1" xr3:uid="{279FA697-9952-479A-AC05-0D4992B41374}" name="Column1" dataDxfId="108" dataCellStyle="Comma"/>
    <tableColumn id="2" xr3:uid="{8A64998B-65EF-41CD-BCB0-3DDB7B359C54}" name="Column2" dataDxfId="107"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6"/>
    <tableColumn id="2" xr3:uid="{51D27FA2-8DDF-4369-BAF7-7D1FE90E16A0}" name="Column2" dataDxfId="10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4" totalsRowDxfId="103"/>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2">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36" totalsRowCount="1" headerRowDxfId="100" dataDxfId="99" headerRowCellStyle="Comma" dataCellStyle="Comma">
  <autoFilter ref="A1:K35" xr:uid="{11DACEC6-751B-4B1D-817F-5C5BCD38EF6D}"/>
  <tableColumns count="11">
    <tableColumn id="1" xr3:uid="{2FCE3FA8-A48C-4685-8919-AE44C6C71FD9}" name="Date" dataDxfId="98" dataCellStyle="Comma"/>
    <tableColumn id="2" xr3:uid="{5780FD5F-0890-44E6-B59C-8E37A559FE36}" name="Party Name" dataDxfId="97" dataCellStyle="Comma"/>
    <tableColumn id="3" xr3:uid="{5B3ECD85-9174-40AC-BFBD-49CAC97A83D3}" name="Bill Number" dataDxfId="96" dataCellStyle="Comma"/>
    <tableColumn id="4" xr3:uid="{11B50761-04B6-4262-AD4D-7182450037D1}" name="Quality" dataDxfId="95" dataCellStyle="Comma"/>
    <tableColumn id="5" xr3:uid="{2C556969-B713-4967-BD24-466AACCBE5F5}" name="Shipment Number" dataDxfId="94" totalsRowDxfId="93" dataCellStyle="Comma"/>
    <tableColumn id="6" xr3:uid="{F4E1FD2B-9017-4DEB-B772-BF447ECE56F7}" name="Kora/metre" dataDxfId="92" totalsRowDxfId="91" dataCellStyle="Comma"/>
    <tableColumn id="7" xr3:uid="{52ACC1DA-7A76-4A90-B809-3A1AE728E7EA}" name="Tiyaar/gaz" dataDxfId="90" totalsRowDxfId="89" dataCellStyle="Comma"/>
    <tableColumn id="8" xr3:uid="{31A0FF5E-56F0-44D1-9865-73256B964660}" name="shortage %" dataDxfId="88" totalsRowDxfId="87" dataCellStyle="Comma">
      <calculatedColumnFormula>_xlfn.XLOOKUP(Table1[[#This Row],[Shipment Number]], 'pivot '!A:A,'pivot '!G:G, "NF")</calculatedColumnFormula>
    </tableColumn>
    <tableColumn id="9" xr3:uid="{F99075E0-AC8E-094D-BB85-272AD2C6C568}" name="tiyar/meters" totalsRowFunction="custom" dataDxfId="86" totalsRowDxfId="85"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84" totalsRowDxfId="83"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2" totalsRowDxfId="81"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22" totalsRowCount="1" headerRowDxfId="78" headerRowBorderDxfId="77" tableBorderDxfId="76">
  <autoFilter ref="A1:I21" xr:uid="{F8E8C957-ABE7-4E4F-8D4E-7D44E26B334F}"/>
  <tableColumns count="9">
    <tableColumn id="1" xr3:uid="{C2E817D6-AB98-4DDD-8890-736B27F261CD}" name="Date" totalsRowLabel="." dataDxfId="13" totalsRowDxfId="12"/>
    <tableColumn id="2" xr3:uid="{CFB51890-CCDC-463C-81C9-3F8BD7469CB9}" name="Party Name"/>
    <tableColumn id="3" xr3:uid="{A113D971-1C9D-4733-99C4-BD0CC4333209}" name="Vehicle Number"/>
    <tableColumn id="4" xr3:uid="{49780304-3DD1-4AE9-98EE-2BC7EB8F3B57}" name="Weight" dataDxfId="11" totalsRowDxfId="10" dataCellStyle="Comma"/>
    <tableColumn id="5" xr3:uid="{FCAF1BC6-1D8C-42AD-8BBC-F924BF2DC7FE}" name="Rate" dataDxfId="9" totalsRowDxfId="8" dataCellStyle="Comma"/>
    <tableColumn id="6" xr3:uid="{8C70A624-4134-410C-9C45-9FDEB51D51BF}" name="Rent" dataDxfId="7" totalsRowDxfId="6" dataCellStyle="Comma"/>
    <tableColumn id="7" xr3:uid="{EBCE10AE-9634-4982-9C95-37ABC8A7078C}" name="Total" totalsRowFunction="sum" dataDxfId="5" totalsRowDxfId="4" dataCellStyle="Comma">
      <calculatedColumnFormula>D2*E2</calculatedColumnFormula>
    </tableColumn>
    <tableColumn id="9" xr3:uid="{D4788559-C94A-44D9-B9AE-E72B214355AC}" name="Paid" totalsRowFunction="sum" dataDxfId="3" totalsRowDxfId="2" dataCellStyle="Comma"/>
    <tableColumn id="8" xr3:uid="{E26F5BF0-1875-4FC6-994D-49F202ED562B}" name="balance" totalsRowFunction="sum" dataDxfId="1" totalsRowDxfId="0"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76" totalsRowCount="1">
  <autoFilter ref="A1:G75" xr:uid="{CB032221-B416-47A8-9A76-693DE76CFD04}"/>
  <tableColumns count="7">
    <tableColumn id="1" xr3:uid="{554B1EED-65B6-4E9A-B646-82727FAC40DE}" name="Date" dataDxfId="21" totalsRowDxfId="17"/>
    <tableColumn id="2" xr3:uid="{32259059-42CF-4947-83DE-115AA430BE2B}" name="Party"/>
    <tableColumn id="3" xr3:uid="{A1320223-D55D-483C-91C3-AB19B95CC9D8}" name="Debit" totalsRowFunction="sum" dataDxfId="20" totalsRowDxfId="16" dataCellStyle="Comma"/>
    <tableColumn id="4" xr3:uid="{E9745767-9FF0-4B1C-9052-FF335D1D7588}" name="Credit" totalsRowFunction="sum" dataDxfId="19" totalsRowDxfId="15" dataCellStyle="Comma"/>
    <tableColumn id="5" xr3:uid="{5C88A48E-2467-4E6D-B626-2442B7FD0BE4}" name="Description"/>
    <tableColumn id="6" xr3:uid="{63CA4666-144E-4BE6-8B7C-7CB992BD3041}" name="Mode" totalsRowFunction="custom" dataDxfId="18" totalsRowDxfId="14">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74" tableBorderDxfId="73" totalsRowBorderDxfId="72">
  <autoFilter ref="J3:K6" xr:uid="{DCE01694-23ED-48BF-8B92-4186B9ED10A8}"/>
  <tableColumns count="2">
    <tableColumn id="1" xr3:uid="{C8484DAF-2989-4C2F-9AEC-A6917E1C57F6}" name="Type" dataDxfId="71"/>
    <tableColumn id="2" xr3:uid="{B07B7A2A-4D4E-4654-BED6-FE2F0A7BEC34}" name="Amount" dataDxfId="7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69" headerRowBorderDxfId="68" tableBorderDxfId="67" totalsRowBorderDxfId="66">
  <autoFilter ref="M3:O6" xr:uid="{D166BDD1-ACD7-45D7-8AE9-7350373F8CEB}"/>
  <tableColumns count="3">
    <tableColumn id="1" xr3:uid="{64F0205E-DEA7-4571-BA86-E4374A5FEE28}" name="Type" totalsRowLabel="Total" dataDxfId="65" totalsRowDxfId="64"/>
    <tableColumn id="2" xr3:uid="{15FA05F9-789C-4459-9BE0-5C1EC84D3365}" name="amount" totalsRowFunction="custom" dataDxfId="63" totalsRowDxfId="62">
      <totalsRowFormula>SUM(N5:N6)</totalsRowFormula>
    </tableColumn>
    <tableColumn id="3" xr3:uid="{3681D409-90C6-44D0-BDE2-4B5943A516F0}" name="Actual" totalsRowFunction="custom" totalsRowDxfId="61">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60" totalsRowDxfId="59"/>
    <tableColumn id="2" xr3:uid="{5B9D0FEE-4304-4C5C-A05C-5B27CF7841D3}" name="Type"/>
    <tableColumn id="3" xr3:uid="{6A91CA0D-C802-4C6F-9F39-CA53687E8EDE}" name="Description"/>
    <tableColumn id="4" xr3:uid="{A251D40C-AB87-4BB4-85F8-444B20E32FDF}" name="Total" totalsRowFunction="custom" dataDxfId="58" totalsRowDxfId="57"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4" totalsRowCount="1" headerRowDxfId="56" headerRowBorderDxfId="55">
  <autoFilter ref="A1:I3"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54"/>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53">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9" totalsRowCount="1" headerRowDxfId="52" headerRowBorderDxfId="51">
  <autoFilter ref="A4:H8" xr:uid="{A4C80688-A8BA-4BA7-90B4-791CD99446B4}"/>
  <sortState xmlns:xlrd2="http://schemas.microsoft.com/office/spreadsheetml/2017/richdata2" ref="A5:H6">
    <sortCondition ref="A4:A6"/>
  </sortState>
  <tableColumns count="8">
    <tableColumn id="1" xr3:uid="{4A818912-918E-4111-ACFC-BC93FEF7C1AD}" name="Date" dataDxfId="50" totalsRowDxfId="49"/>
    <tableColumn id="8" xr3:uid="{477ACFD5-62AF-4F69-974B-E9B974C11D7D}" name="Party Name" dataDxfId="48"/>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47">
      <calculatedColumnFormula>Table2[[#This Row],[Quantity]]*250</calculatedColumnFormula>
    </tableColumn>
    <tableColumn id="6" xr3:uid="{30432929-CBD4-4BA8-B63F-CD0F6CF6405F}" name="Paid" totalsRowFunction="sum" dataDxfId="46">
      <calculatedColumnFormula>SUMIFS(Table14[Debit], Table14[Date], Table2[[#This Row],[Date]], Table14[Party], Table2[[#This Row],[Party Name]])</calculatedColumnFormula>
    </tableColumn>
    <tableColumn id="7" xr3:uid="{BB689DF2-5D1E-436D-84C4-9745D88E8F3D}" name="Balance" totalsRowFunction="sum" dataDxfId="45">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44" totalsRowDxfId="43"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42" totalsRowDxfId="41"/>
    <tableColumn id="2" xr3:uid="{053BFC14-4828-417C-9F9F-95B6E232A945}" name="Amount" totalsRowFunction="custom" dataDxfId="40" totalsRowDxfId="39"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38" totalsRowDxfId="37"/>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27" totalsRowDxfId="26"/>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25" totalsRowDxfId="24"/>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4" totalsRowShown="0">
  <autoFilter ref="A1:B14" xr:uid="{12993807-B770-4023-98E3-8834035352C5}"/>
  <tableColumns count="2">
    <tableColumn id="1" xr3:uid="{DF7536DF-F3D0-48F5-83DE-312320C1F7F4}" name="Party Name" dataDxfId="23">
      <calculatedColumnFormula>Billing!O5</calculatedColumnFormula>
    </tableColumn>
    <tableColumn id="2" xr3:uid="{7093A59E-B58F-487D-888A-9AA8156B5F9A}" name="Amount Paid" dataDxfId="22">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4"/>
  <sheetViews>
    <sheetView zoomScale="103" workbookViewId="0">
      <selection activeCell="O40" sqref="O40"/>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48587.234820775426</v>
      </c>
      <c r="D4">
        <v>10</v>
      </c>
      <c r="E4" s="14">
        <f>(SUMIFS(ledger!G:G, ledger!B:B, B4, ledger!E:E, "&lt;&gt;*RD*",ledger!D:D, "Silky") / 1.0936)*12 + (SUMIFS(ledger!G:G, ledger!B:B, B4, ledger!E:E, "&lt;&gt;*RD*",ledger!D:D, "Chamki") / 1.0936)*10</f>
        <v>485872.34820775426</v>
      </c>
      <c r="I4" s="4" t="s">
        <v>9</v>
      </c>
      <c r="J4" s="5">
        <v>0</v>
      </c>
      <c r="K4" s="18">
        <v>0</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48587.234820775426</v>
      </c>
      <c r="K5" s="18">
        <v>485872.34820775426</v>
      </c>
      <c r="O5" s="25" t="str" cm="1">
        <f t="array" ref="O5:O15">_xlfn.UNIQUE(Table1[Party Name])</f>
        <v>BSC</v>
      </c>
      <c r="P5" s="23" cm="1">
        <f t="array" ref="P5">_xlfn.BYROW(B26,_xlfn.LAMBDA(_xlpm.party,SUMIFS(ledger!G:G,ledger!B:B,_xlpm.party,ledger!E:E,"&lt;&gt;*RD*")))+_xlfn.IFNA(C44,0)</f>
        <v>1239964</v>
      </c>
      <c r="Q5" s="23" cm="1">
        <f t="array" ref="Q5">_xlfn.BYROW(B26, _xlfn.LAMBDA(_xlpm.party, SUMIFS(ledger!G:G, ledger!B:B, _xlpm.party, ledger!E:E, "&lt;&gt;*RD*") / 1.0936 ))+_xlfn.IFNA(D44,0)</f>
        <v>1133836.869056328</v>
      </c>
      <c r="R5" s="23" cm="1">
        <f t="array" ref="R5">(_xlfn.BYROW(B26,_xlfn.LAMBDA(_xlpm.party,SUMIFS(ledger!G:G,ledger!B:B,_xlpm.party,ledger!E:E,"&lt;&gt;*RD*",ledger!D:D,"Chamki")+SUMIFS(ledger!G:G, ledger!B:B, _xlpm.party, ledger!E:E, "&lt;&gt;*RD*", ledger!D:D, "Crinkle")))/1.0936)+_xlfn.IFNA(E44,0)</f>
        <v>1119284.9305047551</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11192849.305047551</v>
      </c>
      <c r="U5" s="23" cm="1">
        <f t="array" ref="U5">(_xlfn.BYROW(B26,_xlfn.LAMBDA(_xlpm.party,SUMIFS(ledger!G:G,ledger!B:B,_xlpm.party,ledger!E:E,"&lt;&gt;*RD*",ledger!D:D, "Silky")/1.0936))* 12)+_xlfn.IFNA(H44,0)</f>
        <v>174623.26261887344</v>
      </c>
      <c r="V5" s="44">
        <f>T5+U5</f>
        <v>11367472.567666424</v>
      </c>
      <c r="W5" s="23">
        <f>(SUMIF(Table14[Party],O5,Table14[Credit]))+_xlfn.IFNA(J44,0)</f>
        <v>7592183</v>
      </c>
      <c r="X5" s="97">
        <f>V5-W5</f>
        <v>3775289.5676664244</v>
      </c>
      <c r="Y5" s="22">
        <v>10</v>
      </c>
      <c r="Z5" s="22">
        <v>12</v>
      </c>
    </row>
    <row r="6" spans="2:26" x14ac:dyDescent="0.3">
      <c r="B6" t="str">
        <f t="shared" si="0"/>
        <v>Arshad</v>
      </c>
      <c r="C6" s="18">
        <f>SUMIFS(ledger!G:G, ledger!B:B, B6, ledger!E:E, "&lt;&gt;*RD*") / 1.0936</f>
        <v>0</v>
      </c>
      <c r="D6">
        <v>10</v>
      </c>
      <c r="E6" s="14">
        <f>(SUMIFS(ledger!G:G, ledger!B:B, B6, ledger!E:E, "&lt;&gt;*RD*",ledger!D:D, "Silky") / 1.0936)*12 + (SUMIFS(ledger!G:G, ledger!B:B, B6, ledger!E:E, "&lt;&gt;*RD*",ledger!D:D, "Chamki") / 1.0936)*10</f>
        <v>0</v>
      </c>
      <c r="I6" s="4" t="s">
        <v>22</v>
      </c>
      <c r="J6" s="5">
        <v>0</v>
      </c>
      <c r="K6" s="18">
        <v>0</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859904</v>
      </c>
      <c r="X6" s="97">
        <f>V6-W6</f>
        <v>-0.92757863935548812</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157108</v>
      </c>
      <c r="Q7" s="23" cm="1">
        <f t="array" ref="Q7">_xlfn.BYROW(B28, _xlfn.LAMBDA(_xlpm.party, SUMIFS(ledger!G:G, ledger!B:B, _xlpm.party, ledger!E:E, "&lt;&gt;*RD*") / 1.0936 ))+_xlfn.IFNA(D46,0)</f>
        <v>143661.30212143381</v>
      </c>
      <c r="R7" s="23" cm="1">
        <f t="array" ref="R7">(_xlfn.BYROW(B28,_xlfn.LAMBDA(_xlpm.party,SUMIFS(ledger!G:G,ledger!B:B,_xlpm.party,ledger!E:E,"&lt;&gt;*RD*",ledger!D:D,"Chamki")+SUMIFS(ledger!G:G, ledger!B:B, _xlpm.party, ledger!E:E, "&lt;&gt;*RD*", ledger!D:D, "Crinkle")))/1.0936)+_xlfn.IFNA(E46,0)</f>
        <v>143661.30212143381</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1436613.021214338</v>
      </c>
      <c r="U7" s="23" cm="1">
        <f t="array" ref="U7">(_xlfn.BYROW(B28,_xlfn.LAMBDA(_xlpm.party,SUMIFS(ledger!G:G,ledger!B:B,_xlpm.party,ledger!E:E,"&lt;&gt;*RD*",ledger!D:D, "Silky")/1.0936))* 12)+_xlfn.IFNA(H46,0)</f>
        <v>0</v>
      </c>
      <c r="V7" s="44">
        <f t="shared" si="1"/>
        <v>1436613.021214338</v>
      </c>
      <c r="W7" s="23">
        <f>(SUMIF(Table14[Party],O7,Table14[Credit]))+_xlfn.IFNA(J46,0)</f>
        <v>1383916</v>
      </c>
      <c r="X7" s="97">
        <f>V7-W7</f>
        <v>52697.021214338019</v>
      </c>
      <c r="Y7" s="22">
        <v>10</v>
      </c>
      <c r="Z7" s="22">
        <v>12</v>
      </c>
    </row>
    <row r="8" spans="2:26" x14ac:dyDescent="0.3">
      <c r="B8" t="str">
        <f t="shared" si="0"/>
        <v>Sufi Nawaz Sahab</v>
      </c>
      <c r="C8" s="18">
        <f>SUMIFS(ledger!G:G, ledger!B:B, B8, ledger!E:E, "&lt;&gt;*RD*") / 1.0936</f>
        <v>48942.026335040238</v>
      </c>
      <c r="D8">
        <v>10</v>
      </c>
      <c r="E8" s="14">
        <f>((SUMIFS(ledger!G:G, ledger!B:B, B8, ledger!E:E, "&lt;&gt;*RD*",ledger!D:D, "Silky") / 1.0936) *12) + ((SUMIFS(ledger!G:G, ledger!B:B, B8, ledger!E:E, "&lt;&gt;*RD*",ledger!D:D, "Chamki") / 1.0936)* 9)</f>
        <v>587304.31602048292</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1102961.408632041</v>
      </c>
      <c r="U8" s="23" cm="1">
        <f t="array" ref="U8">(_xlfn.BYROW(B29,_xlfn.LAMBDA(_xlpm.party,SUMIFS(ledger!G:G,ledger!B:B,_xlpm.party,ledger!E:E,"&lt;&gt;*RD*",ledger!D:D, "Silky")/1.0936))* 12)+_xlfn.IFNA(H47,0)</f>
        <v>0</v>
      </c>
      <c r="V8" s="44">
        <f t="shared" si="1"/>
        <v>1102961.408632041</v>
      </c>
      <c r="W8" s="23">
        <f>(SUMIF(Table14[Party],O8,Table14[Credit]))+_xlfn.IFNA(J47,0)</f>
        <v>1125940</v>
      </c>
      <c r="X8" s="97">
        <f t="shared" ref="X8:X17" si="2">V8-W8</f>
        <v>-22978.591367959045</v>
      </c>
      <c r="Y8" s="22">
        <v>10.5</v>
      </c>
      <c r="Z8" s="22">
        <v>13</v>
      </c>
    </row>
    <row r="9" spans="2:26" x14ac:dyDescent="0.3">
      <c r="B9" t="str">
        <f t="shared" si="0"/>
        <v>Sajad Khan</v>
      </c>
      <c r="C9" s="18">
        <f>SUMIFS(ledger!G:G, ledger!B:B, B9, ledger!E:E, "&lt;&gt;*RD*") / 1.0936</f>
        <v>25235.00365764448</v>
      </c>
      <c r="D9">
        <v>10</v>
      </c>
      <c r="E9" s="14" cm="1">
        <f t="array" ref="E9">(SUMIFS(ledger!G:G, ledger!B:B, B9, ledger!E:E, "&lt;&gt;*RD*",ledger!D:D, "Silky") / 1.0936)*12 + (SUMIFS(ledger!G:G, ledger!B:B, B9, ledger!E:E, "&lt;&gt;*RD*",ledger!D:D, "Chamki") / 1.0936)*10 +(SUMIFS(ledger!G:G, ledger!B:B, party, ledger!E:E, "&lt;&gt;*RD*", ledger!D:D, "Crinkle")/ 1.0936)*10</f>
        <v>252350.03657644481</v>
      </c>
      <c r="I9" s="4" t="s">
        <v>24</v>
      </c>
      <c r="J9" s="5">
        <v>48942.026335040238</v>
      </c>
      <c r="K9" s="18">
        <v>587304.31602048292</v>
      </c>
      <c r="O9" s="25" t="str">
        <v>Sufi Nawaz Sahab</v>
      </c>
      <c r="P9" s="23" cm="1">
        <f t="array" ref="P9">_xlfn.BYROW(B30,_xlfn.LAMBDA(_xlpm.party,SUMIFS(ledger!G:G,ledger!B:B,_xlpm.party,ledger!E:E,"&lt;&gt;*RD*")))+_xlfn.IFNA(C48,0)</f>
        <v>684882</v>
      </c>
      <c r="Q9" s="23" cm="1">
        <f t="array" ref="Q9">_xlfn.BYROW(B30, _xlfn.LAMBDA(_xlpm.party, SUMIFS(ledger!G:G, ledger!B:B, _xlpm.party, ledger!E:E, "&lt;&gt;*RD*") / 1.0936 ))+_xlfn.IFNA(D48,0)</f>
        <v>626263.7161667886</v>
      </c>
      <c r="R9" s="23" cm="1">
        <f t="array" ref="R9">(_xlfn.BYROW(B30,_xlfn.LAMBDA(_xlpm.party,SUMIFS(ledger!G:G,ledger!B:B,_xlpm.party,ledger!E:E,"&lt;&gt;*RD*",ledger!D:D,"Chamki")+SUMIFS(ledger!G:G, ledger!B:B, _xlpm.party, ledger!E:E, "&lt;&gt;*RD*", ledger!D:D, "Crinkle")))/1.0936)+_xlfn.IFNA(E48,0)</f>
        <v>359403.80395025609</v>
      </c>
      <c r="S9" s="78" cm="1">
        <f t="array" ref="S9">(_xlfn.BYROW(B30,_xlfn.LAMBDA(_xlpm.party,SUMIFS(ledger!G:G,ledger!B:B,_xlpm.party,ledger!E:E,"&lt;&gt;*RD*",ledger!D:D,"Silky")))/1.0936)+_xlfn.IFNA(F48,0)</f>
        <v>266859.91221653257</v>
      </c>
      <c r="T9" s="23" cm="1">
        <f t="array" ref="T9">(_xlfn.BYROW(B30,_xlfn.LAMBDA(_xlpm.party,(SUMIFS(ledger!G:G,ledger!B:B,_xlpm.party,ledger!E:E,"&lt;&gt;*RD*",ledger!D:D, "Chamki")+SUMIFS(ledger!G:G, ledger!B:B, _xlpm.party, ledger!E:E, "&lt;&gt;*RD*", ledger!D:D, "Crinkle"))/1.0936))*L30)+_xlfn.IFNA(G48,0)</f>
        <v>3234634.2355523049</v>
      </c>
      <c r="U9" s="23" cm="1">
        <f t="array" ref="U9">(_xlfn.BYROW(B30,_xlfn.LAMBDA(_xlpm.party,SUMIFS(ledger!G:G,ledger!B:B,_xlpm.party,ledger!E:E,"&lt;&gt;*RD*",ledger!D:D, "Silky")/1.0936))* 12)+_xlfn.IFNA(H48,0)</f>
        <v>3202318.946598391</v>
      </c>
      <c r="V9" s="44">
        <f t="shared" si="1"/>
        <v>6436953.1821506955</v>
      </c>
      <c r="W9" s="23">
        <f>(SUMIF(Table14[Party],O9,Table14[Credit]))+_xlfn.IFNA(J48,0)</f>
        <v>4440100</v>
      </c>
      <c r="X9" s="97">
        <f t="shared" si="2"/>
        <v>1996853.1821506955</v>
      </c>
      <c r="Y9" s="22">
        <v>9</v>
      </c>
      <c r="Z9" s="22">
        <v>12</v>
      </c>
    </row>
    <row r="10" spans="2:26" x14ac:dyDescent="0.3">
      <c r="B10" t="str">
        <f t="shared" si="0"/>
        <v>Raaz Fabrics</v>
      </c>
      <c r="C10" s="18">
        <f>SUMIFS(ledger!G:G, ledger!B:B, B10, ledger!E:E, "&lt;&gt;*RD*") / 1.0936</f>
        <v>0</v>
      </c>
      <c r="D10">
        <v>10</v>
      </c>
      <c r="E10" s="14">
        <f>(SUMIFS(ledger!G:G, ledger!B:B, B10, ledger!E:E, "&lt;&gt;*RD*",ledger!D:D, "Silky") / 1.0936)*12 + (SUMIFS(ledger!G:G, ledger!B:B, B10, ledger!E:E, "&lt;&gt;*RD*",ledger!D:D, "chamki") / 1.0936)*10 +(SUMIFS(ledger!G:G, ledger!B:B, B10, ledger!E:E, "&lt;&gt;*RD*",ledger!D:D, "Crinkle") / 1.0936)*10</f>
        <v>0</v>
      </c>
      <c r="I10" s="4" t="s">
        <v>25</v>
      </c>
      <c r="J10" s="5">
        <v>25235.00365764448</v>
      </c>
      <c r="K10" s="18">
        <v>252350.03657644481</v>
      </c>
      <c r="O10" s="25" t="str">
        <v>Sajad Khan</v>
      </c>
      <c r="P10" s="23" cm="1">
        <f t="array" ref="P10">_xlfn.BYROW(B31,_xlfn.LAMBDA(_xlpm.party,SUMIFS(ledger!G:G,ledger!B:B,_xlpm.party,ledger!E:E,"&lt;&gt;*RD*")))+_xlfn.IFNA(C49,0)</f>
        <v>302153</v>
      </c>
      <c r="Q10" s="23" cm="1">
        <f t="array" ref="Q10">_xlfn.BYROW(B31, _xlfn.LAMBDA(_xlpm.party, SUMIFS(ledger!G:G, ledger!B:B, _xlpm.party, ledger!E:E, "&lt;&gt;*RD*") / 1.0936 ))+_xlfn.IFNA(D49,0)</f>
        <v>276292.06291148503</v>
      </c>
      <c r="R10" s="23" cm="1">
        <f t="array" ref="R10">(_xlfn.BYROW(B31,_xlfn.LAMBDA(_xlpm.party,SUMIFS(ledger!G:G,ledger!B:B,_xlpm.party,ledger!E:E,"&lt;&gt;*RD*",ledger!D:D,"Chamki")+SUMIFS(ledger!G:G, ledger!B:B, _xlpm.party, ledger!E:E, "&lt;&gt;*RD*", ledger!D:D, "Crinkle")))/1.0936)+_xlfn.IFNA(E49,0)</f>
        <v>276292.06291148503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2762920.62911485</v>
      </c>
      <c r="U10" s="23" cm="1">
        <f t="array" ref="U10">(_xlfn.BYROW(B31,_xlfn.LAMBDA(_xlpm.party,SUMIFS(ledger!G:G,ledger!B:B,_xlpm.party,ledger!E:E,"&lt;&gt;*RD*",ledger!D:D, "Silky")/1.0936))* 12)+_xlfn.IFNA(H49,0)</f>
        <v>0</v>
      </c>
      <c r="V10" s="44">
        <f t="shared" si="1"/>
        <v>2762920.62911485</v>
      </c>
      <c r="W10" s="23">
        <f>(SUMIF(Table14[Party],O10,Table14[Credit]))+_xlfn.IFNA(J49,0)</f>
        <v>2300000</v>
      </c>
      <c r="X10" s="97">
        <f t="shared" si="2"/>
        <v>462920.62911484996</v>
      </c>
      <c r="Y10" s="22">
        <v>10</v>
      </c>
      <c r="Z10" s="22">
        <v>12</v>
      </c>
    </row>
    <row r="11" spans="2:26" x14ac:dyDescent="0.3">
      <c r="B11" t="str">
        <f t="shared" si="0"/>
        <v>Azam</v>
      </c>
      <c r="C11" s="18">
        <f>SUMIFS(ledger!G:G, ledger!B:B, B11, ledger!E:E, "&lt;&gt;*RD*") / 1.0936</f>
        <v>66983.357717629857</v>
      </c>
      <c r="D11">
        <v>10</v>
      </c>
      <c r="E11" s="14">
        <f>(SUMIFS(ledger!G:G, ledger!B:B, B11, ledger!E:E, "&lt;&gt;*RD*",ledger!D:D, "Silky") / 1.0936)*12 + (SUMIFS(ledger!G:G, ledger!B:B, B11, ledger!E:E, "&lt;&gt;*RD*",ledger!D:D, "Chamki") / 1.0936)*10</f>
        <v>669833.5771762986</v>
      </c>
      <c r="I11" s="4" t="s">
        <v>26</v>
      </c>
      <c r="J11" s="5">
        <v>0</v>
      </c>
      <c r="K11" s="18">
        <v>0</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7">
        <f t="shared" si="2"/>
        <v>255824.79882955377</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27</v>
      </c>
      <c r="J12" s="5">
        <v>0</v>
      </c>
      <c r="K12" s="18">
        <v>0</v>
      </c>
      <c r="M12" s="33"/>
      <c r="N12" s="33"/>
      <c r="O12" s="25" t="str">
        <v>Azam</v>
      </c>
      <c r="P12" s="23" cm="1">
        <f t="array" ref="P12">_xlfn.BYROW(B33,_xlfn.LAMBDA(_xlpm.party,SUMIFS(ledger!G:G,ledger!B:B,_xlpm.party,ledger!E:E,"&lt;&gt;*RD*")))+_xlfn.IFNA(C51,0)</f>
        <v>101802</v>
      </c>
      <c r="Q12" s="23" cm="1">
        <f t="array" ref="Q12">_xlfn.BYROW(B33, _xlfn.LAMBDA(_xlpm.party, SUMIFS(ledger!G:G, ledger!B:B, _xlpm.party, ledger!E:E, "&lt;&gt;*RD*") / 1.0936 ))+_xlfn.IFNA(D51,0)</f>
        <v>93088.880760790067</v>
      </c>
      <c r="R12" s="23" cm="1">
        <f t="array" ref="R12">(_xlfn.BYROW(B33,_xlfn.LAMBDA(_xlpm.party,SUMIFS(ledger!G:G,ledger!B:B,_xlpm.party,ledger!E:E,"&lt;&gt;*RD*",ledger!D:D,"Chamki")+SUMIFS(ledger!G:G, ledger!B:B, _xlpm.party, ledger!E:E, "&lt;&gt;*RD*", ledger!D:D, "Crinkle")))/1.0936)+_xlfn.IFNA(E51,0)</f>
        <v>93088.880760790067</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930888.8076079007</v>
      </c>
      <c r="U12" s="23" cm="1">
        <f t="array" ref="U12">(_xlfn.BYROW(B33,_xlfn.LAMBDA(_xlpm.party,SUMIFS(ledger!G:G,ledger!B:B,_xlpm.party,ledger!E:E,"&lt;&gt;*RD*",ledger!D:D, "Silky")/1.0936))* 12)+_xlfn.IFNA(H51,0)</f>
        <v>0</v>
      </c>
      <c r="V12" s="44">
        <f t="shared" si="1"/>
        <v>930888.8076079007</v>
      </c>
      <c r="W12" s="23">
        <f>(SUMIF(Table14[Party],O12,Table14[Credit]))+_xlfn.IFNA(J51,0)</f>
        <v>500000</v>
      </c>
      <c r="X12" s="97">
        <f t="shared" si="2"/>
        <v>430888.8076079007</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35</v>
      </c>
      <c r="J13" s="5">
        <v>15599.853694220923</v>
      </c>
      <c r="K13" s="18">
        <v>155998.53694220923</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296150</v>
      </c>
      <c r="X13" s="97">
        <f t="shared" si="2"/>
        <v>155139.31967812736</v>
      </c>
      <c r="Y13" s="22">
        <v>10</v>
      </c>
      <c r="Z13" s="22">
        <v>12</v>
      </c>
    </row>
    <row r="14" spans="2:26" x14ac:dyDescent="0.3">
      <c r="B14" t="str">
        <f>B36</f>
        <v>Hafiz Qureshi</v>
      </c>
      <c r="C14" s="18">
        <f>SUMIFS(ledger!G:G, ledger!B:B, B14, ledger!E:E, "&lt;&gt;*RD*") / 1.0936</f>
        <v>0</v>
      </c>
      <c r="E14" s="14">
        <f>(SUMIFS(ledger!G:G, ledger!B:B, B14, ledger!E:E, "&lt;&gt;*RD*",ledger!D:D, "Silky") / 1.0936)*12 + (SUMIFS(ledger!G:G, ledger!B:B, B14, ledger!E:E, "&lt;&gt;*RD*",ledger!D:D, "Chamki") / 1.0936)*10</f>
        <v>0</v>
      </c>
      <c r="I14" s="4" t="s">
        <v>157</v>
      </c>
      <c r="J14" s="5">
        <v>0</v>
      </c>
      <c r="K14" s="18">
        <v>0</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162</v>
      </c>
      <c r="J15" s="5">
        <v>66983.357717629857</v>
      </c>
      <c r="K15" s="18">
        <v>669833.5771762986</v>
      </c>
      <c r="O15" s="25" t="str">
        <v>Hafiz Qureshi</v>
      </c>
      <c r="P15" s="23" cm="1">
        <f t="array" ref="P15">_xlfn.BYROW(B36,_xlfn.LAMBDA(_xlpm.party,SUMIFS(ledger!G:G,ledger!B:B,_xlpm.party,ledger!E:E,"&lt;&gt;*RD*")))+_xlfn.IFNA(C54,0)</f>
        <v>21807</v>
      </c>
      <c r="Q15" s="23" cm="1">
        <f t="array" ref="Q15">_xlfn.BYROW(B36, _xlfn.LAMBDA(_xlpm.party, SUMIFS(ledger!G:G, ledger!B:B, _xlpm.party, ledger!E:E, "&lt;&gt;*RD*") / 1.0936 ))+_xlfn.IFNA(D54,0)</f>
        <v>19940.563277249454</v>
      </c>
      <c r="R15" s="23" cm="1">
        <f t="array" ref="R15">(_xlfn.BYROW(B36,_xlfn.LAMBDA(_xlpm.party,SUMIFS(ledger!G:G,ledger!B:B,_xlpm.party,ledger!E:E,"&lt;&gt;*RD*",ledger!D:D,"Chamki")+SUMIFS(ledger!G:G, ledger!B:B, _xlpm.party, ledger!E:E, "&lt;&gt;*RD*", ledger!D:D, "Crinkle")))/1.0936)+_xlfn.IFNA(E54,0)</f>
        <v>19940.563277249454</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199405.63277249454</v>
      </c>
      <c r="U15" s="23" cm="1">
        <f t="array" ref="U15">(_xlfn.BYROW(B36,_xlfn.LAMBDA(_xlpm.party,SUMIFS(ledger!G:G,ledger!B:B,_xlpm.party,ledger!E:E,"&lt;&gt;*RD*",ledger!D:D, "Silky")/1.0936))* 12)+_xlfn.IFNA(H54,0)</f>
        <v>0</v>
      </c>
      <c r="V15" s="44">
        <f t="shared" si="4"/>
        <v>199405.63277249454</v>
      </c>
      <c r="W15" s="23">
        <f>(SUMIF(Table14[Party],O15,Table14[Credit]))+_xlfn.IFNA(J54,0)</f>
        <v>200000</v>
      </c>
      <c r="X15" s="42">
        <f t="shared" si="2"/>
        <v>-594.36722750545596</v>
      </c>
      <c r="Y15" s="22">
        <v>10</v>
      </c>
      <c r="Z15" s="22">
        <v>12</v>
      </c>
    </row>
    <row r="16" spans="2:26" x14ac:dyDescent="0.3">
      <c r="B16" s="45" t="s">
        <v>29</v>
      </c>
      <c r="C16" s="46">
        <f>SUM(G26:G38)+SUM(H26:H38)</f>
        <v>2151358.8149231896</v>
      </c>
      <c r="D16" t="s">
        <v>30</v>
      </c>
      <c r="I16" s="4" t="s">
        <v>28</v>
      </c>
      <c r="J16" s="14">
        <v>205347.47622531094</v>
      </c>
      <c r="K16" s="14">
        <v>2151358.8149231896</v>
      </c>
      <c r="O16" s="25"/>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2151358.8149231896</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6">_xlfn.UNIQUE(Table1[Party Name])</f>
        <v>BSC</v>
      </c>
      <c r="C26" s="23" cm="1">
        <f t="array" ref="C26:C36">_xlfn.BYROW(_xlfn.ANCHORARRAY(B26),_xlfn.LAMBDA(_xlpm.party,SUMIFS(ledger!G:G,ledger!B:B,_xlpm.party,ledger!E:E,"&lt;&gt;*RD*")))</f>
        <v>53135</v>
      </c>
      <c r="D26" s="23" cm="1">
        <f t="array" ref="D26:D36">_xlfn.BYROW(_xlfn.ANCHORARRAY(B26), _xlfn.LAMBDA(_xlpm.party, SUMIFS(ledger!G:G, ledger!B:B, _xlpm.party, ledger!E:E, "&lt;&gt;*RD*") / 1.0936 ))</f>
        <v>48587.234820775426</v>
      </c>
      <c r="E26" s="71" cm="1">
        <f t="array" ref="E26:E36">(_xlfn.BYROW(_xlfn.ANCHORARRAY(B26),_xlfn.LAMBDA(_xlpm.party,SUMIFS(ledger!G:G,ledger!B:B,_xlpm.party,ledger!E:E,"&lt;&gt;*RD*",ledger!D:D,"Chamki")+SUMIFS(ledger!G:G, ledger!B:B, _xlpm.party, ledger!E:E, "&lt;&gt;*RD*", ledger!D:D, "Crinkle")))/1.0936)</f>
        <v>48587.234820775426</v>
      </c>
      <c r="F26" s="78" cm="1">
        <f t="array" ref="F26:F36">(_xlfn.BYROW(_xlfn.ANCHORARRAY(B26),_xlfn.LAMBDA(_xlpm.party,SUMIFS(ledger!G:G,ledger!B:B,_xlpm.party,ledger!E:E,"&lt;&gt;*RD*",ledger!D:D,"Silky")))/1.0936)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485872.34820775426</v>
      </c>
      <c r="H26" s="23" cm="1">
        <f t="array" ref="H26">(_xlfn.BYROW(B26,_xlfn.LAMBDA(_xlpm.party,SUMIFS(ledger!G:G,ledger!B:B,_xlpm.party,ledger!E:E,"&lt;&gt;*RD*",ledger!D:D, "Silky")/1.0936))* M26)</f>
        <v>0</v>
      </c>
      <c r="I26" s="44">
        <f t="shared" ref="I26:I34" si="7">G26+H26</f>
        <v>485872.34820775426</v>
      </c>
      <c r="J26" s="23">
        <f>(SUMIF(Table14[Party],B26,Table14[Credit]))</f>
        <v>433400</v>
      </c>
      <c r="K26" s="42">
        <f>I26-J26</f>
        <v>52472.348207754258</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247550</v>
      </c>
      <c r="K27" s="42">
        <f>I27-J27</f>
        <v>-247550</v>
      </c>
      <c r="L27" s="22">
        <v>10</v>
      </c>
      <c r="M27" s="22">
        <v>12</v>
      </c>
    </row>
    <row r="28" spans="1:26" x14ac:dyDescent="0.3">
      <c r="B28" s="25" t="str">
        <v>Arshad</v>
      </c>
      <c r="C28" s="23">
        <v>0</v>
      </c>
      <c r="D28" s="23">
        <v>0</v>
      </c>
      <c r="E28" s="71">
        <v>0</v>
      </c>
      <c r="F28" s="78">
        <v>0</v>
      </c>
      <c r="G28" s="23" cm="1">
        <f t="array" ref="G28">(_xlfn.BYROW(B28,_xlfn.LAMBDA(_xlpm.party,(SUMIFS(ledger!G:G,ledger!B:B,_xlpm.party,ledger!E:E,"&lt;&gt;*RD*",ledger!D:D, "Chamki")+SUMIFS(ledger!G:G, ledger!B:B, _xlpm.party, ledger!E:E, "&lt;&gt;*RD*", ledger!D:D, "Crinkle"))/1.0936))*L28)</f>
        <v>0</v>
      </c>
      <c r="H28" s="23" cm="1">
        <f t="array" ref="H28">(_xlfn.BYROW(B28,_xlfn.LAMBDA(_xlpm.party,SUMIFS(ledger!G:G,ledger!B:B,_xlpm.party,ledger!E:E,"&lt;&gt;*RD*",ledger!D:D, "Silky")/1.0936))* M28)</f>
        <v>0</v>
      </c>
      <c r="I28" s="44">
        <f t="shared" si="7"/>
        <v>0</v>
      </c>
      <c r="J28" s="23">
        <f>(SUMIF(Table14[Party],B28,Table14[Credit]))</f>
        <v>629706</v>
      </c>
      <c r="K28" s="42">
        <f>I28-J28</f>
        <v>-629706</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0</v>
      </c>
      <c r="K29" s="42">
        <f t="shared" ref="K29:K32" si="8">I29-J29</f>
        <v>0</v>
      </c>
      <c r="L29" s="22">
        <v>10.5</v>
      </c>
      <c r="M29" s="22">
        <v>13</v>
      </c>
    </row>
    <row r="30" spans="1:26" x14ac:dyDescent="0.3">
      <c r="B30" s="25" t="str">
        <v>Sufi Nawaz Sahab</v>
      </c>
      <c r="C30" s="23">
        <v>53523</v>
      </c>
      <c r="D30" s="23">
        <v>48942.026335040238</v>
      </c>
      <c r="E30" s="71">
        <v>0</v>
      </c>
      <c r="F30" s="78">
        <v>48942.026335040238</v>
      </c>
      <c r="G30" s="23" cm="1">
        <f t="array" ref="G30">(_xlfn.BYROW(B30,_xlfn.LAMBDA(_xlpm.party,(SUMIFS(ledger!G:G,ledger!B:B,_xlpm.party,ledger!E:E,"&lt;&gt;*RD*",ledger!D:D, "Chamki")+SUMIFS(ledger!G:G, ledger!B:B, _xlpm.party, ledger!E:E, "&lt;&gt;*RD*", ledger!D:D, "Crinkle"))/1.0936))*L30)</f>
        <v>0</v>
      </c>
      <c r="H30" s="23" cm="1">
        <f t="array" ref="H30">(_xlfn.BYROW(B30,_xlfn.LAMBDA(_xlpm.party,SUMIFS(ledger!G:G,ledger!B:B,_xlpm.party,ledger!E:E,"&lt;&gt;*RD*",ledger!D:D, "Silky")/1.0936))* M30)</f>
        <v>587304.31602048292</v>
      </c>
      <c r="I30" s="44">
        <f t="shared" si="7"/>
        <v>587304.31602048292</v>
      </c>
      <c r="J30" s="23">
        <f>(SUMIF(Table14[Party],B30,Table14[Credit]))</f>
        <v>361000</v>
      </c>
      <c r="K30" s="42">
        <f t="shared" si="8"/>
        <v>226304.31602048292</v>
      </c>
      <c r="L30" s="22">
        <v>9</v>
      </c>
      <c r="M30" s="22">
        <v>12</v>
      </c>
    </row>
    <row r="31" spans="1:26" x14ac:dyDescent="0.3">
      <c r="B31" s="25" t="str">
        <v>Sajad Khan</v>
      </c>
      <c r="C31" s="23">
        <v>27597</v>
      </c>
      <c r="D31" s="23">
        <v>25235.00365764448</v>
      </c>
      <c r="E31" s="71">
        <v>25235.00365764448</v>
      </c>
      <c r="F31" s="22">
        <v>0</v>
      </c>
      <c r="G31" s="23" cm="1">
        <f t="array" ref="G31">(_xlfn.BYROW(B31,_xlfn.LAMBDA(_xlpm.party,(SUMIFS(ledger!G:G,ledger!B:B,_xlpm.party,ledger!E:E,"&lt;&gt;*RD*",ledger!D:D, "Chamki")+SUMIFS(ledger!G:G, ledger!B:B, _xlpm.party, ledger!E:E, "&lt;&gt;*RD*", ledger!D:D, "Crinkle"))/1.0936))*L31)</f>
        <v>252350.03657644481</v>
      </c>
      <c r="H31" s="23" cm="1">
        <f t="array" ref="H31">(_xlfn.BYROW(B31,_xlfn.LAMBDA(_xlpm.party,SUMIFS(ledger!G:G,ledger!B:B,_xlpm.party,ledger!E:E,"&lt;&gt;*RD*",ledger!D:D, "Silky")/1.0936))* M31)</f>
        <v>0</v>
      </c>
      <c r="I31" s="44">
        <f t="shared" si="7"/>
        <v>252350.03657644481</v>
      </c>
      <c r="J31" s="23">
        <f>(SUMIF(Table14[Party],B31,Table14[Credit]))</f>
        <v>0</v>
      </c>
      <c r="K31" s="42">
        <f t="shared" si="8"/>
        <v>252350.03657644481</v>
      </c>
      <c r="L31" s="22">
        <v>10</v>
      </c>
      <c r="M31" s="22">
        <v>12</v>
      </c>
    </row>
    <row r="32" spans="1:26" x14ac:dyDescent="0.3">
      <c r="B32" s="25" t="str">
        <v>Raaz Fabrics</v>
      </c>
      <c r="C32" s="23">
        <v>0</v>
      </c>
      <c r="D32" s="23">
        <v>0</v>
      </c>
      <c r="E32" s="71">
        <v>0</v>
      </c>
      <c r="F32" s="22">
        <v>0</v>
      </c>
      <c r="G32" s="23" cm="1">
        <f t="array" ref="G32">(_xlfn.BYROW(B32,_xlfn.LAMBDA(_xlpm.party,(SUMIFS(ledger!G:G,ledger!B:B,_xlpm.party,ledger!E:E,"&lt;&gt;*RD*",ledger!D:D, "Chamki")+SUMIFS(ledger!G:G, ledger!B:B, _xlpm.party, ledger!E:E, "&lt;&gt;*RD*", ledger!D:D, "Crinkle"))/1.0936))*L32)</f>
        <v>0</v>
      </c>
      <c r="H32" s="23" cm="1">
        <f t="array" ref="H32">(_xlfn.BYROW(B32,_xlfn.LAMBDA(_xlpm.party,SUMIFS(ledger!G:G,ledger!B:B,_xlpm.party,ledger!E:E,"&lt;&gt;*RD*",ledger!D:D, "Silky")/1.0936))* M32)</f>
        <v>0</v>
      </c>
      <c r="I32" s="44">
        <f t="shared" si="7"/>
        <v>0</v>
      </c>
      <c r="J32" s="23">
        <f>(SUMIF(Table14[Party],B32,Table14[Credit]))</f>
        <v>0</v>
      </c>
      <c r="K32" s="42">
        <f t="shared" si="8"/>
        <v>0</v>
      </c>
      <c r="L32" s="22">
        <v>10</v>
      </c>
      <c r="M32" s="22">
        <v>12</v>
      </c>
    </row>
    <row r="33" spans="2:13" x14ac:dyDescent="0.3">
      <c r="B33" s="25" t="str">
        <v>Azam</v>
      </c>
      <c r="C33" s="23">
        <v>73253</v>
      </c>
      <c r="D33" s="23">
        <v>66983.357717629857</v>
      </c>
      <c r="E33" s="71">
        <v>66983.357717629857</v>
      </c>
      <c r="F33" s="22">
        <v>0</v>
      </c>
      <c r="G33" s="23" cm="1">
        <f t="array" ref="G33">(_xlfn.BYROW(B33,_xlfn.LAMBDA(_xlpm.party,(SUMIFS(ledger!G:G,ledger!B:B,_xlpm.party,ledger!E:E,"&lt;&gt;*RD*",ledger!D:D, "Chamki")+SUMIFS(ledger!G:G, ledger!B:B, _xlpm.party, ledger!E:E, "&lt;&gt;*RD*", ledger!D:D, "Crinkle"))/1.0936))*L33)</f>
        <v>669833.5771762986</v>
      </c>
      <c r="H33" s="23" cm="1">
        <f t="array" ref="H33">(_xlfn.BYROW(B33,_xlfn.LAMBDA(_xlpm.party,SUMIFS(ledger!G:G,ledger!B:B,_xlpm.party,ledger!E:E,"&lt;&gt;*RD*",ledger!D:D, "Silky")/1.0936))* M33)</f>
        <v>0</v>
      </c>
      <c r="I33" s="44">
        <f t="shared" si="7"/>
        <v>669833.5771762986</v>
      </c>
      <c r="J33" s="23">
        <f>(SUMIF(Table14[Party],B33,Table14[Credit]))</f>
        <v>300000</v>
      </c>
      <c r="K33" s="42">
        <f t="shared" ref="K33:K38" si="9">I33-J33</f>
        <v>369833.5771762986</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0</v>
      </c>
      <c r="K34" s="42">
        <f t="shared" si="9"/>
        <v>155998.53694220923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0</v>
      </c>
      <c r="D36" s="23">
        <v>0</v>
      </c>
      <c r="E36" s="71">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100000</v>
      </c>
      <c r="K36" s="42">
        <f t="shared" si="9"/>
        <v>-100000</v>
      </c>
      <c r="L36" s="22">
        <v>10</v>
      </c>
      <c r="M36" s="22">
        <v>12</v>
      </c>
    </row>
    <row r="37" spans="2:13" x14ac:dyDescent="0.3">
      <c r="B37" s="25"/>
      <c r="C37" s="23"/>
      <c r="D37" s="23"/>
      <c r="E37" s="71"/>
      <c r="F37" s="22"/>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4">_xlfn.UNIQUE(Table1[Party Name])</f>
        <v>BSC</v>
      </c>
      <c r="C44" s="23">
        <f>_xlfn.XLOOKUP($B26,[1]Billing!$O$5:$O$29,[1]Billing!$P$5:$P$29)</f>
        <v>1186829</v>
      </c>
      <c r="D44" s="23">
        <f>_xlfn.XLOOKUP($B26,[1]Billing!$O$5:$O$29,[1]Billing!$Q$5:$Q$29)</f>
        <v>1085249.6342355525</v>
      </c>
      <c r="E44" s="23">
        <f>_xlfn.XLOOKUP($B26,[1]Billing!$O$5:$O$29,[1]Billing!$R$5:$R$29)</f>
        <v>1070697.6956839797</v>
      </c>
      <c r="F44" s="23">
        <f>_xlfn.XLOOKUP($B26,[1]Billing!$O$5:$O$29,[1]Billing!$S$5:$S$29)</f>
        <v>14551.938551572788</v>
      </c>
      <c r="G44" s="23">
        <f>_xlfn.XLOOKUP($B26,[1]Billing!$O$5:$O$29,[1]Billing!$T$5:$T$29)</f>
        <v>10706976.956839796</v>
      </c>
      <c r="H44" s="23">
        <f>_xlfn.XLOOKUP($B26,[1]Billing!$O$5:$O$29,[1]Billing!$U$5:$U$29)</f>
        <v>174623.26261887344</v>
      </c>
      <c r="I44" s="44">
        <f t="shared" ref="I44:I54" si="11">G44+H44</f>
        <v>10881600.219458669</v>
      </c>
      <c r="J44" s="23">
        <f>_xlfn.XLOOKUP($B26,[1]Billing!$O$5:$O$29,[1]Billing!$W$5:$W$29)</f>
        <v>7158783</v>
      </c>
      <c r="K44" s="42">
        <f>I44-J44</f>
        <v>3722817.2194586694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157108</v>
      </c>
      <c r="D46" s="23">
        <f>_xlfn.XLOOKUP($B28,[1]Billing!$O$5:$O$29,[1]Billing!$Q$5:$Q$29)</f>
        <v>143661.30212143381</v>
      </c>
      <c r="E46" s="23">
        <f>_xlfn.XLOOKUP($B28,[1]Billing!$O$5:$O$29,[1]Billing!$R$5:$R$29)</f>
        <v>143661.30212143381</v>
      </c>
      <c r="F46" s="23">
        <f>_xlfn.XLOOKUP($B28,[1]Billing!$O$5:$O$29,[1]Billing!$S$5:$S$29)</f>
        <v>0</v>
      </c>
      <c r="G46" s="23">
        <f>_xlfn.XLOOKUP($B28,[1]Billing!$O$5:$O$29,[1]Billing!$T$5:$T$29)</f>
        <v>1436613.021214338</v>
      </c>
      <c r="H46" s="23">
        <f>_xlfn.XLOOKUP($B28,[1]Billing!$O$5:$O$29,[1]Billing!$U$5:$U$29)</f>
        <v>0</v>
      </c>
      <c r="I46" s="44">
        <f t="shared" si="11"/>
        <v>1436613.021214338</v>
      </c>
      <c r="J46" s="23">
        <f>_xlfn.XLOOKUP($B28,[1]Billing!$O$5:$O$29,[1]Billing!$W$5:$W$29)</f>
        <v>754210</v>
      </c>
      <c r="K46" s="42">
        <f>I46-J46</f>
        <v>682403.02121433802</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zoomScale="105" workbookViewId="0">
      <selection activeCell="N13" sqref="N13"/>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4">_xlfn.UNIQUE(Table1[Party Name])</f>
        <v>BSC</v>
      </c>
    </row>
    <row r="5" spans="2:10" x14ac:dyDescent="0.3">
      <c r="J5" t="str">
        <v>Ejaz Sahab</v>
      </c>
    </row>
    <row r="6" spans="2:10" ht="21" x14ac:dyDescent="0.4">
      <c r="B6" s="72" t="s">
        <v>21</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1239964</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1133836.869056328</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1119284.9305047551</v>
      </c>
      <c r="E12" s="101">
        <f ca="1">Table21[[#This Row],[gazana]]*Table21[[#This Row],[Rate]]</f>
        <v>11192849.305047551</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14551.938551572788</v>
      </c>
      <c r="E14" s="74">
        <f ca="1">Table21[[#This Row],[gazana]]*Table21[[#This Row],[Rate]]</f>
        <v>174623.26261887344</v>
      </c>
      <c r="J14" t="str">
        <v>Hafiz Qureshi</v>
      </c>
    </row>
    <row r="15" spans="2:10" ht="18.600000000000001" thickBot="1" x14ac:dyDescent="0.4">
      <c r="B15" s="73"/>
      <c r="C15" s="75"/>
      <c r="D15" s="75"/>
      <c r="E15" s="74"/>
    </row>
    <row r="16" spans="2:10" ht="18.600000000000001" thickBot="1" x14ac:dyDescent="0.4">
      <c r="B16" s="63" t="s">
        <v>41</v>
      </c>
      <c r="C16" s="74"/>
      <c r="D16" s="100"/>
      <c r="E16" s="102">
        <f ca="1">E12+E14</f>
        <v>11367472.567666424</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7592183</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3775289.5676664244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1845665</v>
      </c>
      <c r="D4" t="s">
        <v>183</v>
      </c>
    </row>
    <row r="5" spans="1:4" x14ac:dyDescent="0.3">
      <c r="B5" t="s">
        <v>48</v>
      </c>
      <c r="C5" s="11">
        <f>SUM(Table8[Price])+Dyes!P41</f>
        <v>655230</v>
      </c>
      <c r="D5" t="s">
        <v>189</v>
      </c>
    </row>
    <row r="6" spans="1:4" x14ac:dyDescent="0.3">
      <c r="B6" t="s">
        <v>49</v>
      </c>
      <c r="C6" s="11">
        <f>SUM(Table2[Price])+247000</f>
        <v>309500</v>
      </c>
      <c r="D6" t="s">
        <v>188</v>
      </c>
    </row>
    <row r="7" spans="1:4" x14ac:dyDescent="0.3">
      <c r="B7" t="s">
        <v>50</v>
      </c>
      <c r="C7" s="11">
        <f>SUMIFS(Table14[Debit], Table14[Party],Table12[[#This Row],[Type]])</f>
        <v>980</v>
      </c>
    </row>
    <row r="8" spans="1:4" x14ac:dyDescent="0.3">
      <c r="B8" t="s">
        <v>51</v>
      </c>
      <c r="C8" s="11">
        <f>Electricity!E3</f>
        <v>0</v>
      </c>
    </row>
    <row r="9" spans="1:4" x14ac:dyDescent="0.3">
      <c r="B9" t="s">
        <v>52</v>
      </c>
      <c r="C9" s="11">
        <f>Table11[[#Totals],[Amount]]+'Salary Acc'!I35</f>
        <v>30000</v>
      </c>
    </row>
    <row r="10" spans="1:4" x14ac:dyDescent="0.3">
      <c r="B10" t="s">
        <v>53</v>
      </c>
      <c r="C10" s="11">
        <f>Table5[[#Totals],[Amount]]</f>
        <v>11185</v>
      </c>
    </row>
    <row r="11" spans="1:4" x14ac:dyDescent="0.3">
      <c r="B11" t="s">
        <v>54</v>
      </c>
      <c r="C11" s="11">
        <f>Table13[[#Totals],[Debit]]</f>
        <v>71110</v>
      </c>
    </row>
    <row r="12" spans="1:4" x14ac:dyDescent="0.3">
      <c r="B12" t="s">
        <v>55</v>
      </c>
      <c r="C12" s="11">
        <f>Table15[[#Totals],[Amount]]</f>
        <v>44871</v>
      </c>
    </row>
    <row r="13" spans="1:4" x14ac:dyDescent="0.3">
      <c r="C13" s="11"/>
    </row>
    <row r="14" spans="1:4" x14ac:dyDescent="0.3">
      <c r="C14" s="14">
        <f>SUM(Table12[Amount])</f>
        <v>2968541</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Billing!C18 + SUMIFS(Table14[Credit], Table14[Party], "Transport")</f>
        <v>2151358.8149231896</v>
      </c>
      <c r="D3" t="s">
        <v>68</v>
      </c>
    </row>
    <row r="4" spans="1:4" x14ac:dyDescent="0.3">
      <c r="B4" s="11" t="s">
        <v>44</v>
      </c>
      <c r="C4" s="11">
        <f>Table12[[#Totals],[Amount]]</f>
        <v>2968541</v>
      </c>
    </row>
    <row r="5" spans="1:4" x14ac:dyDescent="0.3">
      <c r="A5" s="6"/>
      <c r="B5" s="15" t="s">
        <v>69</v>
      </c>
      <c r="C5" s="15">
        <f ca="1">C3-C4</f>
        <v>-817182.18507681042</v>
      </c>
    </row>
    <row r="10" spans="1:4" ht="15" thickBot="1" x14ac:dyDescent="0.35">
      <c r="B10" t="s">
        <v>66</v>
      </c>
      <c r="C10" s="14" t="s">
        <v>67</v>
      </c>
    </row>
    <row r="11" spans="1:4" x14ac:dyDescent="0.3">
      <c r="B11" s="64" t="s">
        <v>0</v>
      </c>
      <c r="C11" s="65">
        <f ca="1">C3</f>
        <v>2151358.8149231896</v>
      </c>
    </row>
    <row r="12" spans="1:4" x14ac:dyDescent="0.3">
      <c r="B12" s="66" t="s">
        <v>70</v>
      </c>
      <c r="C12" s="67">
        <f>SUM(Table14[Credit])</f>
        <v>2080319</v>
      </c>
    </row>
    <row r="13" spans="1:4" ht="15" thickBot="1" x14ac:dyDescent="0.35">
      <c r="B13" s="82" t="s">
        <v>97</v>
      </c>
      <c r="C13" s="81">
        <f ca="1">(C11-C12)</f>
        <v>71039.81492318958</v>
      </c>
    </row>
    <row r="14" spans="1:4" ht="15" thickBot="1" x14ac:dyDescent="0.35">
      <c r="B14" s="66"/>
      <c r="C14" s="67"/>
    </row>
    <row r="15" spans="1:4" x14ac:dyDescent="0.3">
      <c r="B15" s="64" t="s">
        <v>44</v>
      </c>
      <c r="C15" s="65">
        <f>C4</f>
        <v>2968541</v>
      </c>
    </row>
    <row r="16" spans="1:4" x14ac:dyDescent="0.3">
      <c r="B16" s="66" t="s">
        <v>71</v>
      </c>
      <c r="C16" s="67">
        <f>SUM(Table14[Debit])</f>
        <v>1686817</v>
      </c>
    </row>
    <row r="17" spans="2:6" ht="15" thickBot="1" x14ac:dyDescent="0.35">
      <c r="B17" s="82" t="s">
        <v>72</v>
      </c>
      <c r="C17" s="81">
        <f>C15-C16</f>
        <v>1281724</v>
      </c>
    </row>
    <row r="18" spans="2:6" ht="15" thickBot="1" x14ac:dyDescent="0.35">
      <c r="B18" s="66"/>
      <c r="C18" s="67"/>
    </row>
    <row r="19" spans="2:6" ht="15" thickBot="1" x14ac:dyDescent="0.35">
      <c r="B19" s="83" t="s">
        <v>73</v>
      </c>
      <c r="C19" s="84">
        <f>Table18[[#Totals],[amount]]</f>
        <v>393502</v>
      </c>
    </row>
    <row r="20" spans="2:6" ht="15" thickBot="1" x14ac:dyDescent="0.35">
      <c r="B20" s="79"/>
      <c r="C20" s="80"/>
    </row>
    <row r="21" spans="2:6" ht="15" thickBot="1" x14ac:dyDescent="0.35">
      <c r="B21" s="68" t="s">
        <v>74</v>
      </c>
      <c r="C21" s="69">
        <f ca="1">(C13-C17)+C19</f>
        <v>-817182.18507681042</v>
      </c>
      <c r="E21" s="87" t="s">
        <v>75</v>
      </c>
      <c r="F21" s="88">
        <f ca="1">C5*0.05</f>
        <v>-40859.109253840521</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71110</v>
      </c>
      <c r="E35">
        <f>SUBTOTAL(109,Table13[Credit])</f>
        <v>0</v>
      </c>
      <c r="F35">
        <f>Table13[[#Totals],[Debit]]-Table13[[#Totals],[Credit]]</f>
        <v>71110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53"/>
  <sheetViews>
    <sheetView topLeftCell="A18" zoomScale="107" workbookViewId="0">
      <selection activeCell="F37" sqref="F37"/>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44140625" style="10" bestFit="1" customWidth="1"/>
    <col min="5" max="5" width="16.21875" style="10" bestFit="1" customWidth="1"/>
    <col min="6" max="6" width="18.21875" style="10" bestFit="1" customWidth="1"/>
    <col min="7" max="7" width="12.6640625" style="10" bestFit="1" customWidth="1"/>
    <col min="8" max="8" width="18" style="10" bestFit="1" customWidth="1"/>
    <col min="9" max="9" width="12.6640625" style="10" bestFit="1" customWidth="1"/>
    <col min="10" max="10" width="18.21875"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1070697.6956839797</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10706976.956839796</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c r="B36"/>
      <c r="C36"/>
      <c r="D36"/>
      <c r="E36" s="14"/>
      <c r="F36" s="14"/>
      <c r="G36" s="14"/>
      <c r="H36" s="50"/>
      <c r="I36" s="50" cm="1">
        <f t="array" aca="1" ref="I36" ca="1">SUMPRODUCT( SUBTOTAL(109, OFFSET(Table1[tiyar/meters], ROW(Table1[tiyar/meters])-MIN(ROW(Table1[tiyar/meters])), 0, 1)), --(Table1[Bill Number]&lt;&gt;"August Closing CF") )</f>
        <v>205347.47622531091</v>
      </c>
      <c r="J36" s="50" cm="1">
        <f t="array" aca="1" ref="J36" ca="1">SUMPRODUCT( SUBTOTAL(109, OFFSET(Table1[billing], ROW(Table1[billing])-MIN(ROW(Table1[billing])), 0, 1)), --(Table1[Bill Number]&lt;&gt;"August Closing CF") )</f>
        <v>2151358.8149231896</v>
      </c>
      <c r="K36" s="14">
        <f>SUMIFS(Table1[billing], Table1[Bill Number], "&lt;&gt;August Closing CF")</f>
        <v>2151358.8149231896</v>
      </c>
      <c r="P36"/>
      <c r="Q36"/>
      <c r="R36"/>
      <c r="S36"/>
      <c r="T36"/>
      <c r="U36"/>
      <c r="V36"/>
      <c r="W36"/>
      <c r="X36"/>
      <c r="Y36"/>
    </row>
    <row r="37" spans="1:25" x14ac:dyDescent="0.3">
      <c r="P37"/>
      <c r="Q37"/>
      <c r="R37"/>
      <c r="S37"/>
      <c r="T37"/>
      <c r="U37"/>
      <c r="V37"/>
      <c r="W37"/>
      <c r="X37"/>
      <c r="Y37"/>
    </row>
    <row r="38" spans="1:25" x14ac:dyDescent="0.3">
      <c r="D38" s="3" t="s">
        <v>2</v>
      </c>
      <c r="E38" t="s">
        <v>89</v>
      </c>
      <c r="P38"/>
      <c r="Q38"/>
      <c r="R38"/>
      <c r="S38"/>
      <c r="T38"/>
      <c r="U38"/>
      <c r="V38"/>
      <c r="W38"/>
      <c r="X38"/>
      <c r="Y38"/>
    </row>
    <row r="39" spans="1:25" x14ac:dyDescent="0.3">
      <c r="D39" s="3" t="s">
        <v>76</v>
      </c>
      <c r="E39" t="s">
        <v>89</v>
      </c>
      <c r="P39"/>
      <c r="Q39"/>
      <c r="R39"/>
      <c r="S39"/>
      <c r="T39"/>
      <c r="U39"/>
      <c r="V39"/>
      <c r="W39"/>
      <c r="X39"/>
      <c r="Y39"/>
    </row>
    <row r="40" spans="1:25" x14ac:dyDescent="0.3">
      <c r="D40" s="3" t="s">
        <v>80</v>
      </c>
      <c r="E40" t="s">
        <v>89</v>
      </c>
      <c r="P40"/>
      <c r="Q40"/>
      <c r="R40"/>
      <c r="S40"/>
      <c r="T40"/>
      <c r="U40"/>
      <c r="V40"/>
      <c r="W40"/>
      <c r="X40"/>
      <c r="Y40"/>
    </row>
    <row r="41" spans="1:25" x14ac:dyDescent="0.3">
      <c r="P41"/>
      <c r="Q41"/>
      <c r="R41"/>
      <c r="S41"/>
      <c r="T41"/>
      <c r="U41"/>
      <c r="V41"/>
      <c r="W41"/>
      <c r="X41"/>
      <c r="Y41"/>
    </row>
    <row r="42" spans="1:25" x14ac:dyDescent="0.3">
      <c r="D42" s="3" t="s">
        <v>6</v>
      </c>
      <c r="E42" t="s">
        <v>90</v>
      </c>
      <c r="F42" t="s">
        <v>91</v>
      </c>
      <c r="G42" t="s">
        <v>92</v>
      </c>
      <c r="I42" s="3" t="s">
        <v>6</v>
      </c>
      <c r="J42" t="s">
        <v>91</v>
      </c>
      <c r="K42" t="s">
        <v>92</v>
      </c>
      <c r="P42"/>
      <c r="Q42"/>
      <c r="R42"/>
      <c r="S42"/>
      <c r="T42"/>
      <c r="U42"/>
      <c r="V42"/>
      <c r="W42"/>
      <c r="X42"/>
      <c r="Y42"/>
    </row>
    <row r="43" spans="1:25" x14ac:dyDescent="0.3">
      <c r="D43" s="16" t="s">
        <v>164</v>
      </c>
      <c r="E43"/>
      <c r="F43" s="33">
        <v>2395198.4272128749</v>
      </c>
      <c r="G43">
        <v>24131731.938771032</v>
      </c>
      <c r="I43" s="27">
        <v>45888</v>
      </c>
      <c r="J43" s="50">
        <v>2002.56035113387</v>
      </c>
      <c r="K43" s="14">
        <v>20025.603511338701</v>
      </c>
      <c r="P43"/>
      <c r="Q43"/>
      <c r="R43"/>
      <c r="S43"/>
      <c r="T43"/>
      <c r="U43"/>
      <c r="V43"/>
      <c r="W43"/>
      <c r="X43"/>
      <c r="Y43"/>
    </row>
    <row r="44" spans="1:25" x14ac:dyDescent="0.3">
      <c r="D44" s="16">
        <v>835</v>
      </c>
      <c r="E44">
        <v>19968</v>
      </c>
      <c r="F44" s="33">
        <v>18258.961228968546</v>
      </c>
      <c r="G44">
        <v>182589.61228968546</v>
      </c>
      <c r="I44" s="27">
        <v>45916</v>
      </c>
      <c r="J44" s="50">
        <v>2395198.4272128749</v>
      </c>
      <c r="K44" s="14">
        <v>24131731.938771032</v>
      </c>
      <c r="P44"/>
      <c r="Q44"/>
      <c r="R44"/>
      <c r="S44"/>
      <c r="T44"/>
      <c r="U44"/>
      <c r="V44"/>
      <c r="W44"/>
      <c r="X44"/>
      <c r="Y44"/>
    </row>
    <row r="45" spans="1:25" x14ac:dyDescent="0.3">
      <c r="D45" s="16">
        <v>836</v>
      </c>
      <c r="E45">
        <v>28988</v>
      </c>
      <c r="F45" s="33">
        <v>26506.949524506221</v>
      </c>
      <c r="G45">
        <v>318083.39429407462</v>
      </c>
      <c r="I45" s="27">
        <v>45917</v>
      </c>
      <c r="J45" s="50">
        <v>82800.841258229702</v>
      </c>
      <c r="K45" s="14">
        <v>925892.46525237756</v>
      </c>
      <c r="P45"/>
      <c r="Q45"/>
      <c r="R45"/>
      <c r="S45"/>
      <c r="T45"/>
      <c r="U45"/>
      <c r="V45"/>
      <c r="W45"/>
      <c r="X45"/>
      <c r="Y45"/>
    </row>
    <row r="46" spans="1:25" x14ac:dyDescent="0.3">
      <c r="D46" s="16">
        <v>837</v>
      </c>
      <c r="E46">
        <v>3979</v>
      </c>
      <c r="F46" s="33">
        <v>3638.4418434528166</v>
      </c>
      <c r="G46">
        <v>43661.3021214338</v>
      </c>
      <c r="I46" s="27">
        <v>45918</v>
      </c>
      <c r="J46" s="50">
        <v>34217.264081931236</v>
      </c>
      <c r="K46" s="14">
        <v>342172.64081931236</v>
      </c>
      <c r="P46"/>
      <c r="Q46"/>
      <c r="R46"/>
      <c r="S46"/>
      <c r="T46"/>
      <c r="U46"/>
      <c r="V46"/>
      <c r="W46"/>
      <c r="X46"/>
      <c r="Y46"/>
    </row>
    <row r="47" spans="1:25" x14ac:dyDescent="0.3">
      <c r="D47" s="16">
        <v>838</v>
      </c>
      <c r="E47">
        <v>6476</v>
      </c>
      <c r="F47" s="33">
        <v>5921.7264081931244</v>
      </c>
      <c r="G47">
        <v>71060.716898317492</v>
      </c>
      <c r="I47" s="27">
        <v>45919</v>
      </c>
      <c r="J47" s="50">
        <v>26449.341623994151</v>
      </c>
      <c r="K47" s="14">
        <v>264493.41623994149</v>
      </c>
      <c r="P47"/>
      <c r="Q47"/>
      <c r="R47"/>
      <c r="S47"/>
      <c r="T47"/>
      <c r="U47"/>
      <c r="V47"/>
      <c r="W47"/>
      <c r="X47"/>
      <c r="Y47"/>
    </row>
    <row r="48" spans="1:25" x14ac:dyDescent="0.3">
      <c r="D48" s="16">
        <v>839</v>
      </c>
      <c r="E48">
        <v>10952</v>
      </c>
      <c r="F48" s="33">
        <v>10014.630577907828</v>
      </c>
      <c r="G48">
        <v>120175.56693489394</v>
      </c>
      <c r="I48" s="27">
        <v>45920</v>
      </c>
      <c r="J48" s="50"/>
      <c r="K48" s="14">
        <v>0</v>
      </c>
      <c r="P48"/>
      <c r="Q48"/>
      <c r="R48"/>
      <c r="S48"/>
      <c r="T48"/>
      <c r="U48"/>
      <c r="V48"/>
      <c r="W48"/>
      <c r="X48"/>
      <c r="Y48"/>
    </row>
    <row r="49" spans="4:25" x14ac:dyDescent="0.3">
      <c r="D49" s="16">
        <v>840</v>
      </c>
      <c r="E49">
        <v>3128</v>
      </c>
      <c r="F49" s="33">
        <v>2860.2779809802491</v>
      </c>
      <c r="G49">
        <v>34323.335771762991</v>
      </c>
      <c r="I49" s="27" t="s">
        <v>108</v>
      </c>
      <c r="J49" s="50"/>
      <c r="K49" s="14" t="e">
        <v>#N/A</v>
      </c>
      <c r="P49"/>
      <c r="Q49"/>
      <c r="R49"/>
      <c r="S49"/>
      <c r="T49"/>
      <c r="U49"/>
      <c r="V49"/>
      <c r="W49"/>
      <c r="X49"/>
      <c r="Y49"/>
    </row>
    <row r="50" spans="4:25" x14ac:dyDescent="0.3">
      <c r="D50" s="16">
        <v>841</v>
      </c>
      <c r="E50">
        <v>17060</v>
      </c>
      <c r="F50" s="33">
        <v>15599.853694220923</v>
      </c>
      <c r="G50">
        <v>155998.53694220923</v>
      </c>
      <c r="I50" s="27" t="s">
        <v>28</v>
      </c>
      <c r="J50" s="50">
        <v>2540668.4345281636</v>
      </c>
      <c r="K50" s="14" t="e">
        <v>#N/A</v>
      </c>
      <c r="P50"/>
      <c r="Q50"/>
      <c r="R50"/>
      <c r="S50"/>
      <c r="T50"/>
      <c r="U50"/>
      <c r="V50"/>
      <c r="W50"/>
      <c r="X50"/>
      <c r="Y50"/>
    </row>
    <row r="51" spans="4:25" x14ac:dyDescent="0.3">
      <c r="D51" s="16">
        <v>842</v>
      </c>
      <c r="E51"/>
      <c r="F51" s="33">
        <v>0</v>
      </c>
      <c r="G51">
        <v>0</v>
      </c>
      <c r="I51"/>
      <c r="J51"/>
      <c r="K51"/>
      <c r="P51"/>
      <c r="Q51"/>
      <c r="R51"/>
      <c r="S51"/>
      <c r="T51"/>
      <c r="U51"/>
      <c r="V51"/>
      <c r="W51"/>
      <c r="X51"/>
      <c r="Y51"/>
    </row>
    <row r="52" spans="4:25" x14ac:dyDescent="0.3">
      <c r="D52" s="16">
        <v>843</v>
      </c>
      <c r="E52">
        <v>37420</v>
      </c>
      <c r="F52" s="33">
        <v>34217.264081931236</v>
      </c>
      <c r="G52">
        <v>342172.64081931236</v>
      </c>
      <c r="I52"/>
      <c r="J52"/>
      <c r="K52"/>
      <c r="P52"/>
      <c r="Q52"/>
      <c r="R52"/>
      <c r="S52"/>
      <c r="T52"/>
      <c r="U52"/>
      <c r="V52"/>
      <c r="W52"/>
      <c r="X52"/>
      <c r="Y52"/>
    </row>
    <row r="53" spans="4:25" x14ac:dyDescent="0.3">
      <c r="D53" s="16">
        <v>844</v>
      </c>
      <c r="E53">
        <v>2641</v>
      </c>
      <c r="F53" s="33">
        <v>2414.9597659107535</v>
      </c>
      <c r="G53">
        <v>24149.597659107534</v>
      </c>
      <c r="I53"/>
      <c r="J53"/>
      <c r="K53"/>
      <c r="P53"/>
      <c r="Q53"/>
      <c r="R53"/>
      <c r="S53"/>
      <c r="T53"/>
      <c r="U53"/>
      <c r="V53"/>
      <c r="W53"/>
      <c r="X53"/>
      <c r="Y53"/>
    </row>
    <row r="54" spans="4:25" x14ac:dyDescent="0.3">
      <c r="D54" s="16">
        <v>845</v>
      </c>
      <c r="E54"/>
      <c r="F54" s="33">
        <v>0</v>
      </c>
      <c r="G54">
        <v>0</v>
      </c>
      <c r="I54"/>
      <c r="J54"/>
      <c r="K54"/>
      <c r="P54"/>
      <c r="Q54"/>
      <c r="R54"/>
      <c r="S54"/>
      <c r="T54"/>
      <c r="U54"/>
      <c r="V54"/>
      <c r="W54"/>
      <c r="X54"/>
      <c r="Y54"/>
    </row>
    <row r="55" spans="4:25" x14ac:dyDescent="0.3">
      <c r="D55" s="16">
        <v>846</v>
      </c>
      <c r="E55">
        <v>2190</v>
      </c>
      <c r="F55" s="33">
        <v>2002.56035113387</v>
      </c>
      <c r="G55">
        <v>20025.603511338701</v>
      </c>
      <c r="I55"/>
      <c r="J55"/>
      <c r="K55"/>
      <c r="P55"/>
      <c r="Q55"/>
      <c r="R55"/>
      <c r="S55"/>
      <c r="T55"/>
      <c r="U55"/>
      <c r="V55"/>
      <c r="W55"/>
      <c r="X55"/>
      <c r="Y55"/>
    </row>
    <row r="56" spans="4:25" x14ac:dyDescent="0.3">
      <c r="D56" s="16">
        <v>847</v>
      </c>
      <c r="E56">
        <v>26284</v>
      </c>
      <c r="F56" s="33">
        <v>24034.381858083398</v>
      </c>
      <c r="G56">
        <v>240343.81858083396</v>
      </c>
      <c r="I56"/>
      <c r="J56"/>
      <c r="K56"/>
      <c r="P56"/>
      <c r="Q56"/>
      <c r="R56"/>
      <c r="S56"/>
      <c r="T56"/>
      <c r="U56"/>
      <c r="V56"/>
      <c r="W56"/>
      <c r="X56"/>
      <c r="Y56"/>
    </row>
    <row r="57" spans="4:25" x14ac:dyDescent="0.3">
      <c r="D57" s="16">
        <v>848</v>
      </c>
      <c r="E57"/>
      <c r="F57" s="33"/>
      <c r="G57">
        <v>0</v>
      </c>
      <c r="I57"/>
      <c r="J57"/>
      <c r="K57"/>
      <c r="P57"/>
      <c r="Q57"/>
      <c r="R57"/>
      <c r="S57"/>
      <c r="T57"/>
      <c r="U57"/>
      <c r="V57"/>
      <c r="W57"/>
      <c r="X57"/>
      <c r="Y57"/>
    </row>
    <row r="58" spans="4:25" x14ac:dyDescent="0.3">
      <c r="D58" s="16" t="s">
        <v>108</v>
      </c>
      <c r="E58"/>
      <c r="F58" s="33"/>
      <c r="G58" t="e">
        <v>#N/A</v>
      </c>
      <c r="I58"/>
      <c r="J58"/>
      <c r="K58"/>
      <c r="P58"/>
      <c r="Q58"/>
      <c r="R58"/>
      <c r="S58"/>
      <c r="T58"/>
      <c r="U58"/>
      <c r="V58"/>
      <c r="W58"/>
    </row>
    <row r="59" spans="4:25" x14ac:dyDescent="0.3">
      <c r="D59" s="16">
        <v>849</v>
      </c>
      <c r="E59">
        <v>6883</v>
      </c>
      <c r="F59" s="33"/>
      <c r="G59">
        <v>0</v>
      </c>
      <c r="I59"/>
      <c r="J59"/>
      <c r="K59"/>
      <c r="P59"/>
      <c r="Q59"/>
      <c r="R59"/>
      <c r="S59"/>
      <c r="T59"/>
      <c r="U59"/>
    </row>
    <row r="60" spans="4:25" x14ac:dyDescent="0.3">
      <c r="D60" s="16">
        <v>850</v>
      </c>
      <c r="E60"/>
      <c r="F60" s="33"/>
      <c r="G60">
        <v>0</v>
      </c>
      <c r="I60"/>
      <c r="J60"/>
      <c r="K60"/>
      <c r="L60"/>
      <c r="M60"/>
      <c r="P60"/>
      <c r="Q60"/>
      <c r="R60"/>
      <c r="S60"/>
      <c r="T60"/>
      <c r="U60"/>
    </row>
    <row r="61" spans="4:25" x14ac:dyDescent="0.3">
      <c r="D61" s="16">
        <v>851</v>
      </c>
      <c r="E61"/>
      <c r="F61" s="33"/>
      <c r="G61">
        <v>0</v>
      </c>
      <c r="I61"/>
      <c r="J61"/>
      <c r="K61"/>
      <c r="L61"/>
      <c r="M61"/>
      <c r="P61"/>
      <c r="Q61"/>
      <c r="R61"/>
      <c r="S61"/>
    </row>
    <row r="62" spans="4:25" x14ac:dyDescent="0.3">
      <c r="D62" s="16">
        <v>852</v>
      </c>
      <c r="E62">
        <v>10423</v>
      </c>
      <c r="F62" s="33"/>
      <c r="G62">
        <v>0</v>
      </c>
      <c r="I62"/>
      <c r="J62"/>
      <c r="K62"/>
      <c r="L62"/>
      <c r="M62"/>
      <c r="P62"/>
      <c r="Q62"/>
      <c r="R62"/>
      <c r="S62"/>
    </row>
    <row r="63" spans="4:25" x14ac:dyDescent="0.3">
      <c r="D63" s="16">
        <v>853</v>
      </c>
      <c r="E63">
        <v>22769</v>
      </c>
      <c r="F63" s="33"/>
      <c r="G63">
        <v>0</v>
      </c>
      <c r="I63"/>
      <c r="J63"/>
      <c r="K63"/>
      <c r="L63"/>
      <c r="M63"/>
      <c r="P63"/>
      <c r="Q63"/>
      <c r="R63"/>
      <c r="S63"/>
    </row>
    <row r="64" spans="4:25" x14ac:dyDescent="0.3">
      <c r="D64" s="16">
        <v>854</v>
      </c>
      <c r="E64">
        <v>25407</v>
      </c>
      <c r="F64" s="33"/>
      <c r="G64">
        <v>0</v>
      </c>
      <c r="I64"/>
      <c r="J64"/>
      <c r="K64"/>
      <c r="L64"/>
      <c r="M64"/>
      <c r="P64"/>
      <c r="Q64"/>
      <c r="R64"/>
      <c r="S64"/>
    </row>
    <row r="65" spans="4:19" x14ac:dyDescent="0.3">
      <c r="D65" s="16" t="s">
        <v>28</v>
      </c>
      <c r="E65">
        <v>224568</v>
      </c>
      <c r="F65" s="33">
        <v>2540668.4345281641</v>
      </c>
      <c r="G65" t="e">
        <v>#N/A</v>
      </c>
      <c r="I65"/>
      <c r="J65"/>
      <c r="K65"/>
      <c r="L65"/>
      <c r="M65"/>
      <c r="P65"/>
      <c r="Q65"/>
      <c r="R65"/>
      <c r="S65"/>
    </row>
    <row r="66" spans="4:19" x14ac:dyDescent="0.3">
      <c r="D66"/>
      <c r="E66"/>
      <c r="F66"/>
      <c r="G66"/>
      <c r="I66"/>
      <c r="J66"/>
      <c r="K66"/>
      <c r="L66"/>
      <c r="M66"/>
      <c r="P66"/>
      <c r="Q66"/>
      <c r="R66"/>
      <c r="S66"/>
    </row>
    <row r="67" spans="4:19" x14ac:dyDescent="0.3">
      <c r="D67"/>
      <c r="E67"/>
      <c r="F67"/>
      <c r="G67"/>
      <c r="I67"/>
      <c r="J67"/>
      <c r="K67"/>
      <c r="L67"/>
      <c r="M67"/>
      <c r="P67"/>
      <c r="Q67"/>
      <c r="R67"/>
      <c r="S67"/>
    </row>
    <row r="68" spans="4:19" x14ac:dyDescent="0.3">
      <c r="D68"/>
      <c r="E68"/>
      <c r="F68"/>
      <c r="G68"/>
      <c r="I68"/>
      <c r="J68"/>
      <c r="K68"/>
      <c r="L68"/>
      <c r="M68"/>
      <c r="P68"/>
      <c r="Q68"/>
      <c r="R68"/>
      <c r="S68"/>
    </row>
    <row r="69" spans="4:19" x14ac:dyDescent="0.3">
      <c r="D69"/>
      <c r="E69"/>
      <c r="F69"/>
      <c r="G69"/>
      <c r="L69"/>
      <c r="M69"/>
      <c r="P69"/>
      <c r="Q69"/>
      <c r="R69"/>
      <c r="S69"/>
    </row>
    <row r="70" spans="4:19" x14ac:dyDescent="0.3">
      <c r="D70"/>
      <c r="E70"/>
      <c r="F70"/>
      <c r="G70"/>
      <c r="P70"/>
      <c r="Q70"/>
      <c r="R70"/>
      <c r="S70"/>
    </row>
    <row r="71" spans="4:19" x14ac:dyDescent="0.3">
      <c r="D71"/>
      <c r="E71"/>
      <c r="F71"/>
      <c r="G71"/>
      <c r="P71"/>
      <c r="Q71"/>
      <c r="R71"/>
      <c r="S71"/>
    </row>
    <row r="72" spans="4:19" x14ac:dyDescent="0.3">
      <c r="D72"/>
      <c r="E72"/>
      <c r="F72"/>
      <c r="G72"/>
      <c r="P72"/>
      <c r="Q72"/>
      <c r="R72"/>
      <c r="S72"/>
    </row>
    <row r="73" spans="4:19" x14ac:dyDescent="0.3">
      <c r="D73"/>
      <c r="E73"/>
      <c r="F73"/>
      <c r="G73"/>
      <c r="O73"/>
      <c r="P73"/>
      <c r="Q73"/>
    </row>
    <row r="74" spans="4:19" x14ac:dyDescent="0.3">
      <c r="D74"/>
      <c r="E74"/>
      <c r="F74"/>
      <c r="G74"/>
      <c r="O74"/>
      <c r="P74"/>
      <c r="Q74"/>
    </row>
    <row r="75" spans="4:19" x14ac:dyDescent="0.3">
      <c r="D75"/>
      <c r="E75"/>
      <c r="F75"/>
      <c r="G75"/>
      <c r="O75"/>
      <c r="P75"/>
      <c r="Q75"/>
    </row>
    <row r="76" spans="4:19" x14ac:dyDescent="0.3">
      <c r="D76"/>
      <c r="E76"/>
      <c r="F76"/>
      <c r="G76"/>
      <c r="O76"/>
      <c r="P76"/>
      <c r="Q76"/>
    </row>
    <row r="77" spans="4:19" x14ac:dyDescent="0.3">
      <c r="D77"/>
      <c r="E77"/>
      <c r="F77"/>
      <c r="G77"/>
      <c r="O77"/>
      <c r="P77"/>
      <c r="Q77"/>
    </row>
    <row r="78" spans="4:19" x14ac:dyDescent="0.3">
      <c r="D78"/>
      <c r="E78"/>
      <c r="F78"/>
      <c r="G78"/>
      <c r="O78"/>
      <c r="P78"/>
      <c r="Q78"/>
    </row>
    <row r="79" spans="4:19" x14ac:dyDescent="0.3">
      <c r="D79"/>
      <c r="E79"/>
      <c r="F79"/>
      <c r="G79"/>
      <c r="O79"/>
      <c r="P79"/>
      <c r="Q79"/>
    </row>
    <row r="80" spans="4:19" x14ac:dyDescent="0.3">
      <c r="D80"/>
      <c r="E80"/>
      <c r="F80"/>
      <c r="G80"/>
      <c r="O80"/>
      <c r="P80"/>
      <c r="Q80"/>
    </row>
    <row r="81" spans="4:17" x14ac:dyDescent="0.3">
      <c r="D81"/>
      <c r="E81"/>
      <c r="F81"/>
      <c r="G81"/>
      <c r="O81"/>
      <c r="P81"/>
      <c r="Q81"/>
    </row>
    <row r="82" spans="4:17" x14ac:dyDescent="0.3">
      <c r="D82"/>
      <c r="E82"/>
      <c r="F82"/>
      <c r="G82"/>
      <c r="O82"/>
      <c r="P82"/>
      <c r="Q82"/>
    </row>
    <row r="83" spans="4:17" x14ac:dyDescent="0.3">
      <c r="D83"/>
      <c r="E83"/>
      <c r="F83"/>
      <c r="G83"/>
      <c r="O83"/>
      <c r="P83"/>
      <c r="Q83"/>
    </row>
    <row r="84" spans="4:17" x14ac:dyDescent="0.3">
      <c r="D84"/>
      <c r="E84"/>
      <c r="F84"/>
      <c r="G84"/>
      <c r="P84"/>
      <c r="Q84"/>
    </row>
    <row r="85" spans="4:17" x14ac:dyDescent="0.3">
      <c r="D85"/>
      <c r="E85"/>
      <c r="F85"/>
      <c r="G85"/>
      <c r="P85"/>
      <c r="Q85"/>
    </row>
    <row r="86" spans="4:17" x14ac:dyDescent="0.3">
      <c r="D86"/>
      <c r="E86"/>
      <c r="F86"/>
      <c r="G86"/>
      <c r="P86"/>
      <c r="Q86"/>
    </row>
    <row r="87" spans="4:17" x14ac:dyDescent="0.3">
      <c r="D87"/>
      <c r="E87"/>
      <c r="F87"/>
      <c r="G87"/>
      <c r="P87"/>
      <c r="Q87"/>
    </row>
    <row r="88" spans="4:17" x14ac:dyDescent="0.3">
      <c r="D88"/>
      <c r="E88"/>
      <c r="F88"/>
      <c r="G88"/>
      <c r="P88"/>
      <c r="Q88"/>
    </row>
    <row r="89" spans="4:17" x14ac:dyDescent="0.3">
      <c r="D89"/>
      <c r="E89"/>
      <c r="F89"/>
      <c r="G89"/>
      <c r="P89"/>
      <c r="Q89"/>
    </row>
    <row r="90" spans="4:17" x14ac:dyDescent="0.3">
      <c r="D90"/>
      <c r="E90"/>
      <c r="F90"/>
      <c r="G90"/>
      <c r="P90"/>
      <c r="Q90"/>
    </row>
    <row r="91" spans="4:17" x14ac:dyDescent="0.3">
      <c r="D91"/>
      <c r="E91"/>
      <c r="F91"/>
      <c r="G91"/>
      <c r="P91"/>
      <c r="Q91"/>
    </row>
    <row r="92" spans="4:17" x14ac:dyDescent="0.3">
      <c r="D92"/>
      <c r="E92"/>
      <c r="F92"/>
      <c r="G92"/>
      <c r="P92"/>
      <c r="Q92"/>
    </row>
    <row r="93" spans="4:17" x14ac:dyDescent="0.3">
      <c r="D93"/>
      <c r="E93"/>
      <c r="F93"/>
      <c r="G93"/>
      <c r="P93"/>
      <c r="Q93"/>
    </row>
    <row r="94" spans="4:17" x14ac:dyDescent="0.3">
      <c r="D94"/>
      <c r="E94"/>
      <c r="F94"/>
      <c r="G94"/>
      <c r="P94"/>
      <c r="Q94"/>
    </row>
    <row r="95" spans="4:17" x14ac:dyDescent="0.3">
      <c r="D95"/>
      <c r="E95"/>
      <c r="F95"/>
      <c r="G95"/>
      <c r="O95"/>
      <c r="P95"/>
      <c r="Q95"/>
    </row>
    <row r="96" spans="4:17" x14ac:dyDescent="0.3">
      <c r="D96"/>
      <c r="E96"/>
      <c r="F96"/>
      <c r="G96"/>
      <c r="O96"/>
      <c r="P96"/>
      <c r="Q96"/>
    </row>
    <row r="97" spans="4:17" x14ac:dyDescent="0.3">
      <c r="D97"/>
      <c r="E97"/>
      <c r="F97"/>
      <c r="G97"/>
      <c r="O97"/>
      <c r="P97"/>
      <c r="Q97"/>
    </row>
    <row r="98" spans="4:17" x14ac:dyDescent="0.3">
      <c r="D98"/>
      <c r="E98"/>
      <c r="F98"/>
      <c r="G98"/>
      <c r="L98"/>
      <c r="M98"/>
      <c r="O98"/>
      <c r="P98"/>
      <c r="Q98"/>
    </row>
    <row r="99" spans="4:17" x14ac:dyDescent="0.3">
      <c r="D99"/>
      <c r="E99"/>
      <c r="F99"/>
      <c r="G99"/>
      <c r="L99"/>
      <c r="M99"/>
      <c r="O99"/>
      <c r="P99"/>
      <c r="Q99"/>
    </row>
    <row r="100" spans="4:17" x14ac:dyDescent="0.3">
      <c r="D100"/>
      <c r="E100"/>
      <c r="F100"/>
      <c r="G100"/>
      <c r="L100"/>
      <c r="M100"/>
      <c r="O100"/>
      <c r="P100"/>
      <c r="Q100"/>
    </row>
    <row r="101" spans="4:17" x14ac:dyDescent="0.3">
      <c r="D101"/>
      <c r="E101"/>
      <c r="F101"/>
      <c r="G101"/>
      <c r="L101"/>
      <c r="M101"/>
      <c r="N101"/>
      <c r="O101"/>
      <c r="P101"/>
      <c r="Q101"/>
    </row>
    <row r="102" spans="4:17" x14ac:dyDescent="0.3">
      <c r="D102"/>
      <c r="E102"/>
      <c r="F102"/>
      <c r="G102"/>
      <c r="L102"/>
      <c r="M102"/>
      <c r="N102"/>
      <c r="O102"/>
      <c r="P102"/>
      <c r="Q102"/>
    </row>
    <row r="103" spans="4:17" x14ac:dyDescent="0.3">
      <c r="D103"/>
      <c r="E103"/>
      <c r="F103"/>
      <c r="G103"/>
      <c r="L103"/>
      <c r="M103"/>
      <c r="N103"/>
      <c r="O103"/>
      <c r="P103"/>
      <c r="Q103"/>
    </row>
    <row r="104" spans="4:17" x14ac:dyDescent="0.3">
      <c r="D104"/>
      <c r="E104"/>
      <c r="F104"/>
      <c r="G104"/>
      <c r="L104"/>
      <c r="M104"/>
      <c r="N104"/>
      <c r="O104"/>
      <c r="P104"/>
      <c r="Q104"/>
    </row>
    <row r="105" spans="4:17" x14ac:dyDescent="0.3">
      <c r="D105"/>
      <c r="E105"/>
      <c r="F105"/>
      <c r="G105"/>
      <c r="L105"/>
      <c r="M105"/>
      <c r="N105"/>
      <c r="O105"/>
    </row>
    <row r="106" spans="4:17" x14ac:dyDescent="0.3">
      <c r="D106"/>
      <c r="E106"/>
      <c r="F106"/>
      <c r="G106"/>
      <c r="L106"/>
      <c r="M106"/>
      <c r="N106"/>
      <c r="O106"/>
    </row>
    <row r="107" spans="4:17" x14ac:dyDescent="0.3">
      <c r="D107"/>
      <c r="E107"/>
      <c r="F107"/>
      <c r="G107"/>
      <c r="L107"/>
      <c r="M107"/>
      <c r="N107"/>
      <c r="O107"/>
    </row>
    <row r="108" spans="4:17" x14ac:dyDescent="0.3">
      <c r="D108"/>
      <c r="E108"/>
      <c r="F108"/>
      <c r="G108"/>
      <c r="L108"/>
      <c r="M108"/>
      <c r="N108"/>
      <c r="O108"/>
    </row>
    <row r="109" spans="4:17" x14ac:dyDescent="0.3">
      <c r="D109"/>
      <c r="E109"/>
      <c r="F109"/>
      <c r="G109"/>
      <c r="L109"/>
      <c r="M109"/>
      <c r="N109"/>
      <c r="O109"/>
    </row>
    <row r="110" spans="4:17" x14ac:dyDescent="0.3">
      <c r="D110"/>
      <c r="E110"/>
      <c r="F110"/>
      <c r="G110"/>
      <c r="L110"/>
      <c r="M110"/>
      <c r="N110"/>
      <c r="O110"/>
    </row>
    <row r="111" spans="4:17" x14ac:dyDescent="0.3">
      <c r="D111"/>
      <c r="E111"/>
      <c r="F111"/>
      <c r="G111"/>
      <c r="L111"/>
      <c r="M111"/>
      <c r="N111"/>
      <c r="O111"/>
    </row>
    <row r="112" spans="4:17" x14ac:dyDescent="0.3">
      <c r="D112"/>
      <c r="E112"/>
      <c r="F112"/>
      <c r="G112"/>
      <c r="L112"/>
      <c r="M112"/>
      <c r="N112"/>
      <c r="O112"/>
    </row>
    <row r="113" spans="4:15" x14ac:dyDescent="0.3">
      <c r="D113"/>
      <c r="E113"/>
      <c r="F113"/>
      <c r="G113"/>
      <c r="L113"/>
      <c r="M113"/>
      <c r="N113"/>
      <c r="O113"/>
    </row>
    <row r="114" spans="4:15" x14ac:dyDescent="0.3">
      <c r="D114"/>
      <c r="E114"/>
      <c r="F114"/>
      <c r="G114"/>
      <c r="L114"/>
      <c r="M114"/>
      <c r="N114"/>
      <c r="O114"/>
    </row>
    <row r="115" spans="4:15" x14ac:dyDescent="0.3">
      <c r="D115"/>
      <c r="E115"/>
      <c r="F115"/>
      <c r="G115"/>
      <c r="L115"/>
      <c r="M115"/>
      <c r="N115"/>
      <c r="O115"/>
    </row>
    <row r="116" spans="4:15" x14ac:dyDescent="0.3">
      <c r="D116"/>
      <c r="E116"/>
      <c r="F116"/>
      <c r="G116"/>
      <c r="L116"/>
      <c r="M116"/>
      <c r="N116"/>
    </row>
    <row r="117" spans="4:15" x14ac:dyDescent="0.3">
      <c r="D117"/>
      <c r="E117"/>
      <c r="F117"/>
      <c r="G117"/>
      <c r="L117"/>
      <c r="M117"/>
      <c r="N117"/>
    </row>
    <row r="118" spans="4:15" x14ac:dyDescent="0.3">
      <c r="D118"/>
      <c r="E118"/>
      <c r="F118"/>
      <c r="G118"/>
      <c r="L118"/>
      <c r="M118"/>
      <c r="N118"/>
    </row>
    <row r="119" spans="4:15" x14ac:dyDescent="0.3">
      <c r="D119"/>
      <c r="E119"/>
      <c r="F119"/>
      <c r="G119"/>
      <c r="L119"/>
      <c r="M119"/>
      <c r="N119"/>
    </row>
    <row r="120" spans="4:15" x14ac:dyDescent="0.3">
      <c r="D120"/>
      <c r="E120"/>
      <c r="F120"/>
      <c r="G120"/>
      <c r="L120"/>
      <c r="M120"/>
      <c r="N120"/>
    </row>
    <row r="121" spans="4:15" x14ac:dyDescent="0.3">
      <c r="D121"/>
      <c r="E121"/>
      <c r="F121"/>
      <c r="G121"/>
      <c r="L121"/>
      <c r="M121"/>
      <c r="N121"/>
    </row>
    <row r="122" spans="4:15" x14ac:dyDescent="0.3">
      <c r="D122"/>
      <c r="E122"/>
      <c r="F122"/>
      <c r="G122"/>
      <c r="L122"/>
      <c r="M122"/>
      <c r="N122"/>
    </row>
    <row r="123" spans="4:15" x14ac:dyDescent="0.3">
      <c r="D123"/>
      <c r="E123"/>
      <c r="F123"/>
      <c r="G123"/>
      <c r="L123"/>
      <c r="M123"/>
      <c r="N123"/>
    </row>
    <row r="124" spans="4:15" x14ac:dyDescent="0.3">
      <c r="D124"/>
      <c r="E124"/>
      <c r="F124"/>
      <c r="G124"/>
      <c r="L124"/>
      <c r="M124"/>
      <c r="N124"/>
    </row>
    <row r="125" spans="4:15" x14ac:dyDescent="0.3">
      <c r="D125"/>
      <c r="E125"/>
      <c r="F125"/>
      <c r="G125"/>
      <c r="L125"/>
      <c r="M125"/>
      <c r="N125"/>
    </row>
    <row r="126" spans="4:15" x14ac:dyDescent="0.3">
      <c r="D126"/>
      <c r="E126"/>
      <c r="F126"/>
      <c r="G126"/>
      <c r="L126"/>
      <c r="M126"/>
      <c r="N126"/>
    </row>
    <row r="127" spans="4:15" x14ac:dyDescent="0.3">
      <c r="D127"/>
      <c r="E127"/>
      <c r="F127"/>
      <c r="G127"/>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44"/>
  <sheetViews>
    <sheetView tabSelected="1" topLeftCell="A9" zoomScale="152" workbookViewId="0">
      <selection activeCell="E19" sqref="E19"/>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
        <f t="shared" ref="G5:G7" si="0">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
        <f t="shared" si="0"/>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v>1196</v>
      </c>
      <c r="D14" s="11">
        <v>171</v>
      </c>
      <c r="E14" s="11">
        <v>810</v>
      </c>
      <c r="F14" s="11">
        <v>34300</v>
      </c>
      <c r="G14" s="11">
        <f t="shared" ref="G14:G21" si="2">D14*E14</f>
        <v>138510</v>
      </c>
      <c r="H14" s="11">
        <f>SUMIFS(Table14[Debit], Table14[Date], Table3[[#This Row],[Date]], Table14[Party], Table3[[#This Row],[Party Name]])</f>
        <v>234300</v>
      </c>
      <c r="I14" s="11">
        <f>(D14*E14)-Table3[[#This Row],[Paid]]</f>
        <v>-95790</v>
      </c>
      <c r="N14" s="17">
        <f>SUM(Table3[Total])</f>
        <v>1602665</v>
      </c>
    </row>
    <row r="15" spans="1:14" x14ac:dyDescent="0.3">
      <c r="A15" s="1">
        <v>45919</v>
      </c>
      <c r="B15" t="s">
        <v>98</v>
      </c>
      <c r="C15">
        <v>1196</v>
      </c>
      <c r="D15" s="11">
        <v>35</v>
      </c>
      <c r="E15" s="11">
        <v>765</v>
      </c>
      <c r="F15" s="11"/>
      <c r="G15" s="11">
        <f t="shared" si="2"/>
        <v>26775</v>
      </c>
      <c r="H15" s="11"/>
      <c r="I15" s="11">
        <f>(D15*E15)-Table3[[#This Row],[Paid]]</f>
        <v>26775</v>
      </c>
    </row>
    <row r="16" spans="1:14" x14ac:dyDescent="0.3">
      <c r="A16" s="1">
        <v>45920</v>
      </c>
      <c r="B16" t="s">
        <v>98</v>
      </c>
      <c r="C16">
        <v>4366</v>
      </c>
      <c r="D16" s="11">
        <v>262</v>
      </c>
      <c r="E16" s="11">
        <v>810</v>
      </c>
      <c r="F16" s="11">
        <v>43000</v>
      </c>
      <c r="G16" s="11">
        <f t="shared" si="2"/>
        <v>212220</v>
      </c>
      <c r="H16" s="11">
        <f>SUMIFS(Table14[Debit], Table14[Date], Table3[[#This Row],[Date]], Table14[Party], Table3[[#This Row],[Party Name]])</f>
        <v>223385</v>
      </c>
      <c r="I16" s="11">
        <f>(D16*E16)-Table3[[#This Row],[Paid]]</f>
        <v>-11165</v>
      </c>
    </row>
    <row r="17" spans="1:11" x14ac:dyDescent="0.3">
      <c r="A17" s="1">
        <v>45920</v>
      </c>
      <c r="B17" t="s">
        <v>98</v>
      </c>
      <c r="C17">
        <v>442</v>
      </c>
      <c r="D17" s="11">
        <v>287</v>
      </c>
      <c r="E17" s="11">
        <v>765</v>
      </c>
      <c r="F17" s="11">
        <v>30385</v>
      </c>
      <c r="G17" s="11">
        <f t="shared" si="2"/>
        <v>219555</v>
      </c>
      <c r="H17" s="11"/>
      <c r="I17" s="11">
        <f>(D17*E17)-Table3[[#This Row],[Paid]]</f>
        <v>219555</v>
      </c>
    </row>
    <row r="18" spans="1:1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v>6613</v>
      </c>
      <c r="D19" s="11">
        <v>215</v>
      </c>
      <c r="E19" s="11">
        <v>765</v>
      </c>
      <c r="F19" s="11">
        <v>36000</v>
      </c>
      <c r="G19" s="11">
        <f t="shared" si="2"/>
        <v>164475</v>
      </c>
      <c r="H19" s="11">
        <f>SUMIFS(Table14[Debit], Table14[Date], Table3[[#This Row],[Date]], Table14[Party], Table3[[#This Row],[Party Name]])</f>
        <v>36000</v>
      </c>
      <c r="I19" s="11">
        <f>(D19*E19)-Table3[[#This Row],[Paid]]</f>
        <v>128475</v>
      </c>
    </row>
    <row r="20" spans="1:11" x14ac:dyDescent="0.3">
      <c r="A20" s="1"/>
      <c r="D20" s="11"/>
      <c r="E20" s="11"/>
      <c r="F20" s="11"/>
      <c r="G20" s="11">
        <f t="shared" si="2"/>
        <v>0</v>
      </c>
      <c r="H20" s="11"/>
      <c r="I20" s="11">
        <f>(D20*E20)-Table3[[#This Row],[Paid]]</f>
        <v>0</v>
      </c>
    </row>
    <row r="21" spans="1:11" x14ac:dyDescent="0.3">
      <c r="A21" s="1"/>
      <c r="D21" s="11"/>
      <c r="E21" s="11"/>
      <c r="F21" s="11"/>
      <c r="G21" s="11">
        <f t="shared" si="2"/>
        <v>0</v>
      </c>
      <c r="H21" s="11"/>
      <c r="I21" s="11">
        <f>(D21*E21)-Table3[[#This Row],[Paid]]</f>
        <v>0</v>
      </c>
    </row>
    <row r="22" spans="1:11" x14ac:dyDescent="0.3">
      <c r="A22" s="1" t="s">
        <v>102</v>
      </c>
      <c r="D22" s="14"/>
      <c r="E22" s="14"/>
      <c r="F22" s="14"/>
      <c r="G22" s="14">
        <f>SUBTOTAL(109,Table3[Total])</f>
        <v>1602665</v>
      </c>
      <c r="H22" s="14">
        <f>SUBTOTAL(109,Table3[Paid])</f>
        <v>1337271</v>
      </c>
      <c r="I22" s="14">
        <f>SUBTOTAL(109,Table3[balance])</f>
        <v>2820271</v>
      </c>
    </row>
    <row r="23" spans="1:11" x14ac:dyDescent="0.3">
      <c r="E23" s="3" t="s">
        <v>2</v>
      </c>
      <c r="F23" t="s">
        <v>89</v>
      </c>
    </row>
    <row r="25" spans="1:11" x14ac:dyDescent="0.3">
      <c r="E25" s="3" t="s">
        <v>103</v>
      </c>
      <c r="F25" t="s">
        <v>104</v>
      </c>
      <c r="G25" t="s">
        <v>105</v>
      </c>
      <c r="H25" t="s">
        <v>106</v>
      </c>
      <c r="I25" t="s">
        <v>107</v>
      </c>
    </row>
    <row r="26" spans="1:11" x14ac:dyDescent="0.3">
      <c r="E26" s="27">
        <v>45916</v>
      </c>
      <c r="F26" s="14">
        <v>579</v>
      </c>
      <c r="G26" s="14">
        <v>448190</v>
      </c>
      <c r="H26" s="14">
        <v>361826</v>
      </c>
      <c r="I26" s="14">
        <v>2641241</v>
      </c>
    </row>
    <row r="27" spans="1:11" x14ac:dyDescent="0.3">
      <c r="E27" s="49" t="s">
        <v>108</v>
      </c>
      <c r="F27" s="14">
        <v>80</v>
      </c>
      <c r="G27" s="14">
        <v>44000</v>
      </c>
      <c r="H27" s="14">
        <v>0</v>
      </c>
      <c r="I27" s="14">
        <v>44000</v>
      </c>
    </row>
    <row r="28" spans="1:11" x14ac:dyDescent="0.3">
      <c r="E28" s="49" t="s">
        <v>99</v>
      </c>
      <c r="F28" s="14"/>
      <c r="G28" s="14">
        <v>0</v>
      </c>
      <c r="H28" s="14">
        <v>0</v>
      </c>
      <c r="I28" s="14">
        <v>2554877</v>
      </c>
    </row>
    <row r="29" spans="1:11" x14ac:dyDescent="0.3">
      <c r="E29" s="49">
        <v>112</v>
      </c>
      <c r="F29" s="14">
        <v>237</v>
      </c>
      <c r="G29" s="14">
        <v>191970</v>
      </c>
      <c r="H29" s="14">
        <v>361826</v>
      </c>
      <c r="I29" s="14">
        <v>-169856</v>
      </c>
      <c r="K29" s="14"/>
    </row>
    <row r="30" spans="1:11" x14ac:dyDescent="0.3">
      <c r="E30" s="49">
        <v>1435</v>
      </c>
      <c r="F30" s="14">
        <v>262</v>
      </c>
      <c r="G30" s="14">
        <v>212220</v>
      </c>
      <c r="H30" s="14"/>
      <c r="I30" s="14">
        <v>212220</v>
      </c>
    </row>
    <row r="31" spans="1:11" x14ac:dyDescent="0.3">
      <c r="E31" s="27">
        <v>45917</v>
      </c>
      <c r="F31" s="14">
        <v>261</v>
      </c>
      <c r="G31" s="14">
        <v>143550</v>
      </c>
      <c r="H31" s="14">
        <v>120000</v>
      </c>
      <c r="I31" s="14">
        <v>23550</v>
      </c>
    </row>
    <row r="32" spans="1:11" x14ac:dyDescent="0.3">
      <c r="E32" s="49" t="s">
        <v>108</v>
      </c>
      <c r="F32" s="14">
        <v>261</v>
      </c>
      <c r="G32" s="14">
        <v>143550</v>
      </c>
      <c r="H32" s="14">
        <v>120000</v>
      </c>
      <c r="I32" s="14">
        <v>23550</v>
      </c>
    </row>
    <row r="33" spans="5:9" x14ac:dyDescent="0.3">
      <c r="E33" s="27">
        <v>45918</v>
      </c>
      <c r="F33" s="14">
        <v>291</v>
      </c>
      <c r="G33" s="14">
        <v>227390</v>
      </c>
      <c r="H33" s="14">
        <v>361760</v>
      </c>
      <c r="I33" s="14">
        <v>-134370</v>
      </c>
    </row>
    <row r="34" spans="5:9" x14ac:dyDescent="0.3">
      <c r="E34" s="49" t="s">
        <v>108</v>
      </c>
      <c r="F34" s="14">
        <v>32</v>
      </c>
      <c r="G34" s="14">
        <v>17600</v>
      </c>
      <c r="H34" s="14">
        <v>120000</v>
      </c>
      <c r="I34" s="14">
        <v>-102400</v>
      </c>
    </row>
    <row r="35" spans="5:9" x14ac:dyDescent="0.3">
      <c r="E35" s="49">
        <v>4646</v>
      </c>
      <c r="F35" s="14">
        <v>259</v>
      </c>
      <c r="G35" s="14">
        <v>209790</v>
      </c>
      <c r="H35" s="14">
        <v>241760</v>
      </c>
      <c r="I35" s="14">
        <v>-31970</v>
      </c>
    </row>
    <row r="36" spans="5:9" x14ac:dyDescent="0.3">
      <c r="E36" s="27" t="s">
        <v>108</v>
      </c>
      <c r="F36" s="14"/>
      <c r="G36" s="14">
        <v>0</v>
      </c>
      <c r="H36" s="14"/>
      <c r="I36" s="14">
        <v>0</v>
      </c>
    </row>
    <row r="37" spans="5:9" x14ac:dyDescent="0.3">
      <c r="E37" s="49" t="s">
        <v>108</v>
      </c>
      <c r="F37" s="14"/>
      <c r="G37" s="14">
        <v>0</v>
      </c>
      <c r="H37" s="14"/>
      <c r="I37" s="14">
        <v>0</v>
      </c>
    </row>
    <row r="38" spans="5:9" x14ac:dyDescent="0.3">
      <c r="E38" s="27">
        <v>45919</v>
      </c>
      <c r="F38" s="14">
        <v>206</v>
      </c>
      <c r="G38" s="14">
        <v>165285</v>
      </c>
      <c r="H38" s="14">
        <v>234300</v>
      </c>
      <c r="I38" s="14">
        <v>-69015</v>
      </c>
    </row>
    <row r="39" spans="5:9" x14ac:dyDescent="0.3">
      <c r="E39" s="49">
        <v>1196</v>
      </c>
      <c r="F39" s="14">
        <v>206</v>
      </c>
      <c r="G39" s="14">
        <v>165285</v>
      </c>
      <c r="H39" s="14">
        <v>234300</v>
      </c>
      <c r="I39" s="14">
        <v>-69015</v>
      </c>
    </row>
    <row r="40" spans="5:9" x14ac:dyDescent="0.3">
      <c r="E40" s="27">
        <v>45920</v>
      </c>
      <c r="F40" s="14">
        <v>589</v>
      </c>
      <c r="G40" s="14">
        <v>453775</v>
      </c>
      <c r="H40" s="14">
        <v>223385</v>
      </c>
      <c r="I40" s="14">
        <v>230390</v>
      </c>
    </row>
    <row r="41" spans="5:9" x14ac:dyDescent="0.3">
      <c r="E41" s="49" t="s">
        <v>108</v>
      </c>
      <c r="F41" s="14">
        <v>40</v>
      </c>
      <c r="G41" s="14">
        <v>22000</v>
      </c>
      <c r="H41" s="14">
        <v>0</v>
      </c>
      <c r="I41" s="14">
        <v>22000</v>
      </c>
    </row>
    <row r="42" spans="5:9" x14ac:dyDescent="0.3">
      <c r="E42" s="49">
        <v>4366</v>
      </c>
      <c r="F42" s="14">
        <v>262</v>
      </c>
      <c r="G42" s="14">
        <v>212220</v>
      </c>
      <c r="H42" s="14">
        <v>223385</v>
      </c>
      <c r="I42" s="14">
        <v>-11165</v>
      </c>
    </row>
    <row r="43" spans="5:9" x14ac:dyDescent="0.3">
      <c r="E43" s="49">
        <v>442</v>
      </c>
      <c r="F43" s="14">
        <v>287</v>
      </c>
      <c r="G43" s="14">
        <v>219555</v>
      </c>
      <c r="H43" s="14"/>
      <c r="I43" s="14">
        <v>219555</v>
      </c>
    </row>
    <row r="44" spans="5:9" x14ac:dyDescent="0.3">
      <c r="E44" s="27" t="s">
        <v>28</v>
      </c>
      <c r="F44" s="14">
        <v>1926</v>
      </c>
      <c r="G44" s="14">
        <v>1438190</v>
      </c>
      <c r="H44" s="14">
        <v>1301271</v>
      </c>
      <c r="I44" s="14">
        <v>2691796</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82"/>
  <sheetViews>
    <sheetView topLeftCell="A64" zoomScale="132" workbookViewId="0">
      <selection activeCell="F76" sqref="F76"/>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-41752</v>
      </c>
      <c r="E2" s="89"/>
      <c r="F2" s="96" t="s">
        <v>113</v>
      </c>
    </row>
    <row r="3" spans="1:16" x14ac:dyDescent="0.3">
      <c r="A3" s="94">
        <v>45916</v>
      </c>
      <c r="B3" s="89" t="s">
        <v>167</v>
      </c>
      <c r="C3" s="11"/>
      <c r="D3" s="95">
        <f>[1]Cashbook!$R$11</f>
        <v>12665</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1686817</v>
      </c>
      <c r="M4" s="53" t="s">
        <v>112</v>
      </c>
      <c r="N4" s="59">
        <f>SUMIFS(Table14[Withdrawal],Table14[Party],"Cash",Table14[Mode],"Transfer")</f>
        <v>0</v>
      </c>
    </row>
    <row r="5" spans="1:16" x14ac:dyDescent="0.3">
      <c r="A5" s="104">
        <v>45916</v>
      </c>
      <c r="B5" t="s">
        <v>98</v>
      </c>
      <c r="C5" s="11">
        <v>38800</v>
      </c>
      <c r="D5" s="11"/>
      <c r="E5" t="s">
        <v>168</v>
      </c>
      <c r="F5" s="52" t="s">
        <v>113</v>
      </c>
      <c r="J5" s="53" t="s">
        <v>70</v>
      </c>
      <c r="K5" s="54">
        <f>Table14[[#Totals],[Credit]]</f>
        <v>2080319</v>
      </c>
      <c r="M5" s="53" t="s">
        <v>113</v>
      </c>
      <c r="N5" s="54">
        <f>(SUMIFS(Table14[Credit],Table14[Mode],"Bank")-SUMIFS(Table14[Debit],Table14[Mode],"Bank")-SUMIFS(Table14[Withdrawal],Table14[Mode],"Transfer"))</f>
        <v>92842</v>
      </c>
      <c r="O5">
        <v>320</v>
      </c>
    </row>
    <row r="6" spans="1:16" x14ac:dyDescent="0.3">
      <c r="A6" s="104">
        <v>45916</v>
      </c>
      <c r="B6" t="s">
        <v>27</v>
      </c>
      <c r="C6" s="11"/>
      <c r="D6" s="11">
        <v>100000</v>
      </c>
      <c r="F6" s="52" t="s">
        <v>114</v>
      </c>
      <c r="J6" s="60" t="s">
        <v>43</v>
      </c>
      <c r="K6" s="61">
        <f>(K5-K4)</f>
        <v>393502</v>
      </c>
      <c r="M6" s="53" t="s">
        <v>114</v>
      </c>
      <c r="N6" s="54">
        <f>((SUMIFS(Table14[Credit],Table14[Mode],"Cash")-SUMIFS(Table14[Debit],Table14[Mode],"Cash"))+SUMIFS(Table14[Withdrawal],Table14[Party],"Cash",Table14[Mode],"Transfer"))</f>
        <v>300660</v>
      </c>
      <c r="O6">
        <v>1520</v>
      </c>
    </row>
    <row r="7" spans="1:16" x14ac:dyDescent="0.3">
      <c r="A7" s="104">
        <v>45916</v>
      </c>
      <c r="B7" t="s">
        <v>9</v>
      </c>
      <c r="C7" s="11"/>
      <c r="D7" s="11">
        <v>100000</v>
      </c>
      <c r="F7" s="52" t="s">
        <v>114</v>
      </c>
      <c r="M7" s="56" t="s">
        <v>5</v>
      </c>
      <c r="N7" s="57">
        <f>SUM(N5:N6)</f>
        <v>393502</v>
      </c>
      <c r="O7" s="99">
        <f>SUM(O5,O6)</f>
        <v>1840</v>
      </c>
      <c r="P7" s="14">
        <f>Table18[[#Totals],[amount]]-Table18[[#Totals],[Actual]]</f>
        <v>391662</v>
      </c>
    </row>
    <row r="8" spans="1:16" x14ac:dyDescent="0.3">
      <c r="A8" s="104">
        <v>45916</v>
      </c>
      <c r="B8" t="s">
        <v>9</v>
      </c>
      <c r="C8" s="47"/>
      <c r="D8" s="47">
        <v>280516</v>
      </c>
      <c r="F8" s="52" t="s">
        <v>113</v>
      </c>
    </row>
    <row r="9" spans="1:16" x14ac:dyDescent="0.3">
      <c r="A9" s="104">
        <v>45916</v>
      </c>
      <c r="B9" t="s">
        <v>98</v>
      </c>
      <c r="C9" s="11">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47">
        <v>120000</v>
      </c>
      <c r="D23" s="47"/>
      <c r="F23" s="52" t="s">
        <v>113</v>
      </c>
    </row>
    <row r="24" spans="1:6" x14ac:dyDescent="0.3">
      <c r="A24" s="104">
        <v>45917</v>
      </c>
      <c r="B24" t="s">
        <v>21</v>
      </c>
      <c r="C24" s="11"/>
      <c r="D24" s="11">
        <v>47000</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113</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47">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B42" t="s">
        <v>98</v>
      </c>
      <c r="C42" s="11">
        <v>34300</v>
      </c>
      <c r="D42" s="11"/>
      <c r="E42" t="s">
        <v>194</v>
      </c>
      <c r="F42" s="52" t="s">
        <v>114</v>
      </c>
    </row>
    <row r="43" spans="1:6" x14ac:dyDescent="0.3">
      <c r="A43" s="43">
        <v>45919</v>
      </c>
      <c r="B43" t="s">
        <v>98</v>
      </c>
      <c r="C43" s="11">
        <v>200000</v>
      </c>
      <c r="D43" s="11"/>
      <c r="E43" t="s">
        <v>191</v>
      </c>
      <c r="F43" s="52" t="s">
        <v>113</v>
      </c>
    </row>
    <row r="44" spans="1:6" x14ac:dyDescent="0.3">
      <c r="A44" s="104">
        <v>45919</v>
      </c>
      <c r="B44" t="s">
        <v>121</v>
      </c>
      <c r="C44" s="11"/>
      <c r="D44" s="11">
        <f>20000-5450</f>
        <v>14550</v>
      </c>
      <c r="E44" t="s">
        <v>195</v>
      </c>
      <c r="F44" s="52" t="s">
        <v>114</v>
      </c>
    </row>
    <row r="45" spans="1:6" x14ac:dyDescent="0.3">
      <c r="A45" s="43">
        <v>45919</v>
      </c>
      <c r="B45" t="s">
        <v>24</v>
      </c>
      <c r="C45" s="11"/>
      <c r="D45" s="11">
        <v>121000</v>
      </c>
      <c r="E45" t="s">
        <v>196</v>
      </c>
      <c r="F45" s="52" t="s">
        <v>113</v>
      </c>
    </row>
    <row r="46" spans="1:6" x14ac:dyDescent="0.3">
      <c r="A46" s="104">
        <v>45919</v>
      </c>
      <c r="B46" t="s">
        <v>64</v>
      </c>
      <c r="C46" s="11">
        <v>121000</v>
      </c>
      <c r="D46" s="11"/>
      <c r="E46" t="s">
        <v>197</v>
      </c>
      <c r="F46" s="52" t="s">
        <v>113</v>
      </c>
    </row>
    <row r="47" spans="1:6" x14ac:dyDescent="0.3">
      <c r="A47" s="43">
        <v>45919</v>
      </c>
      <c r="B47" t="s">
        <v>55</v>
      </c>
      <c r="C47" s="11">
        <v>1371</v>
      </c>
      <c r="D47" s="11"/>
      <c r="E47" t="s">
        <v>198</v>
      </c>
      <c r="F47" s="52" t="s">
        <v>113</v>
      </c>
    </row>
    <row r="48" spans="1:6" x14ac:dyDescent="0.3">
      <c r="A48" s="104">
        <v>45919</v>
      </c>
      <c r="B48" t="s">
        <v>50</v>
      </c>
      <c r="C48" s="11">
        <v>780</v>
      </c>
      <c r="D48" s="11"/>
      <c r="E48" t="s">
        <v>199</v>
      </c>
      <c r="F48" s="52" t="s">
        <v>114</v>
      </c>
    </row>
    <row r="49" spans="1:6" x14ac:dyDescent="0.3">
      <c r="A49" s="43">
        <v>45919</v>
      </c>
      <c r="B49" t="s">
        <v>119</v>
      </c>
      <c r="C49" s="11">
        <v>11185</v>
      </c>
      <c r="D49" s="11"/>
      <c r="E49" t="s">
        <v>200</v>
      </c>
      <c r="F49" s="52" t="s">
        <v>113</v>
      </c>
    </row>
    <row r="50" spans="1:6" x14ac:dyDescent="0.3">
      <c r="A50" s="104">
        <v>45919</v>
      </c>
      <c r="B50" t="s">
        <v>9</v>
      </c>
      <c r="C50" s="11"/>
      <c r="D50" s="11">
        <v>84190</v>
      </c>
      <c r="E50" t="s">
        <v>201</v>
      </c>
      <c r="F50" s="52" t="s">
        <v>113</v>
      </c>
    </row>
    <row r="51" spans="1:6" x14ac:dyDescent="0.3">
      <c r="A51" s="104">
        <v>45919</v>
      </c>
      <c r="B51" t="s">
        <v>55</v>
      </c>
      <c r="C51" s="11">
        <v>8230</v>
      </c>
      <c r="D51" s="11"/>
      <c r="E51" t="s">
        <v>198</v>
      </c>
      <c r="F51" s="52" t="s">
        <v>113</v>
      </c>
    </row>
    <row r="52" spans="1:6" x14ac:dyDescent="0.3">
      <c r="A52" s="43">
        <v>45919</v>
      </c>
      <c r="B52" t="s">
        <v>54</v>
      </c>
      <c r="C52" s="47">
        <v>2500</v>
      </c>
      <c r="D52" s="47"/>
      <c r="E52" t="s">
        <v>202</v>
      </c>
      <c r="F52" s="52" t="s">
        <v>114</v>
      </c>
    </row>
    <row r="53" spans="1:6" x14ac:dyDescent="0.3">
      <c r="A53" s="104">
        <v>45919</v>
      </c>
      <c r="B53" t="s">
        <v>54</v>
      </c>
      <c r="C53" s="11">
        <v>5330</v>
      </c>
      <c r="D53" s="11"/>
      <c r="E53" t="s">
        <v>203</v>
      </c>
      <c r="F53" s="52" t="s">
        <v>114</v>
      </c>
    </row>
    <row r="54" spans="1:6" x14ac:dyDescent="0.3">
      <c r="A54" s="43">
        <v>45919</v>
      </c>
      <c r="B54" t="s">
        <v>21</v>
      </c>
      <c r="C54" s="11"/>
      <c r="D54" s="47">
        <f>20000+4480</f>
        <v>24480</v>
      </c>
      <c r="F54" s="52" t="s">
        <v>113</v>
      </c>
    </row>
    <row r="55" spans="1:6" x14ac:dyDescent="0.3">
      <c r="A55" s="104">
        <v>45919</v>
      </c>
      <c r="B55" t="s">
        <v>54</v>
      </c>
      <c r="C55" s="11">
        <v>20000</v>
      </c>
      <c r="D55" s="11"/>
      <c r="E55" t="s">
        <v>158</v>
      </c>
      <c r="F55" s="52" t="s">
        <v>113</v>
      </c>
    </row>
    <row r="56" spans="1:6" x14ac:dyDescent="0.3">
      <c r="A56" s="43">
        <v>45919</v>
      </c>
      <c r="B56" t="s">
        <v>54</v>
      </c>
      <c r="C56" s="47">
        <v>4480</v>
      </c>
      <c r="D56" s="47"/>
      <c r="E56" t="s">
        <v>206</v>
      </c>
      <c r="F56" s="52" t="s">
        <v>113</v>
      </c>
    </row>
    <row r="57" spans="1:6" x14ac:dyDescent="0.3">
      <c r="A57" s="104">
        <v>45920</v>
      </c>
      <c r="B57" t="s">
        <v>121</v>
      </c>
      <c r="C57" s="11">
        <v>2000</v>
      </c>
      <c r="D57" s="11"/>
      <c r="E57" t="s">
        <v>207</v>
      </c>
      <c r="F57" s="52" t="s">
        <v>114</v>
      </c>
    </row>
    <row r="58" spans="1:6" x14ac:dyDescent="0.3">
      <c r="A58" s="104">
        <v>45920</v>
      </c>
      <c r="B58" t="s">
        <v>98</v>
      </c>
      <c r="C58" s="11">
        <v>43000</v>
      </c>
      <c r="D58" s="11"/>
      <c r="E58" t="s">
        <v>208</v>
      </c>
      <c r="F58" s="52" t="s">
        <v>114</v>
      </c>
    </row>
    <row r="59" spans="1:6" x14ac:dyDescent="0.3">
      <c r="A59" s="104">
        <v>45920</v>
      </c>
      <c r="B59" t="s">
        <v>98</v>
      </c>
      <c r="C59" s="11">
        <v>150000</v>
      </c>
      <c r="D59" s="11"/>
      <c r="E59" t="s">
        <v>201</v>
      </c>
      <c r="F59" s="52" t="s">
        <v>113</v>
      </c>
    </row>
    <row r="60" spans="1:6" x14ac:dyDescent="0.3">
      <c r="A60" s="104">
        <v>45920</v>
      </c>
      <c r="B60" t="s">
        <v>9</v>
      </c>
      <c r="C60" s="11"/>
      <c r="D60" s="11">
        <v>65000</v>
      </c>
      <c r="E60" t="s">
        <v>201</v>
      </c>
      <c r="F60" s="52" t="s">
        <v>113</v>
      </c>
    </row>
    <row r="61" spans="1:6" x14ac:dyDescent="0.3">
      <c r="A61" s="104">
        <v>45920</v>
      </c>
      <c r="B61" t="s">
        <v>24</v>
      </c>
      <c r="C61" s="11"/>
      <c r="D61" s="11">
        <v>240000</v>
      </c>
      <c r="E61" t="s">
        <v>209</v>
      </c>
      <c r="F61" s="52" t="s">
        <v>114</v>
      </c>
    </row>
    <row r="62" spans="1:6" x14ac:dyDescent="0.3">
      <c r="A62" s="104">
        <v>45920</v>
      </c>
      <c r="B62" t="s">
        <v>21</v>
      </c>
      <c r="C62" s="11"/>
      <c r="D62" s="11">
        <f>1680+6460</f>
        <v>8140</v>
      </c>
      <c r="F62" s="52" t="s">
        <v>113</v>
      </c>
    </row>
    <row r="63" spans="1:6" x14ac:dyDescent="0.3">
      <c r="A63" s="104">
        <v>45920</v>
      </c>
      <c r="B63" t="s">
        <v>55</v>
      </c>
      <c r="C63" s="11">
        <v>8140</v>
      </c>
      <c r="D63" s="11"/>
      <c r="E63" t="s">
        <v>158</v>
      </c>
      <c r="F63" s="52" t="s">
        <v>113</v>
      </c>
    </row>
    <row r="64" spans="1:6" x14ac:dyDescent="0.3">
      <c r="A64" s="104">
        <v>45920</v>
      </c>
      <c r="B64" t="s">
        <v>123</v>
      </c>
      <c r="C64" s="11">
        <v>10000</v>
      </c>
      <c r="D64" s="11"/>
      <c r="E64" t="s">
        <v>210</v>
      </c>
      <c r="F64" s="52" t="s">
        <v>114</v>
      </c>
    </row>
    <row r="65" spans="1:7" x14ac:dyDescent="0.3">
      <c r="A65" s="104">
        <v>45920</v>
      </c>
      <c r="B65" t="s">
        <v>121</v>
      </c>
      <c r="C65" s="47">
        <v>3300</v>
      </c>
      <c r="D65" s="47"/>
      <c r="E65" t="s">
        <v>171</v>
      </c>
      <c r="F65" s="52" t="s">
        <v>114</v>
      </c>
    </row>
    <row r="66" spans="1:7" x14ac:dyDescent="0.3">
      <c r="A66" s="104">
        <v>45920</v>
      </c>
      <c r="B66" t="s">
        <v>98</v>
      </c>
      <c r="C66" s="11">
        <v>30385</v>
      </c>
      <c r="D66" s="11"/>
      <c r="E66" t="s">
        <v>211</v>
      </c>
      <c r="F66" s="52" t="s">
        <v>114</v>
      </c>
    </row>
    <row r="67" spans="1:7" x14ac:dyDescent="0.3">
      <c r="A67" s="104">
        <v>45920</v>
      </c>
      <c r="B67" t="s">
        <v>54</v>
      </c>
      <c r="C67" s="11">
        <v>13000</v>
      </c>
      <c r="D67" s="11"/>
      <c r="E67" t="s">
        <v>212</v>
      </c>
      <c r="F67" s="52" t="s">
        <v>114</v>
      </c>
    </row>
    <row r="68" spans="1:7" x14ac:dyDescent="0.3">
      <c r="A68" s="104">
        <v>45920</v>
      </c>
      <c r="B68" t="s">
        <v>121</v>
      </c>
      <c r="C68" s="11"/>
      <c r="D68" s="11">
        <v>6000</v>
      </c>
      <c r="E68" t="s">
        <v>213</v>
      </c>
      <c r="F68" s="52" t="s">
        <v>113</v>
      </c>
    </row>
    <row r="69" spans="1:7" x14ac:dyDescent="0.3">
      <c r="A69" s="104">
        <v>45920</v>
      </c>
      <c r="B69" t="s">
        <v>123</v>
      </c>
      <c r="C69" s="11">
        <v>6000</v>
      </c>
      <c r="D69" s="11"/>
      <c r="E69" t="s">
        <v>214</v>
      </c>
      <c r="F69" s="52" t="s">
        <v>113</v>
      </c>
    </row>
    <row r="70" spans="1:7" x14ac:dyDescent="0.3">
      <c r="A70" s="104">
        <v>45920</v>
      </c>
      <c r="B70" t="s">
        <v>54</v>
      </c>
      <c r="C70" s="11">
        <v>1300</v>
      </c>
      <c r="D70" s="11"/>
      <c r="E70" t="s">
        <v>215</v>
      </c>
      <c r="F70" s="52" t="s">
        <v>113</v>
      </c>
    </row>
    <row r="71" spans="1:7" x14ac:dyDescent="0.3">
      <c r="A71" s="104">
        <v>45920</v>
      </c>
      <c r="B71" t="s">
        <v>121</v>
      </c>
      <c r="C71" s="11"/>
      <c r="D71" s="11">
        <v>1300</v>
      </c>
      <c r="E71" t="s">
        <v>215</v>
      </c>
      <c r="F71" s="52" t="s">
        <v>113</v>
      </c>
    </row>
    <row r="72" spans="1:7" x14ac:dyDescent="0.3">
      <c r="A72" s="109">
        <v>45921</v>
      </c>
      <c r="B72" t="s">
        <v>21</v>
      </c>
      <c r="C72" s="11"/>
      <c r="D72" s="11">
        <f>12030+2750</f>
        <v>14780</v>
      </c>
      <c r="E72" t="s">
        <v>218</v>
      </c>
      <c r="F72" s="52" t="s">
        <v>113</v>
      </c>
    </row>
    <row r="73" spans="1:7" x14ac:dyDescent="0.3">
      <c r="A73" s="110">
        <v>45921</v>
      </c>
      <c r="B73" s="111" t="s">
        <v>55</v>
      </c>
      <c r="C73" s="47">
        <v>14780</v>
      </c>
      <c r="D73" s="47"/>
      <c r="E73" s="111" t="s">
        <v>218</v>
      </c>
      <c r="F73" s="112" t="s">
        <v>113</v>
      </c>
      <c r="G73" s="111"/>
    </row>
    <row r="74" spans="1:7" x14ac:dyDescent="0.3">
      <c r="A74" s="110">
        <v>45921</v>
      </c>
      <c r="B74" s="111" t="s">
        <v>121</v>
      </c>
      <c r="C74" s="47"/>
      <c r="D74" s="47">
        <v>1200</v>
      </c>
      <c r="E74" s="111"/>
      <c r="F74" s="112" t="s">
        <v>114</v>
      </c>
      <c r="G74" s="111"/>
    </row>
    <row r="75" spans="1:7" x14ac:dyDescent="0.3">
      <c r="A75" s="110">
        <v>45921</v>
      </c>
      <c r="B75" s="111" t="s">
        <v>98</v>
      </c>
      <c r="C75" s="47">
        <v>36000</v>
      </c>
      <c r="D75" s="47"/>
      <c r="E75" s="111" t="s">
        <v>219</v>
      </c>
      <c r="F75" s="112" t="s">
        <v>114</v>
      </c>
      <c r="G75" s="111"/>
    </row>
    <row r="76" spans="1:7" x14ac:dyDescent="0.3">
      <c r="A76" s="43"/>
      <c r="C76" s="14">
        <f>SUBTOTAL(109,Table14[Debit])</f>
        <v>1686817</v>
      </c>
      <c r="D76" s="14">
        <f>SUBTOTAL(109,Table14[Credit])</f>
        <v>2080319</v>
      </c>
      <c r="F76" s="62">
        <f>(Table14[[#Totals],[Credit]]-Table14[[#Totals],[Debit]])</f>
        <v>393502</v>
      </c>
    </row>
    <row r="163" spans="10:12" x14ac:dyDescent="0.3">
      <c r="J163" s="3" t="s">
        <v>6</v>
      </c>
      <c r="K163" t="s">
        <v>126</v>
      </c>
      <c r="L163" t="s">
        <v>127</v>
      </c>
    </row>
    <row r="164" spans="10:12" x14ac:dyDescent="0.3">
      <c r="J164" s="4" t="s">
        <v>123</v>
      </c>
      <c r="K164" s="14"/>
      <c r="L164" s="14">
        <v>30000</v>
      </c>
    </row>
    <row r="165" spans="10:12" x14ac:dyDescent="0.3">
      <c r="J165" s="4" t="s">
        <v>9</v>
      </c>
      <c r="K165" s="14">
        <v>629706</v>
      </c>
      <c r="L165" s="14"/>
    </row>
    <row r="166" spans="10:12" x14ac:dyDescent="0.3">
      <c r="J166" s="4" t="s">
        <v>21</v>
      </c>
      <c r="K166" s="14">
        <v>418620</v>
      </c>
      <c r="L166" s="14"/>
    </row>
    <row r="167" spans="10:12" x14ac:dyDescent="0.3">
      <c r="J167" s="4" t="s">
        <v>98</v>
      </c>
      <c r="K167" s="14"/>
      <c r="L167" s="14">
        <v>1181271</v>
      </c>
    </row>
    <row r="168" spans="10:12" x14ac:dyDescent="0.3">
      <c r="J168" s="4" t="s">
        <v>50</v>
      </c>
      <c r="K168" s="14"/>
      <c r="L168" s="14">
        <v>980</v>
      </c>
    </row>
    <row r="169" spans="10:12" x14ac:dyDescent="0.3">
      <c r="J169" s="4" t="s">
        <v>55</v>
      </c>
      <c r="K169" s="14"/>
      <c r="L169" s="14">
        <v>30091</v>
      </c>
    </row>
    <row r="170" spans="10:12" x14ac:dyDescent="0.3">
      <c r="J170" s="4" t="s">
        <v>119</v>
      </c>
      <c r="K170" s="14"/>
      <c r="L170" s="14">
        <v>11185</v>
      </c>
    </row>
    <row r="171" spans="10:12" x14ac:dyDescent="0.3">
      <c r="J171" s="4" t="s">
        <v>52</v>
      </c>
      <c r="K171" s="14"/>
      <c r="L171" s="14"/>
    </row>
    <row r="172" spans="10:12" x14ac:dyDescent="0.3">
      <c r="J172" s="4" t="s">
        <v>54</v>
      </c>
      <c r="K172" s="14"/>
      <c r="L172" s="14">
        <v>71110</v>
      </c>
    </row>
    <row r="173" spans="10:12" x14ac:dyDescent="0.3">
      <c r="J173" s="4" t="s">
        <v>121</v>
      </c>
      <c r="K173" s="14">
        <v>23350</v>
      </c>
      <c r="L173" s="14">
        <v>16900</v>
      </c>
    </row>
    <row r="174" spans="10:12" x14ac:dyDescent="0.3">
      <c r="J174" s="4" t="s">
        <v>118</v>
      </c>
      <c r="K174" s="14">
        <v>13200</v>
      </c>
      <c r="L174" s="14">
        <v>6500</v>
      </c>
    </row>
    <row r="175" spans="10:12" x14ac:dyDescent="0.3">
      <c r="J175" s="4" t="s">
        <v>22</v>
      </c>
      <c r="K175" s="14">
        <v>247550</v>
      </c>
      <c r="L175" s="14"/>
    </row>
    <row r="176" spans="10:12" x14ac:dyDescent="0.3">
      <c r="J176" s="4" t="s">
        <v>24</v>
      </c>
      <c r="K176" s="14">
        <v>361000</v>
      </c>
      <c r="L176" s="14"/>
    </row>
    <row r="177" spans="10:12" x14ac:dyDescent="0.3">
      <c r="J177" s="4" t="s">
        <v>27</v>
      </c>
      <c r="K177" s="14">
        <v>100000</v>
      </c>
      <c r="L177" s="14"/>
    </row>
    <row r="178" spans="10:12" x14ac:dyDescent="0.3">
      <c r="J178" s="4" t="s">
        <v>159</v>
      </c>
      <c r="K178" s="14"/>
      <c r="L178" s="14">
        <v>120000</v>
      </c>
    </row>
    <row r="179" spans="10:12" x14ac:dyDescent="0.3">
      <c r="J179" s="4" t="s">
        <v>64</v>
      </c>
      <c r="K179" s="14"/>
      <c r="L179" s="14">
        <v>168000</v>
      </c>
    </row>
    <row r="180" spans="10:12" x14ac:dyDescent="0.3">
      <c r="J180" s="4" t="s">
        <v>162</v>
      </c>
      <c r="K180" s="14">
        <v>300000</v>
      </c>
      <c r="L180" s="14"/>
    </row>
    <row r="181" spans="10:12" x14ac:dyDescent="0.3">
      <c r="J181" s="4" t="s">
        <v>167</v>
      </c>
      <c r="K181" s="14">
        <v>-29087</v>
      </c>
      <c r="L181" s="14"/>
    </row>
    <row r="182" spans="10:12" x14ac:dyDescent="0.3">
      <c r="J182" s="4" t="s">
        <v>28</v>
      </c>
      <c r="K182" s="14">
        <v>2064339</v>
      </c>
      <c r="L182" s="14">
        <v>1636037</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zoomScale="93" zoomScaleNormal="210" workbookViewId="0">
      <selection activeCell="A4" sqref="A4"/>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E4">
        <f>SUBTOTAL(109,Table8[Price])</f>
        <v>121000</v>
      </c>
      <c r="H4">
        <f>SUBTOTAL(109,Table8[Balance])</f>
        <v>708000</v>
      </c>
      <c r="K4" s="1"/>
      <c r="N4" s="11"/>
    </row>
    <row r="5" spans="1:14" x14ac:dyDescent="0.3">
      <c r="K5" s="1"/>
      <c r="N5" s="14">
        <f>SUM(Table7[Total])</f>
        <v>75750</v>
      </c>
    </row>
    <row r="7" spans="1:14" x14ac:dyDescent="0.3">
      <c r="K7" s="3" t="s">
        <v>115</v>
      </c>
      <c r="L7" t="s">
        <v>122</v>
      </c>
    </row>
    <row r="9" spans="1:14" x14ac:dyDescent="0.3">
      <c r="K9" s="3" t="s">
        <v>6</v>
      </c>
      <c r="L9" t="s">
        <v>135</v>
      </c>
      <c r="M9" t="s">
        <v>136</v>
      </c>
    </row>
    <row r="10" spans="1:14" x14ac:dyDescent="0.3">
      <c r="K10" s="27">
        <v>45916</v>
      </c>
      <c r="M10">
        <v>708000</v>
      </c>
    </row>
    <row r="11" spans="1:14" x14ac:dyDescent="0.3">
      <c r="K11" s="4" t="s">
        <v>28</v>
      </c>
      <c r="M11">
        <v>708000</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9"/>
  <sheetViews>
    <sheetView workbookViewId="0">
      <selection activeCell="F8" sqref="F8"/>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f>
        <v>0</v>
      </c>
      <c r="H5" s="90">
        <v>310500</v>
      </c>
      <c r="J5" s="4" t="s">
        <v>108</v>
      </c>
      <c r="K5">
        <v>0</v>
      </c>
      <c r="L5">
        <v>0</v>
      </c>
      <c r="M5">
        <v>0</v>
      </c>
    </row>
    <row r="6" spans="1:13" x14ac:dyDescent="0.3">
      <c r="A6" s="93">
        <v>45916</v>
      </c>
      <c r="B6" s="93" t="s">
        <v>124</v>
      </c>
      <c r="C6" s="90" t="s">
        <v>164</v>
      </c>
      <c r="D6" s="90"/>
      <c r="E6" s="90"/>
      <c r="F6" s="90">
        <f>Table2[[#This Row],[Quantity]]*250</f>
        <v>0</v>
      </c>
      <c r="G6" s="90">
        <f>SUMIFS(Table14[Debit], Table14[Date], Table2[[#This Row],[Date]], Table14[Party], Table2[[#This Row],[Party Name]])</f>
        <v>0</v>
      </c>
      <c r="H6" s="90">
        <v>-5000</v>
      </c>
      <c r="J6" s="4" t="s">
        <v>124</v>
      </c>
      <c r="K6">
        <v>0</v>
      </c>
      <c r="L6">
        <v>0</v>
      </c>
      <c r="M6">
        <v>-5000</v>
      </c>
    </row>
    <row r="7" spans="1:13" x14ac:dyDescent="0.3">
      <c r="A7" s="1">
        <v>45920</v>
      </c>
      <c r="B7" s="1" t="s">
        <v>216</v>
      </c>
      <c r="C7" t="s">
        <v>217</v>
      </c>
      <c r="E7">
        <v>250</v>
      </c>
      <c r="F7">
        <f>Table2[[#This Row],[Quantity]]*250</f>
        <v>62500</v>
      </c>
      <c r="G7">
        <f>SUMIFS(Table14[Debit], Table14[Date], Table2[[#This Row],[Date]], Table14[Party], Table2[[#This Row],[Party Name]])</f>
        <v>0</v>
      </c>
      <c r="H7">
        <f>Table2[[#This Row],[Price]]-Table2[[#This Row],[Paid]]</f>
        <v>62500</v>
      </c>
      <c r="J7" s="4" t="s">
        <v>125</v>
      </c>
      <c r="K7">
        <v>0</v>
      </c>
      <c r="L7">
        <v>0</v>
      </c>
      <c r="M7">
        <v>310500</v>
      </c>
    </row>
    <row r="8" spans="1:13" x14ac:dyDescent="0.3">
      <c r="A8" s="1"/>
      <c r="B8" s="1"/>
      <c r="F8">
        <f>Table2[[#This Row],[Quantity]]*250</f>
        <v>0</v>
      </c>
      <c r="G8">
        <f>SUMIFS(Table14[Debit], Table14[Date], Table2[[#This Row],[Date]], Table14[Party], Table2[[#This Row],[Party Name]])</f>
        <v>0</v>
      </c>
      <c r="H8">
        <f>Table2[[#This Row],[Price]]-Table2[[#This Row],[Paid]]</f>
        <v>0</v>
      </c>
      <c r="J8" s="4" t="s">
        <v>216</v>
      </c>
      <c r="K8">
        <v>62500</v>
      </c>
      <c r="L8">
        <v>0</v>
      </c>
      <c r="M8">
        <v>62500</v>
      </c>
    </row>
    <row r="9" spans="1:13" x14ac:dyDescent="0.3">
      <c r="A9" s="1"/>
      <c r="F9">
        <f>SUBTOTAL(109,Table2[Price])</f>
        <v>62500</v>
      </c>
      <c r="G9">
        <f>SUBTOTAL(109,Table2[Paid])</f>
        <v>0</v>
      </c>
      <c r="H9">
        <f>SUBTOTAL(109,Table2[Balance])</f>
        <v>368000</v>
      </c>
      <c r="J9" s="4" t="s">
        <v>28</v>
      </c>
      <c r="K9">
        <v>62500</v>
      </c>
      <c r="L9">
        <v>0</v>
      </c>
      <c r="M9">
        <v>368000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zoomScale="118" workbookViewId="0">
      <selection activeCell="J9" sqref="J9"/>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147</v>
      </c>
      <c r="J2" t="s">
        <v>148</v>
      </c>
    </row>
    <row r="3" spans="2:10"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row>
    <row r="4" spans="2:10"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t="s">
        <v>185</v>
      </c>
    </row>
    <row r="5" spans="2:10"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row>
    <row r="6" spans="2:10"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0"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210</v>
      </c>
    </row>
    <row r="8" spans="2:10"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214</v>
      </c>
    </row>
    <row r="9" spans="2:10" x14ac:dyDescent="0.3">
      <c r="B9" s="1">
        <v>45922</v>
      </c>
      <c r="C9" s="20">
        <f>SUMIFS(Table14[Debit], Table14[Date], Table11[[#This Row],[Date]], Table14[Party],"Salary ", Table14[Description],Table11[[#This Row],[Column1]])</f>
        <v>0</v>
      </c>
      <c r="H9" s="1">
        <v>45922</v>
      </c>
      <c r="I9">
        <f>SUMIFS(Table14[Debit], Table14[Date], Table16[[#This Row],[Date]], Table14[Party], "Advance Salary", Table14[Description], Table16[[#This Row],[Person]] )</f>
        <v>0</v>
      </c>
    </row>
    <row r="10" spans="2:10" x14ac:dyDescent="0.3">
      <c r="B10" s="1">
        <v>45923</v>
      </c>
      <c r="C10" s="20">
        <f>SUMIFS(Table14[Debit], Table14[Date], Table11[[#This Row],[Date]], Table14[Party],"Salary ", Table14[Description],Table11[[#This Row],[Column1]])</f>
        <v>0</v>
      </c>
      <c r="H10" s="1">
        <v>45923</v>
      </c>
      <c r="I10">
        <f>SUMIFS(Table14[Debit], Table14[Date], Table16[[#This Row],[Date]], Table14[Party], "Advance Salary", Table14[Description], Table16[[#This Row],[Person]] )</f>
        <v>0</v>
      </c>
    </row>
    <row r="11" spans="2:10" x14ac:dyDescent="0.3">
      <c r="B11" s="1">
        <v>45924</v>
      </c>
      <c r="C11" s="20">
        <f>SUMIFS(Table14[Debit], Table14[Date], Table11[[#This Row],[Date]], Table14[Party],"Salary ", Table14[Description],Table11[[#This Row],[Column1]])</f>
        <v>0</v>
      </c>
      <c r="H11" s="1">
        <v>45924</v>
      </c>
      <c r="I11">
        <f>SUMIFS(Table14[Debit], Table14[Date], Table16[[#This Row],[Date]], Table14[Party], "Advance Salary", Table14[Description], Table16[[#This Row],[Person]] )</f>
        <v>0</v>
      </c>
    </row>
    <row r="12" spans="2:10"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0"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0</v>
      </c>
    </row>
    <row r="14" spans="2:10"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0"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0"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9"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9"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9"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9"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0</v>
      </c>
    </row>
    <row r="21" spans="2:9" x14ac:dyDescent="0.3">
      <c r="B21" s="1">
        <v>45934</v>
      </c>
      <c r="C21" s="20">
        <f>SUMIFS(Table14[Debit], Table14[Date], Table11[[#This Row],[Date]], Table14[Party],"Salary ", Table14[Description],Table11[[#This Row],[Column1]])</f>
        <v>0</v>
      </c>
      <c r="H21" s="1">
        <v>45934</v>
      </c>
      <c r="I21">
        <f>SUMIFS(Table14[Debit], Table14[Date], Table16[[#This Row],[Date]], Table14[Party], "Advance Salary", Table14[Description], Table16[[#This Row],[Person]] )</f>
        <v>0</v>
      </c>
    </row>
    <row r="22" spans="2:9"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9"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9"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9"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9"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9"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9"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9"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9"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9"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9"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30000</v>
      </c>
    </row>
    <row r="36" spans="2:9" x14ac:dyDescent="0.3">
      <c r="B36" s="1">
        <v>45949</v>
      </c>
      <c r="C36" s="20">
        <f>SUMIFS(Table14[Debit], Table14[Date], Table11[[#This Row],[Date]], Table14[Party],"Salary ", Table14[Description],Table11[[#This Row],[Column1]])</f>
        <v>0</v>
      </c>
    </row>
    <row r="37" spans="2:9" x14ac:dyDescent="0.3">
      <c r="B37" s="1"/>
      <c r="C37" s="26">
        <f>SUM(Table11[Amount])</f>
        <v>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218826</v>
      </c>
      <c r="C2" s="37">
        <f>GETPIVOTDATA("Sum of Tiyaar/gaz",$A$3)</f>
        <v>224568</v>
      </c>
      <c r="D2" s="36">
        <f>((B2*48)+((C2/1.0936)*10))/C2</f>
        <v>55.916794744812748</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t="s">
        <v>28</v>
      </c>
      <c r="B16" s="35">
        <v>34908</v>
      </c>
      <c r="C16" s="35">
        <v>224568</v>
      </c>
      <c r="D16" s="33">
        <f t="shared" si="1"/>
        <v>16.605477014771068</v>
      </c>
      <c r="E16" s="11">
        <f t="shared" si="2"/>
        <v>38175.388799999993</v>
      </c>
      <c r="F16" s="11">
        <f t="shared" si="0"/>
        <v>224568</v>
      </c>
      <c r="G16" s="86">
        <f t="shared" si="4"/>
        <v>-488.25334085399027</v>
      </c>
      <c r="H16" s="33">
        <f t="shared" si="3"/>
        <v>205347.47622531091</v>
      </c>
      <c r="I16" s="33">
        <f>((B16*48)+(H16*10))/C16</f>
        <v>16.605477014771068</v>
      </c>
    </row>
    <row r="17" spans="4:9" x14ac:dyDescent="0.3">
      <c r="D17" s="33" t="e">
        <f t="shared" si="1"/>
        <v>#DIV/0!</v>
      </c>
      <c r="E17" s="11">
        <f t="shared" si="2"/>
        <v>0</v>
      </c>
      <c r="F17" s="11">
        <f t="shared" si="0"/>
        <v>0</v>
      </c>
      <c r="G17" s="86" t="e">
        <f t="shared" si="4"/>
        <v>#DIV/0!</v>
      </c>
      <c r="H17" s="33">
        <f t="shared" si="3"/>
        <v>0</v>
      </c>
      <c r="I17" s="33" t="e">
        <f>((B17*48)+(H17*10))/C17</f>
        <v>#DIV/0!</v>
      </c>
    </row>
    <row r="18" spans="4:9" x14ac:dyDescent="0.3">
      <c r="D18" s="33" t="e">
        <f t="shared" si="1"/>
        <v>#DIV/0!</v>
      </c>
      <c r="E18" s="11">
        <f t="shared" si="2"/>
        <v>0</v>
      </c>
      <c r="F18" s="11">
        <f t="shared" si="0"/>
        <v>0</v>
      </c>
      <c r="G18" s="86" t="e">
        <f t="shared" si="4"/>
        <v>#DIV/0!</v>
      </c>
      <c r="H18" s="33">
        <f t="shared" si="3"/>
        <v>0</v>
      </c>
      <c r="I18" s="33" t="e">
        <f>((B18*48)+(H18*10))/C18</f>
        <v>#DIV/0!</v>
      </c>
    </row>
    <row r="19" spans="4:9" x14ac:dyDescent="0.3">
      <c r="D19" s="33" t="e">
        <f t="shared" si="1"/>
        <v>#DIV/0!</v>
      </c>
      <c r="E19" s="11">
        <f t="shared" si="2"/>
        <v>0</v>
      </c>
      <c r="F19" s="11">
        <f t="shared" si="0"/>
        <v>0</v>
      </c>
      <c r="G19" s="86" t="e">
        <f t="shared" ref="G19:G38" si="6">100- (F19/E19 *100)</f>
        <v>#DIV/0!</v>
      </c>
      <c r="H19" s="33">
        <f t="shared" si="3"/>
        <v>0</v>
      </c>
      <c r="I19" s="33" t="e">
        <f t="shared" si="5"/>
        <v>#DIV/0!</v>
      </c>
    </row>
    <row r="20" spans="4:9" x14ac:dyDescent="0.3">
      <c r="D20" s="33" t="e">
        <f t="shared" si="1"/>
        <v>#DIV/0!</v>
      </c>
      <c r="E20" s="11">
        <f>B20 * 1.0936</f>
        <v>0</v>
      </c>
      <c r="F20" s="11">
        <f t="shared" si="0"/>
        <v>0</v>
      </c>
      <c r="G20" s="86" t="e">
        <f t="shared" si="6"/>
        <v>#DIV/0!</v>
      </c>
      <c r="H20" s="33">
        <f t="shared" si="3"/>
        <v>0</v>
      </c>
      <c r="I20" s="33" t="e">
        <f t="shared" si="5"/>
        <v>#DIV/0!</v>
      </c>
    </row>
    <row r="21" spans="4:9" x14ac:dyDescent="0.3">
      <c r="D21" s="33" t="e">
        <f t="shared" si="1"/>
        <v>#DIV/0!</v>
      </c>
      <c r="E21" s="11">
        <f t="shared" si="2"/>
        <v>0</v>
      </c>
      <c r="F21" s="11">
        <f t="shared" si="0"/>
        <v>0</v>
      </c>
      <c r="G21" s="86" t="e">
        <f t="shared" si="6"/>
        <v>#DIV/0!</v>
      </c>
      <c r="H21" s="33">
        <f t="shared" si="3"/>
        <v>0</v>
      </c>
      <c r="I21" s="33" t="e">
        <f t="shared" si="5"/>
        <v>#DIV/0!</v>
      </c>
    </row>
    <row r="22" spans="4:9" x14ac:dyDescent="0.3">
      <c r="D22" s="33" t="e">
        <f t="shared" si="1"/>
        <v>#DIV/0!</v>
      </c>
      <c r="E22" s="11">
        <f t="shared" si="2"/>
        <v>0</v>
      </c>
      <c r="F22" s="11">
        <f t="shared" si="0"/>
        <v>0</v>
      </c>
      <c r="G22" s="86" t="e">
        <f t="shared" si="6"/>
        <v>#DIV/0!</v>
      </c>
      <c r="H22" s="33">
        <f t="shared" si="3"/>
        <v>0</v>
      </c>
      <c r="I22" s="33" t="e">
        <f t="shared" si="5"/>
        <v>#DIV/0!</v>
      </c>
    </row>
    <row r="23" spans="4:9" x14ac:dyDescent="0.3">
      <c r="D23" s="33" t="e">
        <f t="shared" si="1"/>
        <v>#DIV/0!</v>
      </c>
      <c r="E23" s="11">
        <f t="shared" si="2"/>
        <v>0</v>
      </c>
      <c r="F23" s="11">
        <f t="shared" si="0"/>
        <v>0</v>
      </c>
      <c r="G23" s="86" t="e">
        <f t="shared" si="6"/>
        <v>#DIV/0!</v>
      </c>
      <c r="H23" s="33">
        <f t="shared" si="3"/>
        <v>0</v>
      </c>
      <c r="I23" s="33" t="e">
        <f t="shared" si="5"/>
        <v>#DIV/0!</v>
      </c>
    </row>
    <row r="24" spans="4:9" x14ac:dyDescent="0.3">
      <c r="D24" s="33" t="e">
        <f t="shared" si="1"/>
        <v>#DIV/0!</v>
      </c>
      <c r="E24" s="11">
        <f t="shared" si="2"/>
        <v>0</v>
      </c>
      <c r="F24" s="11">
        <f t="shared" si="0"/>
        <v>0</v>
      </c>
      <c r="G24" s="86" t="e">
        <f t="shared" si="6"/>
        <v>#DIV/0!</v>
      </c>
      <c r="H24" s="33">
        <f t="shared" si="3"/>
        <v>0</v>
      </c>
      <c r="I24" s="33" t="e">
        <f t="shared" si="5"/>
        <v>#DIV/0!</v>
      </c>
    </row>
    <row r="25" spans="4:9" x14ac:dyDescent="0.3">
      <c r="D25" s="33" t="e">
        <f t="shared" si="1"/>
        <v>#DIV/0!</v>
      </c>
      <c r="E25" s="11">
        <f t="shared" si="2"/>
        <v>0</v>
      </c>
      <c r="F25" s="11">
        <f t="shared" si="0"/>
        <v>0</v>
      </c>
      <c r="G25" s="86" t="e">
        <f t="shared" si="6"/>
        <v>#DIV/0!</v>
      </c>
      <c r="H25" s="33">
        <f t="shared" si="3"/>
        <v>0</v>
      </c>
      <c r="I25" s="33" t="e">
        <f t="shared" si="5"/>
        <v>#DIV/0!</v>
      </c>
    </row>
    <row r="26" spans="4:9" x14ac:dyDescent="0.3">
      <c r="D26" s="33" t="e">
        <f t="shared" si="1"/>
        <v>#DIV/0!</v>
      </c>
      <c r="E26" s="11">
        <f t="shared" si="2"/>
        <v>0</v>
      </c>
      <c r="F26" s="11">
        <f t="shared" si="0"/>
        <v>0</v>
      </c>
      <c r="G26" s="86" t="e">
        <f t="shared" si="6"/>
        <v>#DIV/0!</v>
      </c>
      <c r="H26" s="33">
        <f t="shared" si="3"/>
        <v>0</v>
      </c>
      <c r="I26" s="33" t="e">
        <f t="shared" si="5"/>
        <v>#DIV/0!</v>
      </c>
    </row>
    <row r="27" spans="4:9" x14ac:dyDescent="0.3">
      <c r="D27" s="33" t="e">
        <f t="shared" si="1"/>
        <v>#DIV/0!</v>
      </c>
      <c r="E27" s="11">
        <f t="shared" si="2"/>
        <v>0</v>
      </c>
      <c r="F27" s="11">
        <f t="shared" si="0"/>
        <v>0</v>
      </c>
      <c r="G27" s="86" t="e">
        <f t="shared" si="6"/>
        <v>#DIV/0!</v>
      </c>
      <c r="H27" s="33">
        <f t="shared" si="3"/>
        <v>0</v>
      </c>
      <c r="I27" s="33" t="e">
        <f t="shared" si="5"/>
        <v>#DIV/0!</v>
      </c>
    </row>
    <row r="28" spans="4:9" x14ac:dyDescent="0.3">
      <c r="D28" s="33" t="e">
        <f t="shared" si="1"/>
        <v>#DIV/0!</v>
      </c>
      <c r="E28" s="11">
        <f t="shared" si="2"/>
        <v>0</v>
      </c>
      <c r="F28" s="11">
        <f t="shared" si="0"/>
        <v>0</v>
      </c>
      <c r="G28" s="86" t="e">
        <f t="shared" si="6"/>
        <v>#DIV/0!</v>
      </c>
      <c r="H28" s="33">
        <f t="shared" si="3"/>
        <v>0</v>
      </c>
      <c r="I28" s="33" t="e">
        <f t="shared" si="5"/>
        <v>#DIV/0!</v>
      </c>
    </row>
    <row r="29" spans="4:9" x14ac:dyDescent="0.3">
      <c r="D29" s="33" t="e">
        <f t="shared" si="1"/>
        <v>#DIV/0!</v>
      </c>
      <c r="E29" s="11">
        <f t="shared" si="2"/>
        <v>0</v>
      </c>
      <c r="F29" s="11">
        <f t="shared" si="0"/>
        <v>0</v>
      </c>
      <c r="G29" s="86" t="e">
        <f t="shared" si="6"/>
        <v>#DIV/0!</v>
      </c>
      <c r="H29" s="33">
        <f t="shared" si="3"/>
        <v>0</v>
      </c>
      <c r="I29" s="33" t="e">
        <f t="shared" si="5"/>
        <v>#DIV/0!</v>
      </c>
    </row>
    <row r="30" spans="4:9" x14ac:dyDescent="0.3">
      <c r="D30" s="33" t="e">
        <f t="shared" si="1"/>
        <v>#DIV/0!</v>
      </c>
      <c r="E30" s="11">
        <f t="shared" si="2"/>
        <v>0</v>
      </c>
      <c r="F30" s="11">
        <f t="shared" si="0"/>
        <v>0</v>
      </c>
      <c r="G30" s="86" t="e">
        <f t="shared" si="6"/>
        <v>#DIV/0!</v>
      </c>
      <c r="H30" s="33">
        <f t="shared" si="3"/>
        <v>0</v>
      </c>
      <c r="I30" s="33" t="e">
        <f t="shared" si="5"/>
        <v>#DIV/0!</v>
      </c>
    </row>
    <row r="31" spans="4:9" x14ac:dyDescent="0.3">
      <c r="D31" s="33" t="e">
        <f t="shared" si="1"/>
        <v>#DIV/0!</v>
      </c>
      <c r="E31" s="11">
        <f t="shared" si="2"/>
        <v>0</v>
      </c>
      <c r="F31" s="11">
        <f t="shared" si="0"/>
        <v>0</v>
      </c>
      <c r="G31" s="86" t="e">
        <f t="shared" si="6"/>
        <v>#DIV/0!</v>
      </c>
      <c r="H31" s="33">
        <f t="shared" si="3"/>
        <v>0</v>
      </c>
      <c r="I31" s="33" t="e">
        <f t="shared" si="5"/>
        <v>#DIV/0!</v>
      </c>
    </row>
    <row r="32" spans="4:9" x14ac:dyDescent="0.3">
      <c r="D32" s="33" t="e">
        <f t="shared" si="1"/>
        <v>#DIV/0!</v>
      </c>
      <c r="E32" s="11">
        <f t="shared" si="2"/>
        <v>0</v>
      </c>
      <c r="F32" s="11">
        <f t="shared" si="0"/>
        <v>0</v>
      </c>
      <c r="G32" s="86"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6"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6" t="e">
        <f t="shared" si="10"/>
        <v>#DIV/0!</v>
      </c>
      <c r="H34" s="33">
        <f t="shared" si="11"/>
        <v>0</v>
      </c>
      <c r="I34" s="33" t="e">
        <f t="shared" si="12"/>
        <v>#DIV/0!</v>
      </c>
    </row>
    <row r="35" spans="4:9" x14ac:dyDescent="0.3">
      <c r="D35" s="33" t="e">
        <f t="shared" si="7"/>
        <v>#DIV/0!</v>
      </c>
      <c r="E35" s="11">
        <f t="shared" si="8"/>
        <v>0</v>
      </c>
      <c r="F35" s="11">
        <f t="shared" si="9"/>
        <v>0</v>
      </c>
      <c r="G35" s="86" t="e">
        <f t="shared" si="10"/>
        <v>#DIV/0!</v>
      </c>
      <c r="H35" s="33">
        <f t="shared" si="11"/>
        <v>0</v>
      </c>
      <c r="I35" s="33" t="e">
        <f t="shared" si="12"/>
        <v>#DIV/0!</v>
      </c>
    </row>
    <row r="36" spans="4:9" x14ac:dyDescent="0.3">
      <c r="D36" s="33" t="e">
        <f t="shared" si="7"/>
        <v>#DIV/0!</v>
      </c>
      <c r="E36" s="11">
        <f t="shared" si="8"/>
        <v>0</v>
      </c>
      <c r="F36" s="11">
        <f t="shared" si="9"/>
        <v>0</v>
      </c>
      <c r="G36" s="86" t="e">
        <f t="shared" si="10"/>
        <v>#DIV/0!</v>
      </c>
      <c r="H36" s="33">
        <f t="shared" si="11"/>
        <v>0</v>
      </c>
      <c r="I36" s="33" t="e">
        <f t="shared" si="12"/>
        <v>#DIV/0!</v>
      </c>
    </row>
    <row r="37" spans="4:9" x14ac:dyDescent="0.3">
      <c r="D37" s="33" t="e">
        <f t="shared" si="7"/>
        <v>#DIV/0!</v>
      </c>
      <c r="E37" s="11">
        <f t="shared" si="8"/>
        <v>0</v>
      </c>
      <c r="F37" s="11">
        <f t="shared" si="9"/>
        <v>0</v>
      </c>
      <c r="G37" s="86" t="e">
        <f t="shared" si="10"/>
        <v>#DIV/0!</v>
      </c>
      <c r="H37" s="33">
        <f t="shared" si="11"/>
        <v>0</v>
      </c>
      <c r="I37" s="33" t="e">
        <f t="shared" si="12"/>
        <v>#DIV/0!</v>
      </c>
    </row>
    <row r="38" spans="4:9" x14ac:dyDescent="0.3">
      <c r="D38" s="33" t="e">
        <f t="shared" si="1"/>
        <v>#DIV/0!</v>
      </c>
      <c r="E38" s="11">
        <f t="shared" si="2"/>
        <v>0</v>
      </c>
      <c r="F38" s="11">
        <f t="shared" si="0"/>
        <v>0</v>
      </c>
      <c r="G38" s="86"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6"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6" t="e">
        <f t="shared" si="16"/>
        <v>#DIV/0!</v>
      </c>
      <c r="H40" s="33">
        <f t="shared" si="17"/>
        <v>0</v>
      </c>
      <c r="I40" s="33" t="e">
        <f t="shared" si="18"/>
        <v>#DIV/0!</v>
      </c>
    </row>
    <row r="41" spans="4:9" x14ac:dyDescent="0.3">
      <c r="D41" s="33" t="e">
        <f t="shared" si="13"/>
        <v>#DIV/0!</v>
      </c>
      <c r="E41" s="11">
        <f t="shared" si="14"/>
        <v>0</v>
      </c>
      <c r="F41" s="11">
        <f t="shared" si="15"/>
        <v>0</v>
      </c>
      <c r="G41" s="86" t="e">
        <f t="shared" si="16"/>
        <v>#DIV/0!</v>
      </c>
      <c r="H41" s="33">
        <f t="shared" si="17"/>
        <v>0</v>
      </c>
      <c r="I41" s="33" t="e">
        <f t="shared" si="18"/>
        <v>#DIV/0!</v>
      </c>
    </row>
    <row r="42" spans="4:9" x14ac:dyDescent="0.3">
      <c r="D42" s="33" t="e">
        <f t="shared" si="13"/>
        <v>#DIV/0!</v>
      </c>
      <c r="E42" s="11">
        <f t="shared" si="14"/>
        <v>0</v>
      </c>
      <c r="F42" s="11">
        <f t="shared" si="15"/>
        <v>0</v>
      </c>
      <c r="G42" s="86" t="e">
        <f t="shared" si="16"/>
        <v>#DIV/0!</v>
      </c>
      <c r="H42" s="33">
        <f t="shared" si="17"/>
        <v>0</v>
      </c>
      <c r="I42" s="33" t="e">
        <f t="shared" si="18"/>
        <v>#DIV/0!</v>
      </c>
    </row>
    <row r="43" spans="4:9" x14ac:dyDescent="0.3">
      <c r="D43" s="33" t="e">
        <f t="shared" si="13"/>
        <v>#DIV/0!</v>
      </c>
      <c r="E43" s="11">
        <f t="shared" si="14"/>
        <v>0</v>
      </c>
      <c r="F43" s="11">
        <f t="shared" si="15"/>
        <v>0</v>
      </c>
      <c r="G43" s="86" t="e">
        <f t="shared" si="16"/>
        <v>#DIV/0!</v>
      </c>
      <c r="H43" s="33">
        <f t="shared" si="17"/>
        <v>0</v>
      </c>
      <c r="I43" s="33" t="e">
        <f t="shared" si="18"/>
        <v>#DIV/0!</v>
      </c>
    </row>
    <row r="44" spans="4:9" x14ac:dyDescent="0.3">
      <c r="D44" s="33" t="e">
        <f t="shared" si="13"/>
        <v>#DIV/0!</v>
      </c>
      <c r="E44" s="11">
        <f t="shared" si="14"/>
        <v>0</v>
      </c>
      <c r="F44" s="11">
        <f t="shared" si="15"/>
        <v>0</v>
      </c>
      <c r="G44" s="86"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6"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6" t="e">
        <f t="shared" si="22"/>
        <v>#DIV/0!</v>
      </c>
      <c r="H46" s="33">
        <f t="shared" si="23"/>
        <v>0</v>
      </c>
      <c r="I46" s="33" t="e">
        <f t="shared" si="24"/>
        <v>#DIV/0!</v>
      </c>
    </row>
    <row r="47" spans="4:9" x14ac:dyDescent="0.3">
      <c r="D47" s="33" t="e">
        <f t="shared" si="19"/>
        <v>#DIV/0!</v>
      </c>
      <c r="E47" s="11">
        <f t="shared" si="20"/>
        <v>0</v>
      </c>
      <c r="F47" s="11">
        <f t="shared" si="21"/>
        <v>0</v>
      </c>
      <c r="G47" s="86" t="e">
        <f t="shared" si="22"/>
        <v>#DIV/0!</v>
      </c>
      <c r="H47" s="33">
        <f t="shared" si="23"/>
        <v>0</v>
      </c>
      <c r="I47" s="33" t="e">
        <f t="shared" si="24"/>
        <v>#DIV/0!</v>
      </c>
    </row>
    <row r="48" spans="4: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0</v>
      </c>
      <c r="H9" s="1">
        <v>45922</v>
      </c>
      <c r="J9">
        <f>SUMIFS(Table14[Debit], Table14[Date], Table15[[#This Row],[Date]], Table14[Party], "Parts")</f>
        <v>0</v>
      </c>
    </row>
    <row r="10" spans="2:10" x14ac:dyDescent="0.3">
      <c r="B10" s="1">
        <v>45923</v>
      </c>
      <c r="C10" t="s">
        <v>119</v>
      </c>
      <c r="D10">
        <f>SUMIFS(Table14[Debit], Table14[Date], Table5[[#This Row],[Date]], Table14[Party], "Rashan")</f>
        <v>0</v>
      </c>
      <c r="H10" s="1">
        <v>45923</v>
      </c>
      <c r="J10">
        <f>SUMIFS(Table14[Debit], Table14[Date], Table15[[#This Row],[Date]], Table14[Party], "Parts")</f>
        <v>0</v>
      </c>
    </row>
    <row r="11" spans="2:10" x14ac:dyDescent="0.3">
      <c r="B11" s="1">
        <v>45924</v>
      </c>
      <c r="C11" t="s">
        <v>119</v>
      </c>
      <c r="D11">
        <f>SUMIFS(Table14[Debit], Table14[Date], Table5[[#This Row],[Date]], Table14[Party], "Rashan")</f>
        <v>0</v>
      </c>
      <c r="H11" s="1">
        <v>45924</v>
      </c>
      <c r="J11">
        <f>SUMIFS(Table14[Debit], Table14[Date], Table15[[#This Row],[Date]], Table14[Party], "Parts")</f>
        <v>0</v>
      </c>
    </row>
    <row r="12" spans="2:10" x14ac:dyDescent="0.3">
      <c r="B12" s="1">
        <v>45925</v>
      </c>
      <c r="C12" t="s">
        <v>119</v>
      </c>
      <c r="D12">
        <f>SUMIFS(Table14[Debit], Table14[Date], Table5[[#This Row],[Date]], Table14[Party], "Rashan")</f>
        <v>0</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0</v>
      </c>
    </row>
    <row r="17" spans="2:10" x14ac:dyDescent="0.3">
      <c r="B17" s="1">
        <v>45930</v>
      </c>
      <c r="C17" t="s">
        <v>119</v>
      </c>
      <c r="D17">
        <f>SUMIFS(Table14[Debit], Table14[Date], Table5[[#This Row],[Date]], Table14[Party], "Rashan")</f>
        <v>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0</v>
      </c>
    </row>
    <row r="19" spans="2:10" x14ac:dyDescent="0.3">
      <c r="B19" s="1">
        <v>45932</v>
      </c>
      <c r="C19" t="s">
        <v>119</v>
      </c>
      <c r="D19">
        <f>SUMIFS(Table14[Debit], Table14[Date], Table5[[#This Row],[Date]], Table14[Party], "Rashan")</f>
        <v>0</v>
      </c>
      <c r="H19" s="1">
        <v>45932</v>
      </c>
      <c r="J19">
        <f>SUMIFS(Table14[Debit], Table14[Date], Table15[[#This Row],[Date]], Table14[Party], "Parts")</f>
        <v>0</v>
      </c>
    </row>
    <row r="20" spans="2:10" x14ac:dyDescent="0.3">
      <c r="B20" s="1">
        <v>45933</v>
      </c>
      <c r="C20" t="s">
        <v>119</v>
      </c>
      <c r="D20">
        <f>SUMIFS(Table14[Debit], Table14[Date], Table5[[#This Row],[Date]], Table14[Party], "Rashan")</f>
        <v>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11185</v>
      </c>
      <c r="H35" s="1"/>
      <c r="J35">
        <f>SUM(Table15[Amount])</f>
        <v>44871</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4"/>
  <sheetViews>
    <sheetView workbookViewId="0">
      <selection activeCell="B3" sqref="B3"/>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7592183</v>
      </c>
    </row>
    <row r="3" spans="1:2" x14ac:dyDescent="0.3">
      <c r="A3" t="str">
        <f>Billing!O6</f>
        <v>Ejaz Sahab</v>
      </c>
      <c r="B3" s="14">
        <f>Billing!W6</f>
        <v>859904</v>
      </c>
    </row>
    <row r="4" spans="1:2" x14ac:dyDescent="0.3">
      <c r="A4" t="str">
        <f>Billing!O7</f>
        <v>Arshad</v>
      </c>
      <c r="B4" s="14">
        <f>Billing!W7</f>
        <v>1383916</v>
      </c>
    </row>
    <row r="5" spans="1:2" x14ac:dyDescent="0.3">
      <c r="A5" t="str">
        <f>Billing!O8</f>
        <v>Shehzad Kamoki</v>
      </c>
      <c r="B5" s="14">
        <f>Billing!W8</f>
        <v>1125940</v>
      </c>
    </row>
    <row r="6" spans="1:2" x14ac:dyDescent="0.3">
      <c r="A6" t="str">
        <f>Billing!O9</f>
        <v>Sufi Nawaz Sahab</v>
      </c>
      <c r="B6" s="14">
        <f>Billing!W9</f>
        <v>4440100</v>
      </c>
    </row>
    <row r="7" spans="1:2" x14ac:dyDescent="0.3">
      <c r="A7" t="str">
        <f>Billing!O10</f>
        <v>Sajad Khan</v>
      </c>
      <c r="B7" s="14">
        <f>Billing!W10</f>
        <v>2300000</v>
      </c>
    </row>
    <row r="8" spans="1:2" x14ac:dyDescent="0.3">
      <c r="A8" t="str">
        <f>Billing!O11</f>
        <v>Raaz Fabrics</v>
      </c>
      <c r="B8" s="14">
        <f>Billing!W11</f>
        <v>200000</v>
      </c>
    </row>
    <row r="9" spans="1:2" x14ac:dyDescent="0.3">
      <c r="A9" t="str">
        <f>Billing!O12</f>
        <v>Azam</v>
      </c>
      <c r="B9" s="14">
        <f>Billing!W12</f>
        <v>500000</v>
      </c>
    </row>
    <row r="10" spans="1:2" x14ac:dyDescent="0.3">
      <c r="A10" t="str">
        <f>Billing!O13</f>
        <v>Ubaidullah</v>
      </c>
      <c r="B10" s="14">
        <f>Billing!W13</f>
        <v>296150</v>
      </c>
    </row>
    <row r="11" spans="1:2" x14ac:dyDescent="0.3">
      <c r="A11" t="str">
        <f>Billing!O14</f>
        <v>Ashraf Zia</v>
      </c>
      <c r="B11" s="14">
        <f>Billing!W14</f>
        <v>0</v>
      </c>
    </row>
    <row r="12" spans="1:2" x14ac:dyDescent="0.3">
      <c r="A12" t="str">
        <f>Billing!O15</f>
        <v>Hafiz Qureshi</v>
      </c>
      <c r="B12" s="14">
        <f>Billing!W15</f>
        <v>200000</v>
      </c>
    </row>
    <row r="13" spans="1:2" x14ac:dyDescent="0.3">
      <c r="A13">
        <f>Billing!O16</f>
        <v>0</v>
      </c>
      <c r="B13" s="14">
        <f>Billing!W16</f>
        <v>0</v>
      </c>
    </row>
    <row r="14" spans="1:2" x14ac:dyDescent="0.3">
      <c r="A14">
        <f>Billing!O17</f>
        <v>0</v>
      </c>
      <c r="B14" s="14">
        <f>Billing!W17</f>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2025-09-15T18:19:54Z</cp:lastPrinted>
  <dcterms:created xsi:type="dcterms:W3CDTF">2025-06-24T04:42:48Z</dcterms:created>
  <dcterms:modified xsi:type="dcterms:W3CDTF">2025-09-21T18:48:38Z</dcterms:modified>
  <cp:category/>
  <cp:contentStatus/>
</cp:coreProperties>
</file>