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133" documentId="8_{04F26ED9-7C3F-46BE-B42F-003E2A3A444E}" xr6:coauthVersionLast="47" xr6:coauthVersionMax="47" xr10:uidLastSave="{43DAE22A-41AA-4FB6-BCEB-3C2EB5383158}"/>
  <bookViews>
    <workbookView xWindow="-108" yWindow="-108" windowWidth="23256" windowHeight="12456" firstSheet="4" activeTab="8"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9"/>
    <pivotCache cacheId="43" r:id="rId20"/>
    <pivotCache cacheId="48" r:id="rId21"/>
    <pivotCache cacheId="54" r:id="rId22"/>
    <pivotCache cacheId="61" r:id="rId23"/>
    <pivotCache cacheId="6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7" l="1"/>
  <c r="E16" i="7"/>
  <c r="E15" i="7"/>
  <c r="H15" i="7" s="1"/>
  <c r="D15" i="7"/>
  <c r="H16" i="7"/>
  <c r="H17" i="7"/>
  <c r="F13" i="15"/>
  <c r="G13" i="15"/>
  <c r="I126" i="1"/>
  <c r="J126" i="1" a="1"/>
  <c r="J126" i="1" s="1"/>
  <c r="I127" i="1"/>
  <c r="J127" i="1" a="1"/>
  <c r="J127" i="1"/>
  <c r="I128" i="1"/>
  <c r="J128" i="1" s="1" a="1"/>
  <c r="J128" i="1" s="1"/>
  <c r="I129" i="1"/>
  <c r="J129" i="1" a="1"/>
  <c r="J129" i="1"/>
  <c r="I130" i="1"/>
  <c r="J130" i="1" s="1" a="1"/>
  <c r="J130" i="1" s="1"/>
  <c r="I131" i="1"/>
  <c r="J131" i="1" s="1" a="1"/>
  <c r="J131" i="1" s="1"/>
  <c r="I132" i="1"/>
  <c r="J132" i="1" a="1"/>
  <c r="J132" i="1" s="1"/>
  <c r="C342" i="17"/>
  <c r="H33" i="6"/>
  <c r="I33" i="6" s="1"/>
  <c r="H34" i="6"/>
  <c r="I34" i="6" s="1"/>
  <c r="G33" i="6"/>
  <c r="H68" i="6"/>
  <c r="I68" i="6" s="1"/>
  <c r="G68" i="6"/>
  <c r="G69" i="6"/>
  <c r="I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9" i="20"/>
  <c r="B17" i="20"/>
  <c r="B18" i="20"/>
  <c r="B19" i="20"/>
  <c r="B26" i="9" a="1"/>
  <c r="G71"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a="1"/>
  <c r="J96" i="1" s="1"/>
  <c r="G49" i="6"/>
  <c r="I49" i="6"/>
  <c r="H48" i="6"/>
  <c r="I48" i="6" s="1"/>
  <c r="G48" i="6"/>
  <c r="B61" i="9" a="1"/>
  <c r="B61" i="9" s="1"/>
  <c r="I71" i="1"/>
  <c r="J71" i="1" a="1"/>
  <c r="J71" i="1" s="1"/>
  <c r="I72" i="1"/>
  <c r="J72" i="1" s="1" a="1"/>
  <c r="J72" i="1" s="1"/>
  <c r="I73" i="1"/>
  <c r="J73" i="1" a="1"/>
  <c r="J73" i="1" s="1"/>
  <c r="I74" i="1"/>
  <c r="J74" i="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E18" i="7" s="1"/>
  <c r="H8" i="7"/>
  <c r="H9" i="7"/>
  <c r="H10" i="7"/>
  <c r="H11" i="7"/>
  <c r="I57" i="1"/>
  <c r="J57" i="1" a="1"/>
  <c r="J57" i="1" s="1"/>
  <c r="I58" i="1"/>
  <c r="J58" i="1" s="1" a="1"/>
  <c r="J58" i="1" s="1"/>
  <c r="I59" i="1"/>
  <c r="J59" i="1" s="1" a="1"/>
  <c r="J59" i="1" s="1"/>
  <c r="I60" i="1"/>
  <c r="J60" i="1" a="1"/>
  <c r="J60" i="1" s="1"/>
  <c r="I61" i="1"/>
  <c r="J61" i="1" s="1" a="1"/>
  <c r="J61" i="1" s="1"/>
  <c r="I62" i="1"/>
  <c r="J62" i="1" s="1" a="1"/>
  <c r="J62" i="1" s="1"/>
  <c r="H38" i="6"/>
  <c r="I38" i="6" s="1"/>
  <c r="G39" i="6"/>
  <c r="I39" i="6"/>
  <c r="G38" i="6"/>
  <c r="G37" i="6"/>
  <c r="I37" i="6"/>
  <c r="G35" i="6"/>
  <c r="I35" i="6"/>
  <c r="H10" i="15"/>
  <c r="G5" i="15"/>
  <c r="G6" i="15"/>
  <c r="G7" i="15"/>
  <c r="H7" i="15" s="1"/>
  <c r="F7" i="15"/>
  <c r="G8" i="15"/>
  <c r="H8" i="15" s="1"/>
  <c r="F8" i="15"/>
  <c r="G9" i="15"/>
  <c r="H9" i="15" s="1"/>
  <c r="G11" i="15"/>
  <c r="H11" i="15" s="1"/>
  <c r="G12" i="15"/>
  <c r="F12" i="15"/>
  <c r="H6" i="7"/>
  <c r="I52" i="1"/>
  <c r="J52" i="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a="1"/>
  <c r="J43" i="1" s="1"/>
  <c r="I44" i="1"/>
  <c r="J44" i="1" s="1" a="1"/>
  <c r="J44" i="1" s="1"/>
  <c r="I45" i="1"/>
  <c r="J45" i="1" s="1" a="1"/>
  <c r="J45" i="1" s="1"/>
  <c r="I46" i="1"/>
  <c r="J46" i="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N6" i="17" s="1"/>
  <c r="I16" i="1"/>
  <c r="J16" i="1" a="1"/>
  <c r="J16" i="1" s="1"/>
  <c r="I17" i="1"/>
  <c r="J17" i="1" s="1" a="1"/>
  <c r="J17" i="1" s="1"/>
  <c r="I18" i="1"/>
  <c r="J18" i="1" s="1" a="1"/>
  <c r="J18" i="1" s="1"/>
  <c r="I19" i="1"/>
  <c r="J19" i="1" a="1"/>
  <c r="J19" i="1" s="1"/>
  <c r="I20" i="1"/>
  <c r="J20" i="1" s="1" a="1"/>
  <c r="J20" i="1" s="1"/>
  <c r="I21" i="1"/>
  <c r="J21" i="1" s="1" a="1"/>
  <c r="J21" i="1" s="1"/>
  <c r="I22" i="1"/>
  <c r="J22" i="1" s="1" a="1"/>
  <c r="J22" i="1" s="1"/>
  <c r="I23" i="1"/>
  <c r="J23" i="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H56" i="2" s="1"/>
  <c r="I56" i="2" s="1"/>
  <c r="D56" i="2" s="1"/>
  <c r="E57" i="2"/>
  <c r="F57" i="2"/>
  <c r="H57" i="2" s="1"/>
  <c r="I57" i="2" s="1"/>
  <c r="D57" i="2" s="1"/>
  <c r="E58" i="2"/>
  <c r="F58" i="2"/>
  <c r="G58" i="2"/>
  <c r="H110" i="1" s="1"/>
  <c r="E59" i="2"/>
  <c r="F59" i="2"/>
  <c r="H59" i="2" s="1"/>
  <c r="I59" i="2" s="1"/>
  <c r="D59" i="2" s="1"/>
  <c r="E60" i="2"/>
  <c r="F60" i="2"/>
  <c r="H60" i="2" s="1"/>
  <c r="I60" i="2" s="1"/>
  <c r="D60" i="2" s="1"/>
  <c r="G60" i="2"/>
  <c r="H112" i="1" s="1"/>
  <c r="E61" i="2"/>
  <c r="F61" i="2"/>
  <c r="G61" i="2" s="1"/>
  <c r="H61" i="2"/>
  <c r="I61" i="2" s="1"/>
  <c r="D61" i="2" s="1"/>
  <c r="E62" i="2"/>
  <c r="F62" i="2"/>
  <c r="H62" i="2" s="1"/>
  <c r="I62" i="2" s="1"/>
  <c r="D62" i="2" s="1"/>
  <c r="G62" i="2"/>
  <c r="H116" i="1" s="1"/>
  <c r="E63" i="2"/>
  <c r="F63" i="2"/>
  <c r="H63" i="2" s="1"/>
  <c r="I63" i="2" s="1"/>
  <c r="D63" i="2" s="1"/>
  <c r="E64" i="2"/>
  <c r="F64" i="2"/>
  <c r="G64" i="2" s="1"/>
  <c r="E65" i="2"/>
  <c r="F65" i="2"/>
  <c r="H65" i="2"/>
  <c r="I65" i="2"/>
  <c r="D65" i="2" s="1"/>
  <c r="E66" i="2"/>
  <c r="F66" i="2"/>
  <c r="G66" i="2"/>
  <c r="H126" i="1" s="1"/>
  <c r="H7" i="1"/>
  <c r="H66" i="2"/>
  <c r="I66" i="2" s="1"/>
  <c r="D66" i="2" s="1"/>
  <c r="E67" i="2"/>
  <c r="F67" i="2"/>
  <c r="G67" i="2"/>
  <c r="H128" i="1" s="1"/>
  <c r="H67" i="2"/>
  <c r="I67" i="2" s="1"/>
  <c r="D67" i="2" s="1"/>
  <c r="E68" i="2"/>
  <c r="F68" i="2"/>
  <c r="H68" i="2" s="1"/>
  <c r="I68" i="2" s="1"/>
  <c r="D68" i="2" s="1"/>
  <c r="G68" i="2"/>
  <c r="H129" i="1" s="1"/>
  <c r="E69" i="2"/>
  <c r="F69" i="2"/>
  <c r="G69" i="2" s="1"/>
  <c r="H130" i="1" s="1"/>
  <c r="H69" i="2"/>
  <c r="I69" i="2" s="1"/>
  <c r="D69" i="2" s="1"/>
  <c r="E70" i="2"/>
  <c r="F70" i="2"/>
  <c r="G70" i="2"/>
  <c r="H131" i="1" s="1"/>
  <c r="H70" i="2"/>
  <c r="I70" i="2" s="1"/>
  <c r="D70" i="2" s="1"/>
  <c r="E71" i="2"/>
  <c r="F71" i="2"/>
  <c r="H71" i="2" s="1"/>
  <c r="I71" i="2" s="1"/>
  <c r="D71" i="2" s="1"/>
  <c r="G71" i="2"/>
  <c r="H132" i="1" s="1"/>
  <c r="E72" i="2"/>
  <c r="F72" i="2"/>
  <c r="G72" i="2" s="1"/>
  <c r="H72" i="2"/>
  <c r="I72" i="2" s="1"/>
  <c r="D72" i="2" s="1"/>
  <c r="E73" i="2"/>
  <c r="F73" i="2"/>
  <c r="G73" i="2"/>
  <c r="H73" i="2"/>
  <c r="I73" i="2"/>
  <c r="D73" i="2"/>
  <c r="E74" i="2"/>
  <c r="F74" i="2"/>
  <c r="G74" i="2"/>
  <c r="H74" i="2"/>
  <c r="I74" i="2"/>
  <c r="D74" i="2"/>
  <c r="E75" i="2"/>
  <c r="F75" i="2"/>
  <c r="G75" i="2"/>
  <c r="H75" i="2"/>
  <c r="I75" i="2"/>
  <c r="D75" i="2"/>
  <c r="E45" i="2"/>
  <c r="F45" i="2"/>
  <c r="H45" i="2" s="1"/>
  <c r="I45" i="2" s="1"/>
  <c r="D45" i="2" s="1"/>
  <c r="G45" i="2"/>
  <c r="H84" i="1"/>
  <c r="E46" i="2"/>
  <c r="F46" i="2"/>
  <c r="G46" i="2"/>
  <c r="H87" i="1" s="1"/>
  <c r="E47" i="2"/>
  <c r="F47" i="2"/>
  <c r="G47" i="2" s="1"/>
  <c r="H47" i="2"/>
  <c r="I47" i="2" s="1"/>
  <c r="D47" i="2" s="1"/>
  <c r="E48" i="2"/>
  <c r="F48" i="2"/>
  <c r="E49" i="2"/>
  <c r="F49" i="2"/>
  <c r="H49" i="2" s="1"/>
  <c r="I49" i="2" s="1"/>
  <c r="D49" i="2" s="1"/>
  <c r="E50" i="2"/>
  <c r="F50" i="2"/>
  <c r="H50" i="2" s="1"/>
  <c r="I50" i="2" s="1"/>
  <c r="D50" i="2" s="1"/>
  <c r="E51" i="2"/>
  <c r="F51" i="2"/>
  <c r="G51" i="2" s="1"/>
  <c r="E52" i="2"/>
  <c r="F52" i="2"/>
  <c r="G52" i="2" s="1"/>
  <c r="E53" i="2"/>
  <c r="F53" i="2"/>
  <c r="H53" i="2" s="1"/>
  <c r="I53" i="2" s="1"/>
  <c r="D53" i="2" s="1"/>
  <c r="E54" i="2"/>
  <c r="F54" i="2"/>
  <c r="H54" i="2"/>
  <c r="I54" i="2"/>
  <c r="D54" i="2"/>
  <c r="E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H34" i="2"/>
  <c r="I34" i="2"/>
  <c r="D34" i="2" s="1"/>
  <c r="E35" i="2"/>
  <c r="F35" i="2"/>
  <c r="H35" i="2" s="1"/>
  <c r="I35" i="2" s="1"/>
  <c r="D35" i="2" s="1"/>
  <c r="E36" i="2"/>
  <c r="F36" i="2"/>
  <c r="G36" i="2" s="1"/>
  <c r="H66" i="1" s="1"/>
  <c r="H36" i="2"/>
  <c r="I36" i="2" s="1"/>
  <c r="D36" i="2" s="1"/>
  <c r="E37" i="2"/>
  <c r="F37" i="2"/>
  <c r="H37" i="2" s="1"/>
  <c r="I37" i="2" s="1"/>
  <c r="D37" i="2" s="1"/>
  <c r="E39" i="2"/>
  <c r="F39" i="2"/>
  <c r="G39" i="2" s="1"/>
  <c r="E40" i="2"/>
  <c r="F40" i="2"/>
  <c r="H40" i="2"/>
  <c r="I40" i="2" s="1"/>
  <c r="D40" i="2" s="1"/>
  <c r="E41" i="2"/>
  <c r="F41" i="2"/>
  <c r="E42" i="2"/>
  <c r="F42" i="2"/>
  <c r="G42" i="2" s="1"/>
  <c r="H42" i="2"/>
  <c r="I42" i="2"/>
  <c r="D42" i="2" s="1"/>
  <c r="E43" i="2"/>
  <c r="F43" i="2"/>
  <c r="H43" i="2" s="1"/>
  <c r="I43" i="2" s="1"/>
  <c r="D43" i="2" s="1"/>
  <c r="E44" i="2"/>
  <c r="F44" i="2"/>
  <c r="G44" i="2" s="1"/>
  <c r="F38" i="2"/>
  <c r="G38" i="2" s="1"/>
  <c r="H38" i="2"/>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G23" i="2" s="1"/>
  <c r="H46" i="1" s="1"/>
  <c r="F24" i="2"/>
  <c r="G24" i="2" s="1"/>
  <c r="F25" i="2"/>
  <c r="G25" i="2" s="1"/>
  <c r="H48" i="1" s="1"/>
  <c r="H25" i="2"/>
  <c r="I25" i="2"/>
  <c r="D25" i="2"/>
  <c r="F26" i="2"/>
  <c r="H26" i="2" s="1"/>
  <c r="I26" i="2" s="1"/>
  <c r="D26" i="2" s="1"/>
  <c r="F27" i="2"/>
  <c r="F28" i="2"/>
  <c r="H28" i="2" s="1"/>
  <c r="I28" i="2" s="1"/>
  <c r="D28" i="2" s="1"/>
  <c r="F29" i="2"/>
  <c r="G29" i="2" s="1"/>
  <c r="H54" i="1" s="1"/>
  <c r="H29" i="2"/>
  <c r="I29" i="2" s="1"/>
  <c r="D29" i="2" s="1"/>
  <c r="F30" i="2"/>
  <c r="H30" i="2" s="1"/>
  <c r="I30" i="2" s="1"/>
  <c r="D30" i="2" s="1"/>
  <c r="F31" i="2"/>
  <c r="G31" i="2" s="1"/>
  <c r="H56" i="1" s="1"/>
  <c r="H31" i="2"/>
  <c r="I31" i="2"/>
  <c r="D31" i="2" s="1"/>
  <c r="F32" i="2"/>
  <c r="H32" i="2" s="1"/>
  <c r="I32" i="2" s="1"/>
  <c r="D32" i="2" s="1"/>
  <c r="E22" i="2"/>
  <c r="E23" i="2"/>
  <c r="E24" i="2"/>
  <c r="E25" i="2"/>
  <c r="E26" i="2"/>
  <c r="E27" i="2"/>
  <c r="E28" i="2"/>
  <c r="E29" i="2"/>
  <c r="E30" i="2"/>
  <c r="E31" i="2"/>
  <c r="E32" i="2"/>
  <c r="E20" i="2"/>
  <c r="E21" i="2"/>
  <c r="G21" i="2" s="1"/>
  <c r="H44" i="1" s="1"/>
  <c r="N4" i="17"/>
  <c r="F20" i="2"/>
  <c r="H20" i="2"/>
  <c r="I20" i="2" s="1"/>
  <c r="D20" i="2" s="1"/>
  <c r="E15" i="2"/>
  <c r="E16" i="2"/>
  <c r="E17" i="2"/>
  <c r="E18" i="2"/>
  <c r="E19" i="2"/>
  <c r="E7" i="2"/>
  <c r="E8" i="2"/>
  <c r="G8" i="2" s="1"/>
  <c r="H19" i="1" s="1"/>
  <c r="E9" i="2"/>
  <c r="E10" i="2"/>
  <c r="E11" i="2"/>
  <c r="E12" i="2"/>
  <c r="E13" i="2"/>
  <c r="E14" i="2"/>
  <c r="G14" i="2" s="1"/>
  <c r="E5" i="2"/>
  <c r="E6" i="2"/>
  <c r="E4" i="2"/>
  <c r="F13" i="2"/>
  <c r="H13" i="2"/>
  <c r="I13" i="2"/>
  <c r="D13" i="2" s="1"/>
  <c r="F14" i="2"/>
  <c r="H14" i="2"/>
  <c r="I14" i="2"/>
  <c r="D14" i="2" s="1"/>
  <c r="F15" i="2"/>
  <c r="H15" i="2" s="1"/>
  <c r="I15" i="2" s="1"/>
  <c r="D15" i="2" s="1"/>
  <c r="F16" i="2"/>
  <c r="H16" i="2"/>
  <c r="I16" i="2"/>
  <c r="D16" i="2" s="1"/>
  <c r="F17" i="2"/>
  <c r="G17" i="2" s="1"/>
  <c r="H37" i="1" s="1"/>
  <c r="F18" i="2"/>
  <c r="H18" i="2"/>
  <c r="I18" i="2"/>
  <c r="D18" i="2" s="1"/>
  <c r="F19" i="2"/>
  <c r="H19" i="2" s="1"/>
  <c r="I19" i="2" s="1"/>
  <c r="D19" i="2" s="1"/>
  <c r="C8" i="8"/>
  <c r="F11" i="2"/>
  <c r="F10" i="2"/>
  <c r="H10" i="2"/>
  <c r="I10" i="2"/>
  <c r="D10" i="2"/>
  <c r="F6" i="2"/>
  <c r="H6" i="2" s="1"/>
  <c r="I6" i="2" s="1"/>
  <c r="D6" i="2" s="1"/>
  <c r="F7" i="2"/>
  <c r="H7" i="2"/>
  <c r="I7" i="2"/>
  <c r="D7" i="2" s="1"/>
  <c r="F8" i="2"/>
  <c r="H8" i="2"/>
  <c r="I8" i="2"/>
  <c r="D8" i="2" s="1"/>
  <c r="F9" i="2"/>
  <c r="H9" i="2" s="1"/>
  <c r="I9" i="2" s="1"/>
  <c r="D9" i="2" s="1"/>
  <c r="N3" i="7"/>
  <c r="N5" i="7"/>
  <c r="E6" i="11"/>
  <c r="D6" i="11"/>
  <c r="F12" i="2"/>
  <c r="H12" i="2"/>
  <c r="I12" i="2"/>
  <c r="D12" i="2" s="1"/>
  <c r="F5" i="2"/>
  <c r="H5" i="2" s="1"/>
  <c r="I5" i="2" s="1"/>
  <c r="D5" i="2" s="1"/>
  <c r="F3" i="2"/>
  <c r="F4" i="2"/>
  <c r="C7" i="8"/>
  <c r="C16" i="12"/>
  <c r="J15" i="14"/>
  <c r="C348" i="17"/>
  <c r="K4" i="17" s="1"/>
  <c r="C16" i="10"/>
  <c r="B2" i="2"/>
  <c r="I9" i="1"/>
  <c r="J9" i="1" s="1" a="1"/>
  <c r="J9" i="1" s="1"/>
  <c r="I11" i="1"/>
  <c r="J11" i="1" s="1" a="1"/>
  <c r="J11" i="1" s="1"/>
  <c r="H12" i="1"/>
  <c r="H6" i="1"/>
  <c r="H13" i="1"/>
  <c r="H85" i="1"/>
  <c r="H5" i="1"/>
  <c r="H4" i="1"/>
  <c r="H14" i="1"/>
  <c r="H9" i="1"/>
  <c r="H3" i="1"/>
  <c r="H10" i="1"/>
  <c r="H11"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G63" i="2"/>
  <c r="H118" i="1" s="1"/>
  <c r="H8" i="1"/>
  <c r="H64" i="2"/>
  <c r="I64" i="2" s="1"/>
  <c r="D64" i="2" s="1"/>
  <c r="H58" i="2"/>
  <c r="I58" i="2" s="1"/>
  <c r="D58" i="2" s="1"/>
  <c r="H41" i="2"/>
  <c r="I41" i="2" s="1"/>
  <c r="D41" i="2" s="1"/>
  <c r="G34" i="2"/>
  <c r="H63" i="1" s="1"/>
  <c r="H62" i="1"/>
  <c r="G12" i="2"/>
  <c r="H23" i="1"/>
  <c r="G7" i="2"/>
  <c r="H18" i="1" s="1"/>
  <c r="G15" i="2"/>
  <c r="H27" i="1" s="1"/>
  <c r="G48" i="2"/>
  <c r="H89" i="1"/>
  <c r="G22" i="2"/>
  <c r="H45" i="1" s="1"/>
  <c r="G10" i="2"/>
  <c r="H21" i="1" s="1"/>
  <c r="H11" i="2"/>
  <c r="I11" i="2" s="1"/>
  <c r="H27" i="2"/>
  <c r="I27" i="2"/>
  <c r="D27" i="2"/>
  <c r="G53" i="2"/>
  <c r="H103" i="1" s="1"/>
  <c r="H48" i="2"/>
  <c r="I48" i="2"/>
  <c r="D48" i="2" s="1"/>
  <c r="H46" i="2"/>
  <c r="I46" i="2"/>
  <c r="D46" i="2" s="1"/>
  <c r="H97" i="1"/>
  <c r="C2" i="2"/>
  <c r="H7" i="7" l="1"/>
  <c r="H18" i="7"/>
  <c r="C5" i="8"/>
  <c r="H13" i="15"/>
  <c r="F14" i="15"/>
  <c r="H108" i="1"/>
  <c r="H88" i="1"/>
  <c r="H70" i="1"/>
  <c r="H69" i="1"/>
  <c r="H29" i="1"/>
  <c r="H86" i="1"/>
  <c r="G30" i="2"/>
  <c r="H55" i="1" s="1"/>
  <c r="G4" i="2"/>
  <c r="G11" i="2"/>
  <c r="H30" i="1" s="1"/>
  <c r="H24" i="2"/>
  <c r="I24" i="2" s="1"/>
  <c r="D24" i="2" s="1"/>
  <c r="G41" i="2"/>
  <c r="H75" i="1" s="1"/>
  <c r="G54" i="2"/>
  <c r="H105" i="1" s="1"/>
  <c r="G56" i="2"/>
  <c r="H113" i="1" s="1"/>
  <c r="G50" i="2"/>
  <c r="H17" i="2"/>
  <c r="I17" i="2" s="1"/>
  <c r="D17" i="2" s="1"/>
  <c r="G55" i="2"/>
  <c r="H44" i="2"/>
  <c r="I44" i="2" s="1"/>
  <c r="D44" i="2" s="1"/>
  <c r="G35" i="2"/>
  <c r="G16" i="2"/>
  <c r="H36" i="1" s="1"/>
  <c r="G19" i="2"/>
  <c r="G28" i="2"/>
  <c r="H52" i="1" s="1"/>
  <c r="H39" i="2"/>
  <c r="I39" i="2" s="1"/>
  <c r="D39" i="2" s="1"/>
  <c r="G20" i="2"/>
  <c r="H61" i="1" s="1"/>
  <c r="G27" i="2"/>
  <c r="H53" i="1" s="1"/>
  <c r="H33" i="2"/>
  <c r="I33" i="2" s="1"/>
  <c r="D33" i="2" s="1"/>
  <c r="G37" i="2"/>
  <c r="H68" i="1" s="1"/>
  <c r="G18" i="2"/>
  <c r="G13" i="2"/>
  <c r="G40" i="2"/>
  <c r="H74" i="1" s="1"/>
  <c r="H52" i="2"/>
  <c r="I52" i="2" s="1"/>
  <c r="D52" i="2" s="1"/>
  <c r="G65" i="2"/>
  <c r="H39" i="1"/>
  <c r="H38" i="1"/>
  <c r="H43" i="1"/>
  <c r="H24" i="1"/>
  <c r="H33" i="1"/>
  <c r="H32" i="1"/>
  <c r="H82" i="1"/>
  <c r="H73" i="1"/>
  <c r="H125" i="1"/>
  <c r="H124" i="1"/>
  <c r="H78" i="1"/>
  <c r="H83" i="1"/>
  <c r="H51" i="1"/>
  <c r="H72" i="1"/>
  <c r="H71" i="1"/>
  <c r="H93" i="1"/>
  <c r="H98" i="1"/>
  <c r="H119" i="1"/>
  <c r="H123" i="1"/>
  <c r="H92" i="1"/>
  <c r="H95" i="1"/>
  <c r="H26" i="1"/>
  <c r="H34" i="1"/>
  <c r="H79" i="1"/>
  <c r="H76" i="1"/>
  <c r="H22" i="1"/>
  <c r="H42" i="1"/>
  <c r="H120" i="1"/>
  <c r="H122" i="1"/>
  <c r="H114" i="1"/>
  <c r="H115" i="1"/>
  <c r="H121" i="1"/>
  <c r="H47" i="1"/>
  <c r="H49" i="1"/>
  <c r="H106" i="1"/>
  <c r="H107" i="1"/>
  <c r="G59" i="2"/>
  <c r="H111" i="1" s="1"/>
  <c r="H99" i="1"/>
  <c r="G49" i="2"/>
  <c r="H127" i="1"/>
  <c r="G26" i="2"/>
  <c r="H50" i="1" s="1"/>
  <c r="H64" i="1"/>
  <c r="G6" i="2"/>
  <c r="H23" i="2"/>
  <c r="I23" i="2" s="1"/>
  <c r="D23" i="2" s="1"/>
  <c r="H51" i="2"/>
  <c r="I51" i="2" s="1"/>
  <c r="D51" i="2" s="1"/>
  <c r="G9" i="2"/>
  <c r="H20" i="1" s="1"/>
  <c r="H4" i="2"/>
  <c r="I4" i="2" s="1"/>
  <c r="D4" i="2" s="1"/>
  <c r="G43" i="2"/>
  <c r="G57" i="2"/>
  <c r="G32" i="2"/>
  <c r="G5" i="2"/>
  <c r="W19" i="9"/>
  <c r="B16" i="20" s="1"/>
  <c r="A18" i="20"/>
  <c r="G42" i="9" a="1"/>
  <c r="G42" i="9" s="1"/>
  <c r="J42" i="9"/>
  <c r="H42" i="9" a="1"/>
  <c r="H42" i="9" s="1"/>
  <c r="A17" i="20"/>
  <c r="W17" i="9"/>
  <c r="B14" i="20" s="1"/>
  <c r="A6" i="20"/>
  <c r="A11" i="20"/>
  <c r="I45" i="9"/>
  <c r="K45" i="9" s="1"/>
  <c r="A4" i="21"/>
  <c r="B4" i="21" s="1"/>
  <c r="A13" i="21"/>
  <c r="B13" i="21" s="1"/>
  <c r="P18" i="9" a="1"/>
  <c r="P18" i="9" s="1"/>
  <c r="A10" i="20"/>
  <c r="H36" i="9" a="1"/>
  <c r="H36" i="9" s="1"/>
  <c r="H35" i="9" a="1"/>
  <c r="H35" i="9" s="1"/>
  <c r="H63" i="9"/>
  <c r="U7" i="9" s="1" a="1"/>
  <c r="U7" i="9" s="1"/>
  <c r="G65" i="9"/>
  <c r="T9" i="9" s="1" a="1"/>
  <c r="T9" i="9" s="1"/>
  <c r="B15" i="9"/>
  <c r="E15" i="9" s="1"/>
  <c r="I46" i="9"/>
  <c r="K46" i="9" s="1"/>
  <c r="B10" i="9"/>
  <c r="F67" i="9"/>
  <c r="D70" i="9"/>
  <c r="Q14" i="9" s="1" a="1"/>
  <c r="Q14" i="9" s="1"/>
  <c r="J27" i="9"/>
  <c r="U17" i="9" a="1"/>
  <c r="U17" i="9" s="1"/>
  <c r="J32" i="9"/>
  <c r="J68" i="9"/>
  <c r="W12" i="9" s="1"/>
  <c r="B9" i="20" s="1"/>
  <c r="B14" i="9"/>
  <c r="E14" i="9" s="1"/>
  <c r="E71" i="9"/>
  <c r="R15" i="9" s="1" a="1"/>
  <c r="R15" i="9" s="1"/>
  <c r="S16" i="9" a="1"/>
  <c r="S16" i="9" s="1"/>
  <c r="I44" i="9"/>
  <c r="K44" i="9" s="1"/>
  <c r="P17" i="9" a="1"/>
  <c r="P17" i="9" s="1"/>
  <c r="D66" i="9"/>
  <c r="Q10" i="9" s="1" a="1"/>
  <c r="Q10" i="9" s="1"/>
  <c r="D68" i="9"/>
  <c r="Q12" i="9" s="1" a="1"/>
  <c r="Q12" i="9" s="1"/>
  <c r="Q18" i="9" a="1"/>
  <c r="Q18" i="9" s="1"/>
  <c r="C63" i="9"/>
  <c r="P7" i="9" s="1" a="1"/>
  <c r="P7" i="9" s="1"/>
  <c r="E62" i="9"/>
  <c r="R6" i="9" s="1" a="1"/>
  <c r="R6" i="9" s="1"/>
  <c r="J28" i="9"/>
  <c r="T17" i="9" a="1"/>
  <c r="T17" i="9" s="1"/>
  <c r="B6" i="9"/>
  <c r="R18" i="9" a="1"/>
  <c r="R18" i="9" s="1"/>
  <c r="P19" i="9" a="1"/>
  <c r="P19" i="9" s="1"/>
  <c r="A8" i="21"/>
  <c r="B8" i="21" s="1"/>
  <c r="J64" i="9"/>
  <c r="W8" i="9" s="1"/>
  <c r="B5" i="20" s="1"/>
  <c r="A6" i="21"/>
  <c r="B6" i="21" s="1"/>
  <c r="A9" i="20"/>
  <c r="A14" i="21"/>
  <c r="W18" i="9"/>
  <c r="B15" i="20" s="1"/>
  <c r="A3" i="20"/>
  <c r="A3" i="21"/>
  <c r="B3" i="21" s="1"/>
  <c r="A12" i="20"/>
  <c r="A4" i="20"/>
  <c r="A5" i="20"/>
  <c r="O5" i="9"/>
  <c r="A5" i="21"/>
  <c r="B5" i="21" s="1"/>
  <c r="I133" i="1" a="1"/>
  <c r="I133" i="1" s="1"/>
  <c r="I41" i="9"/>
  <c r="K41" i="9" s="1"/>
  <c r="H39" i="9" a="1"/>
  <c r="H39" i="9" s="1"/>
  <c r="G32" i="9" a="1"/>
  <c r="G32" i="9" s="1"/>
  <c r="H28" i="9" a="1"/>
  <c r="H28" i="9" s="1"/>
  <c r="Q19" i="9" a="1"/>
  <c r="Q19" i="9" s="1"/>
  <c r="G68" i="9"/>
  <c r="T12" i="9" s="1" a="1"/>
  <c r="T12" i="9" s="1"/>
  <c r="E69" i="9"/>
  <c r="R13" i="9" s="1" a="1"/>
  <c r="R13" i="9" s="1"/>
  <c r="H67" i="9"/>
  <c r="U11" i="9" s="1" a="1"/>
  <c r="U11" i="9" s="1"/>
  <c r="F62" i="9"/>
  <c r="S6" i="9" s="1" a="1"/>
  <c r="S6" i="9" s="1"/>
  <c r="E70" i="9"/>
  <c r="R14" i="9" s="1" a="1"/>
  <c r="R14" i="9" s="1"/>
  <c r="H71" i="9"/>
  <c r="U15" i="9" s="1" a="1"/>
  <c r="U15" i="9" s="1"/>
  <c r="G62" i="9"/>
  <c r="J63" i="9"/>
  <c r="W7" i="9" s="1"/>
  <c r="B4" i="20" s="1"/>
  <c r="B7" i="9"/>
  <c r="Q17" i="9" a="1"/>
  <c r="Q17" i="9" s="1"/>
  <c r="C71" i="9"/>
  <c r="P15" i="9" s="1" a="1"/>
  <c r="P15" i="9" s="1"/>
  <c r="D62" i="9"/>
  <c r="Q6" i="9" s="1" a="1"/>
  <c r="Q6" i="9" s="1"/>
  <c r="F71" i="9"/>
  <c r="S15" i="9" s="1" a="1"/>
  <c r="S15" i="9" s="1"/>
  <c r="J37" i="9"/>
  <c r="T18" i="9" a="1"/>
  <c r="T18" i="9" s="1"/>
  <c r="F65" i="9"/>
  <c r="S9" i="9" s="1" a="1"/>
  <c r="S9" i="9" s="1"/>
  <c r="J70" i="9"/>
  <c r="W14" i="9" s="1"/>
  <c r="B11" i="20" s="1"/>
  <c r="U18" i="9" a="1"/>
  <c r="U18" i="9" s="1"/>
  <c r="B26" i="9"/>
  <c r="J26" i="9" s="1"/>
  <c r="H31" i="9" a="1"/>
  <c r="H31" i="9" s="1"/>
  <c r="H69" i="9"/>
  <c r="U13" i="9" s="1" a="1"/>
  <c r="U13" i="9" s="1"/>
  <c r="H64" i="9"/>
  <c r="U8" i="9" s="1" a="1"/>
  <c r="U8" i="9" s="1"/>
  <c r="B16" i="9"/>
  <c r="H32" i="9" a="1"/>
  <c r="H32" i="9" s="1"/>
  <c r="U19" i="9" a="1"/>
  <c r="U19" i="9" s="1"/>
  <c r="F64" i="9"/>
  <c r="S8" i="9" s="1" a="1"/>
  <c r="S8" i="9" s="1"/>
  <c r="E63" i="9"/>
  <c r="R7" i="9" s="1" a="1"/>
  <c r="R7" i="9" s="1"/>
  <c r="H33" i="9" a="1"/>
  <c r="H33" i="9" s="1"/>
  <c r="G33" i="9" a="1"/>
  <c r="G33" i="9" s="1"/>
  <c r="H29" i="9" a="1"/>
  <c r="H29" i="9" s="1"/>
  <c r="J71" i="9"/>
  <c r="W15" i="9" s="1"/>
  <c r="B12" i="20" s="1"/>
  <c r="D65" i="9"/>
  <c r="Q9" i="9" s="1" a="1"/>
  <c r="Q9" i="9" s="1"/>
  <c r="F70" i="9"/>
  <c r="S14" i="9" s="1" a="1"/>
  <c r="S14" i="9" s="1"/>
  <c r="D69" i="9"/>
  <c r="Q13" i="9" s="1" a="1"/>
  <c r="Q13" i="9" s="1"/>
  <c r="C70" i="9"/>
  <c r="P14" i="9" s="1" a="1"/>
  <c r="P14" i="9" s="1"/>
  <c r="C65" i="9"/>
  <c r="P9" i="9" s="1" a="1"/>
  <c r="P9" i="9" s="1"/>
  <c r="H70" i="9"/>
  <c r="U14" i="9" s="1" a="1"/>
  <c r="U14" i="9" s="1"/>
  <c r="J35" i="9"/>
  <c r="G70" i="9"/>
  <c r="U16" i="9" a="1"/>
  <c r="U16" i="9" s="1"/>
  <c r="G34" i="9" a="1"/>
  <c r="G34" i="9" s="1"/>
  <c r="H30" i="9" a="1"/>
  <c r="H30" i="9" s="1"/>
  <c r="R19" i="9" a="1"/>
  <c r="R19" i="9" s="1"/>
  <c r="Q16" i="9" a="1"/>
  <c r="Q16" i="9" s="1"/>
  <c r="J65" i="9"/>
  <c r="W9" i="9" s="1"/>
  <c r="B6" i="20" s="1"/>
  <c r="D64" i="9"/>
  <c r="Q8" i="9" s="1" a="1"/>
  <c r="Q8" i="9" s="1"/>
  <c r="B13" i="9"/>
  <c r="G69" i="9"/>
  <c r="T13" i="9" s="1" a="1"/>
  <c r="T13" i="9" s="1"/>
  <c r="H65" i="9"/>
  <c r="U9" i="9" s="1" a="1"/>
  <c r="U9" i="9" s="1"/>
  <c r="B12" i="9"/>
  <c r="T16" i="9" a="1"/>
  <c r="T16" i="9" s="1"/>
  <c r="J39" i="9"/>
  <c r="I43" i="9"/>
  <c r="K43" i="9" s="1"/>
  <c r="J34" i="9"/>
  <c r="W16" i="9"/>
  <c r="B13" i="20" s="1"/>
  <c r="S18" i="9" a="1"/>
  <c r="S18" i="9" s="1"/>
  <c r="S17" i="9" a="1"/>
  <c r="S17" i="9" s="1"/>
  <c r="E68" i="9"/>
  <c r="R12" i="9" s="1" a="1"/>
  <c r="R12" i="9" s="1"/>
  <c r="J30" i="9"/>
  <c r="C68" i="9"/>
  <c r="P12" i="9" s="1" a="1"/>
  <c r="P12" i="9" s="1"/>
  <c r="B8" i="9"/>
  <c r="J66" i="9"/>
  <c r="W10" i="9" s="1"/>
  <c r="B7" i="20" s="1"/>
  <c r="G40" i="9" a="1"/>
  <c r="G40" i="9" s="1"/>
  <c r="A7" i="20"/>
  <c r="A12" i="21"/>
  <c r="B12" i="21" s="1"/>
  <c r="A9" i="21"/>
  <c r="B9" i="21" s="1"/>
  <c r="D71" i="9"/>
  <c r="Q15" i="9" s="1" a="1"/>
  <c r="Q15" i="9" s="1"/>
  <c r="P16" i="9" a="1"/>
  <c r="P16" i="9" s="1"/>
  <c r="C64" i="9"/>
  <c r="P8" i="9" s="1" a="1"/>
  <c r="P8" i="9" s="1"/>
  <c r="J67" i="9"/>
  <c r="W11" i="9" s="1"/>
  <c r="B8" i="20" s="1"/>
  <c r="E65" i="9"/>
  <c r="R9" i="9" s="1" a="1"/>
  <c r="R9" i="9" s="1"/>
  <c r="C69" i="9"/>
  <c r="P13" i="9" s="1" a="1"/>
  <c r="P13" i="9" s="1"/>
  <c r="D63" i="9"/>
  <c r="Q7" i="9" s="1" a="1"/>
  <c r="Q7" i="9" s="1"/>
  <c r="H62" i="9"/>
  <c r="U6" i="9" s="1" a="1"/>
  <c r="U6" i="9" s="1"/>
  <c r="G64" i="9"/>
  <c r="T8" i="9" s="1" a="1"/>
  <c r="T8" i="9" s="1"/>
  <c r="J69" i="9"/>
  <c r="W13" i="9" s="1"/>
  <c r="B10" i="20" s="1"/>
  <c r="H27" i="9" a="1"/>
  <c r="H27" i="9" s="1"/>
  <c r="G31" i="9" a="1"/>
  <c r="G31" i="9" s="1"/>
  <c r="A8" i="20"/>
  <c r="A7" i="21"/>
  <c r="B7" i="21" s="1"/>
  <c r="F63" i="9"/>
  <c r="S7" i="9" s="1" a="1"/>
  <c r="S7" i="9" s="1"/>
  <c r="H68" i="9"/>
  <c r="U12" i="9" s="1" a="1"/>
  <c r="U12" i="9" s="1"/>
  <c r="D67" i="9"/>
  <c r="Q11" i="9" s="1" a="1"/>
  <c r="Q11" i="9" s="1"/>
  <c r="G63" i="9"/>
  <c r="C66" i="9"/>
  <c r="P10" i="9" s="1" a="1"/>
  <c r="P10" i="9" s="1"/>
  <c r="R16" i="9" a="1"/>
  <c r="R16" i="9" s="1"/>
  <c r="B9" i="9"/>
  <c r="F68" i="9"/>
  <c r="S12" i="9" s="1" a="1"/>
  <c r="S12" i="9" s="1"/>
  <c r="S19" i="9" a="1"/>
  <c r="S19" i="9" s="1"/>
  <c r="G30" i="9" a="1"/>
  <c r="G30" i="9" s="1"/>
  <c r="J29" i="9"/>
  <c r="G37" i="9" a="1"/>
  <c r="G37" i="9" s="1"/>
  <c r="G39" i="9" a="1"/>
  <c r="G39" i="9" s="1"/>
  <c r="A11" i="21"/>
  <c r="B11" i="21" s="1"/>
  <c r="A10" i="21"/>
  <c r="B10" i="21" s="1"/>
  <c r="A13" i="20"/>
  <c r="A14" i="20"/>
  <c r="C67" i="9"/>
  <c r="P11" i="9" s="1" a="1"/>
  <c r="P11" i="9" s="1"/>
  <c r="C62" i="9"/>
  <c r="P6" i="9" s="1" a="1"/>
  <c r="P6" i="9" s="1"/>
  <c r="E67" i="9"/>
  <c r="R11" i="9" s="1" a="1"/>
  <c r="R11" i="9" s="1"/>
  <c r="G67" i="9"/>
  <c r="T11" i="9" s="1" a="1"/>
  <c r="T11" i="9" s="1"/>
  <c r="J31" i="9"/>
  <c r="E66" i="9"/>
  <c r="R10" i="9" s="1" a="1"/>
  <c r="R10" i="9" s="1"/>
  <c r="F66" i="9"/>
  <c r="S10" i="9" s="1" a="1"/>
  <c r="S10" i="9" s="1"/>
  <c r="E64" i="9"/>
  <c r="R8" i="9" s="1" a="1"/>
  <c r="R8" i="9" s="1"/>
  <c r="J33" i="9"/>
  <c r="J62" i="9"/>
  <c r="W6" i="9" s="1"/>
  <c r="B3" i="20" s="1"/>
  <c r="H37" i="9" a="1"/>
  <c r="H37" i="9" s="1"/>
  <c r="G29" i="9" a="1"/>
  <c r="G29" i="9" s="1"/>
  <c r="J40" i="9"/>
  <c r="J38" i="9"/>
  <c r="A16" i="20"/>
  <c r="G28" i="9" a="1"/>
  <c r="G28" i="9" s="1"/>
  <c r="G36" i="9" a="1"/>
  <c r="G36" i="9" s="1"/>
  <c r="A15" i="20"/>
  <c r="H38" i="9" a="1"/>
  <c r="H38" i="9" s="1"/>
  <c r="B11" i="9"/>
  <c r="B5" i="9"/>
  <c r="F69" i="9"/>
  <c r="S13" i="9" s="1" a="1"/>
  <c r="S13" i="9" s="1"/>
  <c r="G66" i="9"/>
  <c r="T10" i="9" s="1" a="1"/>
  <c r="T10" i="9" s="1"/>
  <c r="R17" i="9" a="1"/>
  <c r="R17" i="9" s="1"/>
  <c r="S11" i="9" a="1"/>
  <c r="S11" i="9" s="1"/>
  <c r="H66" i="9"/>
  <c r="U10" i="9" s="1" a="1"/>
  <c r="U10" i="9" s="1"/>
  <c r="T15" i="9" a="1"/>
  <c r="T15" i="9" s="1"/>
  <c r="J36" i="9"/>
  <c r="T19" i="9" a="1"/>
  <c r="T19" i="9" s="1"/>
  <c r="H34" i="9" a="1"/>
  <c r="H34" i="9" s="1"/>
  <c r="G27" i="9" a="1"/>
  <c r="G27" i="9" s="1"/>
  <c r="G35" i="9" a="1"/>
  <c r="G35" i="9" s="1"/>
  <c r="H40" i="9" a="1"/>
  <c r="H40" i="9" s="1"/>
  <c r="G38" i="9" a="1"/>
  <c r="G38" i="9" s="1"/>
  <c r="N5" i="17"/>
  <c r="N7" i="17" s="1"/>
  <c r="C19" i="10" s="1"/>
  <c r="D348" i="17"/>
  <c r="F348" i="17" s="1"/>
  <c r="C12" i="10"/>
  <c r="J133" i="1" a="1"/>
  <c r="J133" i="1" s="1"/>
  <c r="H12" i="15"/>
  <c r="G70" i="6"/>
  <c r="N14" i="6"/>
  <c r="C4" i="8" s="1"/>
  <c r="E35" i="18"/>
  <c r="C37" i="12"/>
  <c r="J35" i="14"/>
  <c r="C12" i="8" s="1"/>
  <c r="D35" i="18"/>
  <c r="C11" i="8" s="1"/>
  <c r="D35" i="14"/>
  <c r="C10" i="8" s="1"/>
  <c r="I35" i="12"/>
  <c r="G14" i="15"/>
  <c r="H70" i="6"/>
  <c r="I70" i="6"/>
  <c r="L42" i="6" s="1"/>
  <c r="D2" i="2"/>
  <c r="K133" i="1"/>
  <c r="H14" i="15" l="1"/>
  <c r="H80" i="1"/>
  <c r="H41" i="1"/>
  <c r="H59" i="1"/>
  <c r="H40" i="1"/>
  <c r="H100" i="1"/>
  <c r="H28" i="1"/>
  <c r="H25" i="1"/>
  <c r="H102" i="1"/>
  <c r="H101" i="1"/>
  <c r="H104" i="1"/>
  <c r="H35" i="1"/>
  <c r="H65" i="1"/>
  <c r="H67" i="1"/>
  <c r="H31" i="1"/>
  <c r="H96" i="1"/>
  <c r="H91" i="1"/>
  <c r="H17" i="1"/>
  <c r="H16" i="1"/>
  <c r="H94" i="1"/>
  <c r="H90" i="1"/>
  <c r="H58" i="1"/>
  <c r="H57" i="1"/>
  <c r="H109" i="1"/>
  <c r="H117" i="1"/>
  <c r="H81" i="1"/>
  <c r="H77" i="1"/>
  <c r="D14" i="19" a="1"/>
  <c r="D14" i="19" s="1"/>
  <c r="I42" i="9"/>
  <c r="K42" i="9" s="1"/>
  <c r="V15" i="9"/>
  <c r="X15" i="9" s="1"/>
  <c r="C12" i="20" s="1"/>
  <c r="V18" i="9"/>
  <c r="X18" i="9" s="1"/>
  <c r="C15" i="20" s="1"/>
  <c r="I65" i="9"/>
  <c r="K65" i="9" s="1"/>
  <c r="I68" i="9"/>
  <c r="K68" i="9" s="1"/>
  <c r="C14" i="9"/>
  <c r="E18" i="19" a="1"/>
  <c r="E18" i="19" s="1"/>
  <c r="I36" i="9"/>
  <c r="K36" i="9" s="1"/>
  <c r="I28" i="9"/>
  <c r="K28" i="9" s="1"/>
  <c r="I37" i="9"/>
  <c r="K37" i="9" s="1"/>
  <c r="V13" i="9"/>
  <c r="X13" i="9" s="1"/>
  <c r="C10" i="20" s="1"/>
  <c r="V11" i="9"/>
  <c r="X11" i="9" s="1"/>
  <c r="C8" i="20" s="1"/>
  <c r="V19" i="9"/>
  <c r="X19" i="9" s="1"/>
  <c r="C16" i="20" s="1"/>
  <c r="C15" i="9"/>
  <c r="V10" i="9"/>
  <c r="X10" i="9" s="1"/>
  <c r="C7" i="20" s="1"/>
  <c r="I38" i="9"/>
  <c r="K38" i="9" s="1"/>
  <c r="I35" i="9"/>
  <c r="K35" i="9" s="1"/>
  <c r="E10" i="9"/>
  <c r="C10" i="9"/>
  <c r="I71" i="9"/>
  <c r="K71" i="9" s="1"/>
  <c r="I27" i="9"/>
  <c r="K27" i="9" s="1"/>
  <c r="I39" i="9"/>
  <c r="K39" i="9" s="1"/>
  <c r="V16" i="9"/>
  <c r="X16" i="9" s="1"/>
  <c r="C13" i="20" s="1"/>
  <c r="V9" i="9"/>
  <c r="X9" i="9" s="1"/>
  <c r="C6" i="20" s="1"/>
  <c r="C6" i="9"/>
  <c r="E6" i="9"/>
  <c r="I30" i="9"/>
  <c r="K30" i="9" s="1"/>
  <c r="V17" i="9"/>
  <c r="X17" i="9" s="1"/>
  <c r="C14" i="20" s="1"/>
  <c r="I31" i="9"/>
  <c r="K31" i="9" s="1"/>
  <c r="V12" i="9"/>
  <c r="X12" i="9" s="1"/>
  <c r="C9" i="20" s="1"/>
  <c r="V8" i="9"/>
  <c r="X8" i="9" s="1"/>
  <c r="C5" i="20" s="1"/>
  <c r="D12" i="19" a="1"/>
  <c r="D12" i="19" s="1"/>
  <c r="I66" i="9"/>
  <c r="K66" i="9" s="1"/>
  <c r="C9" i="9"/>
  <c r="E9" i="9" a="1"/>
  <c r="E9" i="9" s="1"/>
  <c r="C12" i="9"/>
  <c r="E12" i="9"/>
  <c r="T14" i="9" a="1"/>
  <c r="T14" i="9" s="1"/>
  <c r="V14" i="9" s="1"/>
  <c r="X14" i="9" s="1"/>
  <c r="C11" i="20" s="1"/>
  <c r="I70" i="9"/>
  <c r="K70" i="9" s="1"/>
  <c r="I33" i="9"/>
  <c r="K33" i="9" s="1"/>
  <c r="E7" i="9"/>
  <c r="C7" i="9"/>
  <c r="I32" i="9"/>
  <c r="K32" i="9" s="1"/>
  <c r="E8" i="9"/>
  <c r="C8" i="9"/>
  <c r="G61" i="9"/>
  <c r="T5" i="9" s="1" a="1"/>
  <c r="T5" i="9" s="1"/>
  <c r="E61" i="9"/>
  <c r="R5" i="9" s="1" a="1"/>
  <c r="R5" i="9" s="1"/>
  <c r="D61" i="9"/>
  <c r="Q5" i="9" s="1" a="1"/>
  <c r="Q5" i="9" s="1"/>
  <c r="G26" i="9" a="1"/>
  <c r="G26" i="9" s="1"/>
  <c r="D26" i="9" a="1"/>
  <c r="D26" i="9" s="1"/>
  <c r="J61" i="9"/>
  <c r="W5" i="9" s="1"/>
  <c r="B2" i="20" s="1"/>
  <c r="C14" i="19" a="1"/>
  <c r="C14" i="19" s="1"/>
  <c r="F26" i="9" a="1"/>
  <c r="F26" i="9" s="1"/>
  <c r="F61" i="9"/>
  <c r="S5" i="9" s="1" a="1"/>
  <c r="S5" i="9" s="1"/>
  <c r="H61" i="9"/>
  <c r="U5" i="9" s="1" a="1"/>
  <c r="U5" i="9" s="1"/>
  <c r="H26" i="9" a="1"/>
  <c r="H26" i="9" s="1"/>
  <c r="E26" i="9" a="1"/>
  <c r="E26" i="9" s="1"/>
  <c r="C26" i="9" a="1"/>
  <c r="C26" i="9" s="1"/>
  <c r="C61" i="9"/>
  <c r="P5" i="9" s="1" a="1"/>
  <c r="P5" i="9" s="1"/>
  <c r="B4" i="9"/>
  <c r="C12" i="19" a="1"/>
  <c r="C12" i="19" s="1"/>
  <c r="I34" i="9"/>
  <c r="K34" i="9" s="1"/>
  <c r="I29" i="9"/>
  <c r="K29" i="9" s="1"/>
  <c r="T6" i="9" a="1"/>
  <c r="T6" i="9" s="1"/>
  <c r="V6" i="9" s="1"/>
  <c r="X6" i="9" s="1"/>
  <c r="C3" i="20" s="1"/>
  <c r="I62" i="9"/>
  <c r="K62" i="9" s="1"/>
  <c r="C5" i="9"/>
  <c r="E5" i="9"/>
  <c r="E13" i="9"/>
  <c r="C13" i="9"/>
  <c r="C16" i="9"/>
  <c r="E16" i="9"/>
  <c r="I69" i="9"/>
  <c r="K69" i="9" s="1"/>
  <c r="I64" i="9"/>
  <c r="K64" i="9" s="1"/>
  <c r="C11" i="9"/>
  <c r="E11" i="9"/>
  <c r="I40" i="9"/>
  <c r="K40" i="9" s="1"/>
  <c r="A2" i="21"/>
  <c r="B2" i="21" s="1"/>
  <c r="D8" i="19" a="1"/>
  <c r="D8" i="19" s="1"/>
  <c r="A2" i="20"/>
  <c r="I67" i="9"/>
  <c r="K67" i="9" s="1"/>
  <c r="T7" i="9" a="1"/>
  <c r="T7" i="9" s="1"/>
  <c r="V7" i="9" s="1"/>
  <c r="X7" i="9" s="1"/>
  <c r="C4" i="20" s="1"/>
  <c r="I63" i="9"/>
  <c r="K63" i="9" s="1"/>
  <c r="D10" i="19" a="1"/>
  <c r="D10" i="19" s="1"/>
  <c r="K5" i="17"/>
  <c r="K6" i="17" s="1"/>
  <c r="C9" i="8"/>
  <c r="C14" i="8" s="1"/>
  <c r="C4" i="10" s="1"/>
  <c r="C15" i="10" s="1"/>
  <c r="C17" i="10" s="1"/>
  <c r="P7" i="17"/>
  <c r="F35" i="18"/>
  <c r="E14" i="19" l="1"/>
  <c r="E20" i="19" a="1"/>
  <c r="E20" i="19" s="1"/>
  <c r="I61" i="9"/>
  <c r="K61" i="9" s="1"/>
  <c r="V5" i="9"/>
  <c r="X5" i="9" s="1"/>
  <c r="C2" i="20" s="1"/>
  <c r="E12" i="19"/>
  <c r="E4" i="9"/>
  <c r="C4" i="9"/>
  <c r="C20" i="9"/>
  <c r="I26" i="9"/>
  <c r="K26" i="9" s="1"/>
  <c r="E16" i="19" l="1"/>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<sst xmlns="http://schemas.openxmlformats.org/spreadsheetml/2006/main" count="1863" uniqueCount="398">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</sst>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164" fontId="0" fillId="0" borderId="0" xfId="1" applyNumberFormat="1" applyFont="1" applyAlignment="1">
      <alignment horizontal="right"/>
    </xf>
    <xf numFmtId="0" fontId="0" fillId="0" borderId="0" xfId="0" applyNumberFormat="1"/>
  </cellXfs>
  <cellStyles count="2">
    <cellStyle name="Comma" xfId="1" builtinId="3"/>
    <cellStyle name="Normal" xfId="0" builtinId="0"/>
  </cellStyles>
  <dxfs count="161">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949275</xdr:colOff>
      <xdr:row>110</xdr:row>
      <xdr:rowOff>2672</xdr:rowOff>
    </xdr:from>
    <xdr:to>
      <xdr:col>16</xdr:col>
      <xdr:colOff>4678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134</xdr:row>
      <xdr:rowOff>31360</xdr:rowOff>
    </xdr:from>
    <xdr:to>
      <xdr:col>2</xdr:col>
      <xdr:colOff>3537</xdr:colOff>
      <xdr:row>142</xdr:row>
      <xdr:rowOff>89760</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368320" y="24342789"/>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24</xdr:row>
      <xdr:rowOff>82103</xdr:rowOff>
    </xdr:from>
    <xdr:to>
      <xdr:col>13</xdr:col>
      <xdr:colOff>282884</xdr:colOff>
      <xdr:row>51</xdr:row>
      <xdr:rowOff>12492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261574" createdVersion="8" refreshedVersion="8" minRefreshableVersion="3" recordCount="346" xr:uid="{B5BDFB73-D93A-4A7A-8149-666BC190B09B}">
  <cacheSource type="worksheet">
    <worksheetSource name="Table14"/>
  </cacheSource>
  <cacheFields count="7">
    <cacheField name="Date" numFmtId="14">
      <sharedItems containsSemiMixedTypes="0" containsNonDate="0" containsDate="1" containsString="0" minDate="2025-09-16T00:00:00" maxDate="2025-10-11T00:00:00"/>
    </cacheField>
    <cacheField name="Party" numFmtId="0">
      <sharedItems containsBlank="1" count="45">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19444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310187"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541664" createdVersion="8" refreshedVersion="8" minRefreshableVersion="3" recordCount="68" xr:uid="{3E5C2981-ACF5-44A9-8567-B1D65DB3A8D2}">
  <cacheSource type="worksheet">
    <worksheetSource name="Table3"/>
  </cacheSource>
  <cacheFields count="9">
    <cacheField name="Date" numFmtId="14">
      <sharedItems containsNonDate="0" containsDate="1" containsString="0" containsBlank="1" minDate="2025-05-02T00:00:00" maxDate="2025-10-09T00:00:00" count="75">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6">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3888887" createdVersion="8" refreshedVersion="8" minRefreshableVersion="3" recordCount="131"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9" count="33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74">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0.241765046296" createdVersion="8" refreshedVersion="8" minRefreshableVersion="3" recordCount="8" xr:uid="{376A650C-1F79-4049-BC45-E34989F046B2}">
  <cacheSource type="worksheet">
    <worksheetSource name="Table2"/>
  </cacheSource>
  <cacheFields count="8">
    <cacheField name="Date" numFmtId="14">
      <sharedItems containsSemiMixedTypes="0" containsNonDate="0" containsDate="1" containsString="0" minDate="2025-09-16T00:00:00" maxDate="2025-10-09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59466.898317483545"/>
    <n v="10"/>
    <n v="624464.15508412581"/>
  </r>
  <r>
    <x v="2"/>
    <n v="66163.13094367228"/>
    <n v="10"/>
    <n v="691219.82443306514"/>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1.5996416590904943"/>
    <n v="25002.74323335772"/>
    <n v="250027.43233357719"/>
    <m/>
  </r>
  <r>
    <x v="17"/>
    <x v="0"/>
    <x v="101"/>
    <s v="Chamki"/>
    <x v="57"/>
    <n v="71295"/>
    <n v="18406"/>
    <n v="1.5996416590904943"/>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1694611298550512"/>
    <n v="23436.356986100953"/>
    <n v="234363.56986100954"/>
    <m/>
  </r>
  <r>
    <x v="17"/>
    <x v="0"/>
    <x v="106"/>
    <s v="Chamki"/>
    <x v="50"/>
    <n v="21113"/>
    <n v="7058"/>
    <n v="1.6032481504494172"/>
    <n v="6453.9136795903441"/>
    <n v="64539.13679590344"/>
    <m/>
  </r>
  <r>
    <x v="17"/>
    <x v="0"/>
    <x v="107"/>
    <s v="Chamki"/>
    <x v="57"/>
    <n v="71295"/>
    <n v="22380"/>
    <n v="1.5996416590904943"/>
    <n v="20464.52084857352"/>
    <n v="204645.2084857352"/>
    <m/>
  </r>
  <r>
    <x v="18"/>
    <x v="0"/>
    <x v="108"/>
    <s v="Chamki"/>
    <x v="57"/>
    <n v="71295"/>
    <n v="8592"/>
    <n v="1.5996416590904943"/>
    <n v="7856.6203365032925"/>
    <n v="78566.203365032925"/>
    <m/>
  </r>
  <r>
    <x v="18"/>
    <x v="0"/>
    <x v="109"/>
    <s v="Chamki"/>
    <x v="60"/>
    <n v="32501"/>
    <n v="9142"/>
    <n v="2.1694611298550512"/>
    <n v="8359.5464520848582"/>
    <n v="83595.464520848589"/>
    <m/>
  </r>
  <r>
    <x v="18"/>
    <x v="11"/>
    <x v="110"/>
    <s v="Chamki"/>
    <x v="61"/>
    <n v="26073"/>
    <n v="26118"/>
    <n v="1.4429437622817431"/>
    <n v="23882.589612289688"/>
    <n v="238825.89612289687"/>
    <m/>
  </r>
  <r>
    <x v="18"/>
    <x v="11"/>
    <x v="111"/>
    <s v="Chamki"/>
    <x v="61"/>
    <n v="26073"/>
    <n v="1984"/>
    <n v="1.4429437622817431"/>
    <n v="1814.1916605705926"/>
    <n v="18141.916605705926"/>
    <m/>
  </r>
  <r>
    <x v="19"/>
    <x v="11"/>
    <x v="112"/>
    <s v="Chamki"/>
    <x v="62"/>
    <n v="45390"/>
    <n v="42155"/>
    <n v="2.6018189428109935"/>
    <n v="38547.000731528897"/>
    <n v="385470.007315289"/>
    <m/>
  </r>
  <r>
    <x v="19"/>
    <x v="11"/>
    <x v="113"/>
    <s v="Chamki"/>
    <x v="62"/>
    <n v="45390"/>
    <n v="6192"/>
    <n v="2.6018189428109935"/>
    <n v="5662.0336503291883"/>
    <n v="56620.336503291881"/>
    <m/>
  </r>
  <r>
    <x v="19"/>
    <x v="11"/>
    <x v="114"/>
    <s v="Chamki"/>
    <x v="63"/>
    <n v="9022"/>
    <n v="9808"/>
    <n v="0.59250435049688122"/>
    <n v="8968.5442574981716"/>
    <n v="89685.442574981716"/>
    <m/>
  </r>
  <r>
    <x v="19"/>
    <x v="11"/>
    <x v="115"/>
    <s v="Chamki"/>
    <x v="64"/>
    <n v="10006"/>
    <n v="10656"/>
    <n v="2.6187798659502022"/>
    <n v="9743.9648866130228"/>
    <n v="97439.648866130228"/>
    <m/>
  </r>
  <r>
    <x v="19"/>
    <x v="11"/>
    <x v="116"/>
    <s v="Chamki"/>
    <x v="65"/>
    <n v="17211"/>
    <n v="18522"/>
    <n v="1.5936159982066869"/>
    <n v="16936.722750548648"/>
    <n v="169367.22750548649"/>
    <m/>
  </r>
  <r>
    <x v="19"/>
    <x v="1"/>
    <x v="117"/>
    <s v="Chamki"/>
    <x v="66"/>
    <n v="17080"/>
    <n v="18250"/>
    <n v="2.2950648353888567"/>
    <n v="16688.002926115583"/>
    <n v="166880.02926115584"/>
    <m/>
  </r>
  <r>
    <x v="19"/>
    <x v="2"/>
    <x v="118"/>
    <s v="Chamki"/>
    <x v="67"/>
    <n v="50885"/>
    <n v="24172"/>
    <n v="56.562551686645996"/>
    <n v="22103.145574250186"/>
    <n v="221031.4557425018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d v="2025-10-08T00:00:00"/>
    <x v="0"/>
    <s v="Starch"/>
    <n v="2"/>
    <m/>
    <n v="0"/>
    <n v="8800"/>
    <n v="-8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60">
      <pivotArea field="0" grandRow="1" outline="0" collapsedLevelsAreSubtotals="1" axis="axisRow" fieldPosition="0">
        <references count="1">
          <reference field="4294967294" count="1" selected="0">
            <x v="1"/>
          </reference>
        </references>
      </pivotArea>
    </format>
    <format dxfId="159">
      <pivotArea field="0" grandRow="1" outline="0" collapsedLevelsAreSubtotals="1" axis="axisRow" fieldPosition="0">
        <references count="1">
          <reference field="4294967294" count="1" selected="0">
            <x v="0"/>
          </reference>
        </references>
      </pivotArea>
    </format>
    <format dxfId="158">
      <pivotArea collapsedLevelsAreSubtotals="1" fieldPosition="0">
        <references count="2">
          <reference field="4294967294" count="1" selected="0">
            <x v="1"/>
          </reference>
          <reference field="0" count="0"/>
        </references>
      </pivotArea>
    </format>
    <format dxfId="157">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1:G261"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227"/>
        <item m="1" x="228"/>
        <item m="1" x="229"/>
        <item m="1" x="230"/>
        <item m="1" x="231"/>
        <item m="1" x="232"/>
        <item m="1" x="233"/>
        <item m="1" x="234"/>
        <item m="1" x="235"/>
        <item m="1" x="236"/>
        <item m="1" x="237"/>
        <item m="1" x="238"/>
        <item m="1" x="239"/>
        <item m="1" x="240"/>
        <item m="1" x="241"/>
        <item m="1" x="242"/>
        <item m="1" x="243"/>
        <item m="1" x="244"/>
        <item m="1" x="273"/>
        <item m="1" x="245"/>
        <item m="1" x="246"/>
        <item m="1" x="247"/>
        <item m="1" x="248"/>
        <item m="1" x="249"/>
        <item m="1" x="250"/>
        <item m="1" x="262"/>
        <item m="1" x="251"/>
        <item m="1" x="252"/>
        <item m="1" x="253"/>
        <item m="1" x="254"/>
        <item m="1" x="255"/>
        <item m="1" x="256"/>
        <item m="1" x="257"/>
        <item m="1" x="258"/>
        <item m="1" x="259"/>
        <item m="1" x="260"/>
        <item m="1" x="261"/>
        <item m="1" x="263"/>
        <item m="1" x="264"/>
        <item m="1" x="265"/>
        <item m="1" x="266"/>
        <item m="1" x="267"/>
        <item m="1" x="268"/>
        <item m="1" x="269"/>
        <item m="1" x="270"/>
        <item m="1" x="271"/>
        <item m="1" x="272"/>
        <item m="1" x="274"/>
        <item m="1" x="275"/>
        <item m="1" x="276"/>
        <item m="1" x="277"/>
        <item m="1" x="278"/>
        <item m="1" x="279"/>
        <item m="1" x="280"/>
        <item m="1" x="281"/>
        <item m="1" x="282"/>
        <item m="1" x="283"/>
        <item m="1" x="284"/>
        <item m="1" x="285"/>
        <item m="1" x="286"/>
        <item m="1" x="287"/>
        <item m="1" x="28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20"/>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7"/>
        <item m="1" x="218"/>
        <item m="1" x="219"/>
        <item m="1" x="216"/>
        <item m="1" x="220"/>
        <item m="1" x="221"/>
        <item m="1" x="222"/>
        <item m="1" x="223"/>
        <item m="1" x="224"/>
        <item m="1" x="225"/>
        <item m="1" x="2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75">
        <item m="1" x="128"/>
        <item m="1" x="157"/>
        <item m="1" x="158"/>
        <item m="1" x="166"/>
        <item m="1" x="156"/>
        <item m="1" x="155"/>
        <item m="1" x="159"/>
        <item m="1" x="170"/>
        <item m="1" x="162"/>
        <item m="1" x="163"/>
        <item m="1" x="160"/>
        <item m="1" x="161"/>
        <item m="1" x="171"/>
        <item m="1" x="164"/>
        <item m="1" x="165"/>
        <item m="1" x="168"/>
        <item m="1" x="169"/>
        <item m="1" x="167"/>
        <item m="1" x="123"/>
        <item m="1" x="173"/>
        <item m="1" x="122"/>
        <item m="1" x="172"/>
        <item m="1" x="125"/>
        <item m="1" x="124"/>
        <item m="1" x="126"/>
        <item m="1" x="132"/>
        <item m="1" x="127"/>
        <item m="1" x="129"/>
        <item m="1" x="133"/>
        <item m="1" x="134"/>
        <item m="1" x="153"/>
        <item m="1" x="130"/>
        <item m="1" x="131"/>
        <item m="1" x="93"/>
        <item m="1" x="115"/>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1:K162"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20"/>
        <item x="15"/>
        <item x="16"/>
        <item m="1" x="21"/>
        <item x="17"/>
        <item x="18"/>
        <item x="19"/>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18"/>
    </i>
    <i>
      <x v="41"/>
    </i>
    <i>
      <x v="42"/>
    </i>
    <i>
      <x v="43"/>
    </i>
    <i>
      <x v="44"/>
    </i>
    <i>
      <x v="45"/>
    </i>
    <i>
      <x v="46"/>
    </i>
    <i>
      <x v="47"/>
    </i>
    <i>
      <x v="48"/>
    </i>
    <i>
      <x v="49"/>
    </i>
    <i>
      <x v="50"/>
    </i>
    <i>
      <x v="51"/>
    </i>
    <i>
      <x v="52"/>
    </i>
    <i>
      <x v="53"/>
    </i>
    <i>
      <x v="54"/>
    </i>
    <i>
      <x v="56"/>
    </i>
    <i>
      <x v="57"/>
    </i>
    <i>
      <x v="59"/>
    </i>
    <i>
      <x v="60"/>
    </i>
    <i>
      <x v="6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64" firstHeaderRow="0" firstDataRow="1" firstDataCol="1" rowPageCount="1" colPageCount="1"/>
  <pivotFields count="9">
    <pivotField axis="axisRow" numFmtId="14" showAll="0">
      <items count="76">
        <item m="1" x="59"/>
        <item m="1" x="60"/>
        <item m="1" x="61"/>
        <item m="1" x="62"/>
        <item m="1" x="63"/>
        <item m="1" x="64"/>
        <item m="1" x="65"/>
        <item m="1" x="74"/>
        <item m="1" x="55"/>
        <item m="1" x="66"/>
        <item m="1" x="67"/>
        <item m="1" x="68"/>
        <item m="1" x="69"/>
        <item m="1" x="70"/>
        <item m="1" x="71"/>
        <item m="1" x="72"/>
        <item m="1" x="26"/>
        <item m="1" x="27"/>
        <item m="1" x="73"/>
        <item m="1" x="28"/>
        <item m="1" x="25"/>
        <item m="1" x="29"/>
        <item m="1" x="31"/>
        <item m="1" x="32"/>
        <item m="1" x="33"/>
        <item m="1" x="35"/>
        <item m="1" x="36"/>
        <item m="1" x="37"/>
        <item m="1" x="30"/>
        <item m="1" x="34"/>
        <item m="1" x="38"/>
        <item m="1" x="39"/>
        <item m="1" x="40"/>
        <item m="1" x="41"/>
        <item m="1" x="24"/>
        <item m="1" x="42"/>
        <item m="1" x="56"/>
        <item m="1" x="57"/>
        <item m="1" x="58"/>
        <item m="1" x="43"/>
        <item m="1" x="44"/>
        <item m="1" x="45"/>
        <item m="1" x="46"/>
        <item m="1" x="47"/>
        <item m="1" x="48"/>
        <item m="1" x="49"/>
        <item m="1" x="50"/>
        <item m="1" x="51"/>
        <item m="1" x="52"/>
        <item m="1" x="53"/>
        <item m="1" x="54"/>
        <item x="0"/>
        <item x="1"/>
        <item x="2"/>
        <item x="3"/>
        <item x="4"/>
        <item x="5"/>
        <item x="6"/>
        <item x="7"/>
        <item x="9"/>
        <item x="10"/>
        <item x="11"/>
        <item x="8"/>
        <item x="12"/>
        <item x="13"/>
        <item x="14"/>
        <item x="15"/>
        <item x="16"/>
        <item x="17"/>
        <item x="18"/>
        <item x="19"/>
        <item x="20"/>
        <item x="21"/>
        <item x="23"/>
        <item x="22"/>
        <item t="default"/>
      </items>
    </pivotField>
    <pivotField axis="axisPage" showAll="0">
      <items count="9">
        <item x="1"/>
        <item x="0"/>
        <item x="6"/>
        <item m="1" x="7"/>
        <item x="2"/>
        <item x="3"/>
        <item x="4"/>
        <item x="5"/>
        <item t="default"/>
      </items>
    </pivotField>
    <pivotField axis="axisRow" showAll="0">
      <items count="87">
        <item m="1" x="76"/>
        <item m="1" x="60"/>
        <item m="1" x="72"/>
        <item m="1" x="42"/>
        <item m="1" x="77"/>
        <item m="1" x="78"/>
        <item m="1" x="73"/>
        <item m="1" x="74"/>
        <item m="1" x="75"/>
        <item x="3"/>
        <item m="1" x="53"/>
        <item m="1" x="79"/>
        <item m="1" x="80"/>
        <item m="1" x="81"/>
        <item m="1" x="82"/>
        <item m="1" x="83"/>
        <item m="1" x="84"/>
        <item m="1" x="49"/>
        <item m="1" x="50"/>
        <item m="1" x="85"/>
        <item m="1" x="51"/>
        <item x="0"/>
        <item m="1" x="52"/>
        <item m="1" x="54"/>
        <item m="1" x="55"/>
        <item m="1" x="56"/>
        <item m="1" x="57"/>
        <item m="1" x="58"/>
        <item m="1" x="59"/>
        <item m="1" x="61"/>
        <item m="1" x="62"/>
        <item m="1" x="44"/>
        <item m="1" x="63"/>
        <item m="1" x="64"/>
        <item m="1" x="65"/>
        <item m="1" x="48"/>
        <item m="1" x="66"/>
        <item m="1" x="67"/>
        <item m="1" x="46"/>
        <item m="1" x="68"/>
        <item m="1" x="69"/>
        <item m="1" x="70"/>
        <item m="1" x="71"/>
        <item m="1" x="34"/>
        <item m="1" x="35"/>
        <item m="1" x="36"/>
        <item m="1" x="37"/>
        <item m="1" x="38"/>
        <item m="1" x="39"/>
        <item m="1" x="40"/>
        <item m="1" x="41"/>
        <item m="1" x="43"/>
        <item m="1" x="45"/>
        <item m="1" x="47"/>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x v="74"/>
    </i>
    <i r="1">
      <x v="9"/>
    </i>
    <i r="1">
      <x v="83"/>
    </i>
    <i r="1">
      <x v="84"/>
    </i>
    <i r="1">
      <x v="8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2">
      <pivotArea dataOnly="0" labelOnly="1" outline="0" fieldPosition="0">
        <references count="1">
          <reference field="1" count="1">
            <x v="1"/>
          </reference>
        </references>
      </pivotArea>
    </format>
    <format dxfId="12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46">
        <item x="7"/>
        <item x="4"/>
        <item x="8"/>
        <item x="26"/>
        <item m="1" x="34"/>
        <item x="18"/>
        <item x="2"/>
        <item x="5"/>
        <item x="11"/>
        <item x="17"/>
        <item x="12"/>
        <item m="1" x="43"/>
        <item x="24"/>
        <item x="9"/>
        <item m="1" x="36"/>
        <item m="1" x="41"/>
        <item x="10"/>
        <item x="19"/>
        <item x="6"/>
        <item x="1"/>
        <item m="1" x="32"/>
        <item x="20"/>
        <item m="1" x="44"/>
        <item x="16"/>
        <item x="3"/>
        <item m="1" x="42"/>
        <item m="1" x="33"/>
        <item x="25"/>
        <item m="1" x="35"/>
        <item m="1" x="37"/>
        <item m="1" x="38"/>
        <item m="1" x="39"/>
        <item x="23"/>
        <item m="1" x="40"/>
        <item x="27"/>
        <item x="14"/>
        <item x="13"/>
        <item x="15"/>
        <item x="0"/>
        <item x="21"/>
        <item x="22"/>
        <item x="28"/>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5"/>
    </i>
    <i>
      <x v="6"/>
    </i>
    <i>
      <x v="7"/>
    </i>
    <i>
      <x v="8"/>
    </i>
    <i>
      <x v="9"/>
    </i>
    <i>
      <x v="10"/>
    </i>
    <i>
      <x v="12"/>
    </i>
    <i>
      <x v="13"/>
    </i>
    <i>
      <x v="16"/>
    </i>
    <i>
      <x v="17"/>
    </i>
    <i>
      <x v="18"/>
    </i>
    <i>
      <x v="19"/>
    </i>
    <i>
      <x v="21"/>
    </i>
    <i>
      <x v="23"/>
    </i>
    <i>
      <x v="24"/>
    </i>
    <i>
      <x v="27"/>
    </i>
    <i>
      <x v="32"/>
    </i>
    <i>
      <x v="34"/>
    </i>
    <i>
      <x v="35"/>
    </i>
    <i>
      <x v="36"/>
    </i>
    <i>
      <x v="37"/>
    </i>
    <i>
      <x v="38"/>
    </i>
    <i>
      <x v="39"/>
    </i>
    <i>
      <x v="40"/>
    </i>
    <i>
      <x v="41"/>
    </i>
    <i>
      <x v="42"/>
    </i>
    <i>
      <x v="43"/>
    </i>
    <i>
      <x v="44"/>
    </i>
    <i t="grand">
      <x/>
    </i>
  </rowItems>
  <colFields count="1">
    <field x="-2"/>
  </colFields>
  <colItems count="2">
    <i>
      <x/>
    </i>
    <i i="1">
      <x v="1"/>
    </i>
  </colItems>
  <dataFields count="2">
    <dataField name="Sum of Credit" fld="3" baseField="0" baseItem="0"/>
    <dataField name="Sum of Debit" fld="2" baseField="0" baseItem="0"/>
  </dataFields>
  <formats count="1">
    <format dxfId="10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72"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75">
        <item m="1" x="157"/>
        <item m="1" x="158"/>
        <item m="1" x="156"/>
        <item m="1" x="155"/>
        <item m="1" x="159"/>
        <item m="1" x="161"/>
        <item m="1" x="160"/>
        <item m="1" x="162"/>
        <item m="1" x="163"/>
        <item m="1" x="164"/>
        <item m="1" x="165"/>
        <item m="1" x="166"/>
        <item m="1" x="167"/>
        <item m="1" x="168"/>
        <item m="1" x="93"/>
        <item m="1" x="115"/>
        <item m="1" x="169"/>
        <item m="1" x="170"/>
        <item m="1" x="171"/>
        <item m="1" x="123"/>
        <item m="1" x="122"/>
        <item m="1" x="172"/>
        <item m="1" x="173"/>
        <item m="1" x="132"/>
        <item m="1" x="124"/>
        <item m="1" x="125"/>
        <item m="1" x="126"/>
        <item m="1" x="127"/>
        <item m="1" x="128"/>
        <item m="1" x="129"/>
        <item m="1" x="130"/>
        <item m="1" x="131"/>
        <item m="1" x="133"/>
        <item m="1" x="153"/>
        <item m="1" x="134"/>
        <item m="1" x="154"/>
        <item m="1" x="135"/>
        <item m="1" x="136"/>
        <item m="1" x="137"/>
        <item m="1" x="138"/>
        <item m="1" x="139"/>
        <item m="1" x="69"/>
        <item m="1" x="140"/>
        <item m="1" x="141"/>
        <item m="1" x="142"/>
        <item m="1" x="143"/>
        <item m="1" x="144"/>
        <item m="1" x="145"/>
        <item m="1" x="146"/>
        <item m="1" x="147"/>
        <item m="1" x="148"/>
        <item m="1" x="149"/>
        <item m="1" x="150"/>
        <item m="1" x="151"/>
        <item m="1" x="152"/>
        <item x="0"/>
        <item m="1" x="68"/>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9">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62">
      <pivotArea type="all" dataOnly="0" outline="0" fieldPosition="0"/>
    </format>
    <format dxfId="61">
      <pivotArea outline="0" collapsedLevelsAreSubtotals="1" fieldPosition="0"/>
    </format>
    <format dxfId="60">
      <pivotArea field="4" type="button" dataOnly="0" labelOnly="1" outline="0" axis="axisRow" fieldPosition="0"/>
    </format>
    <format dxfId="59">
      <pivotArea dataOnly="0" labelOnly="1" fieldPosition="0">
        <references count="1">
          <reference field="4" count="0"/>
        </references>
      </pivotArea>
    </format>
    <format dxfId="58">
      <pivotArea dataOnly="0" labelOnly="1" grandRow="1" outline="0" fieldPosition="0"/>
    </format>
    <format dxfId="57">
      <pivotArea dataOnly="0" labelOnly="1" outline="0" fieldPosition="0">
        <references count="1">
          <reference field="4294967294" count="2">
            <x v="0"/>
            <x v="1"/>
          </reference>
        </references>
      </pivotArea>
    </format>
    <format dxfId="56">
      <pivotArea grandRow="1" outline="0" collapsedLevelsAreSubtotals="1" fieldPosition="0"/>
    </format>
    <format dxfId="55">
      <pivotArea field="4" type="button" dataOnly="0" labelOnly="1" outline="0" axis="axisRow" fieldPosition="0"/>
    </format>
    <format dxfId="5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74">
        <i x="58" s="1"/>
        <i x="10" s="1"/>
        <i x="12" s="1"/>
        <i x="6" s="1"/>
        <i x="59" s="1"/>
        <i x="9" s="1"/>
        <i x="8" s="1"/>
        <i x="28" s="1"/>
        <i x="33" s="1"/>
        <i x="54" s="1"/>
        <i x="1" s="1"/>
        <i x="14" s="1"/>
        <i x="55" s="1"/>
        <i x="53" s="1"/>
        <i x="5" s="1"/>
        <i x="11" s="1"/>
        <i x="2" s="1"/>
        <i x="43" s="1"/>
        <i x="48" s="1"/>
        <i x="3" s="1"/>
        <i x="4" s="1"/>
        <i x="15" s="1"/>
        <i x="20" s="1"/>
        <i x="29" s="1"/>
        <i x="17" s="1"/>
        <i x="24" s="1"/>
        <i x="21" s="1"/>
        <i x="16" s="1"/>
        <i x="46" s="1"/>
        <i x="62" s="1"/>
        <i x="25" s="1"/>
        <i x="51" s="1"/>
        <i x="64" s="1"/>
        <i x="35" s="1"/>
        <i x="34" s="1"/>
        <i x="30" s="1"/>
        <i x="26" s="1"/>
        <i x="27" s="1"/>
        <i x="47" s="1"/>
        <i x="36" s="1"/>
        <i x="37" s="1"/>
        <i x="32" s="1"/>
        <i x="39" s="1"/>
        <i x="40" s="1"/>
        <i x="38" s="1"/>
        <i x="56" s="1"/>
        <i x="44" s="1"/>
        <i x="41" s="1"/>
        <i x="45" s="1"/>
        <i x="42" s="1"/>
        <i x="49" s="1"/>
        <i x="63" s="1"/>
        <i x="50" s="1"/>
        <i x="61" s="1"/>
        <i x="52" s="1"/>
        <i x="60" s="1"/>
        <i x="67" s="1"/>
        <i x="65" s="1"/>
        <i x="57" s="1"/>
        <i x="13" s="1"/>
        <i x="19" s="1"/>
        <i x="18" s="1"/>
        <i x="23" s="1"/>
        <i x="31" s="1"/>
        <i x="22" s="1"/>
        <i x="66" s="1"/>
        <i x="128" s="1" nd="1"/>
        <i x="157" s="1" nd="1"/>
        <i x="158" s="1" nd="1"/>
        <i x="166" s="1" nd="1"/>
        <i x="156" s="1" nd="1"/>
        <i x="155" s="1" nd="1"/>
        <i x="159" s="1" nd="1"/>
        <i x="170" s="1" nd="1"/>
        <i x="162" s="1" nd="1"/>
        <i x="163" s="1" nd="1"/>
        <i x="160" s="1" nd="1"/>
        <i x="161" s="1" nd="1"/>
        <i x="171" s="1" nd="1"/>
        <i x="164" s="1" nd="1"/>
        <i x="165" s="1" nd="1"/>
        <i x="168" s="1" nd="1"/>
        <i x="169" s="1" nd="1"/>
        <i x="167" s="1" nd="1"/>
        <i x="123" s="1" nd="1"/>
        <i x="173" s="1" nd="1"/>
        <i x="122" s="1" nd="1"/>
        <i x="172" s="1" nd="1"/>
        <i x="125" s="1" nd="1"/>
        <i x="86" s="1" nd="1"/>
        <i x="124" s="1" nd="1"/>
        <i x="126" s="1" nd="1"/>
        <i x="132" s="1" nd="1"/>
        <i x="127" s="1" nd="1"/>
        <i x="129" s="1" nd="1"/>
        <i x="145" s="1" nd="1"/>
        <i x="68" s="1" nd="1"/>
        <i x="133" s="1" nd="1"/>
        <i x="73" s="1" nd="1"/>
        <i x="139" s="1" nd="1"/>
        <i x="134" s="1" nd="1"/>
        <i x="137" s="1" nd="1"/>
        <i x="142" s="1" nd="1"/>
        <i x="153" s="1" nd="1"/>
        <i x="135" s="1" nd="1"/>
        <i x="147" s="1" nd="1"/>
        <i x="150" s="1" nd="1"/>
        <i x="141" s="1" nd="1"/>
        <i x="130" s="1" nd="1"/>
        <i x="138" s="1" nd="1"/>
        <i x="131" s="1" nd="1"/>
        <i x="136" s="1" nd="1"/>
        <i x="69" s="1" nd="1"/>
        <i x="140" s="1" nd="1"/>
        <i x="146" s="1" nd="1"/>
        <i x="83" s="1" nd="1"/>
        <i x="143" s="1" nd="1"/>
        <i x="148" s="1" nd="1"/>
        <i x="144" s="1" nd="1"/>
        <i x="110" s="1" nd="1"/>
        <i x="149" s="1" nd="1"/>
        <i x="151" s="1" nd="1"/>
        <i x="71" s="1" nd="1"/>
        <i x="78" s="1" nd="1"/>
        <i x="152" s="1" nd="1"/>
        <i x="75" s="1" nd="1"/>
        <i x="76" s="1" nd="1"/>
        <i x="70" s="1" nd="1"/>
        <i x="74" s="1" nd="1"/>
        <i x="72" s="1" nd="1"/>
        <i x="81" s="1" nd="1"/>
        <i x="77" s="1" nd="1"/>
        <i x="79" s="1" nd="1"/>
        <i x="82" s="1" nd="1"/>
        <i x="90" s="1" nd="1"/>
        <i x="80" s="1" nd="1"/>
        <i x="89" s="1" nd="1"/>
        <i x="94" s="1" nd="1"/>
        <i x="88" s="1" nd="1"/>
        <i x="91" s="1" nd="1"/>
        <i x="101" s="1" nd="1"/>
        <i x="87" s="1" nd="1"/>
        <i x="84" s="1" nd="1"/>
        <i x="85" s="1" nd="1"/>
        <i x="100" s="1" nd="1"/>
        <i x="93" s="1" nd="1"/>
        <i x="104" s="1" nd="1"/>
        <i x="99" s="1" nd="1"/>
        <i x="92" s="1" nd="1"/>
        <i x="116" s="1" nd="1"/>
        <i x="97" s="1" nd="1"/>
        <i x="107" s="1" nd="1"/>
        <i x="105" s="1" nd="1"/>
        <i x="95" s="1" nd="1"/>
        <i x="103" s="1" nd="1"/>
        <i x="102" s="1" nd="1"/>
        <i x="98" s="1" nd="1"/>
        <i x="108" s="1" nd="1"/>
        <i x="106" s="1" nd="1"/>
        <i x="109" s="1" nd="1"/>
        <i x="96" s="1" nd="1"/>
        <i x="111" s="1" nd="1"/>
        <i x="112" s="1" nd="1"/>
        <i x="119" s="1" nd="1"/>
        <i x="113" s="1" nd="1"/>
        <i x="114" s="1" nd="1"/>
        <i x="121" s="1" nd="1"/>
        <i x="120" s="1" nd="1"/>
        <i x="115" s="1" nd="1"/>
        <i x="118" s="1" nd="1"/>
        <i x="117" s="1" nd="1"/>
        <i x="7" s="1" nd="1"/>
        <i x="154"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56">
      <calculatedColumnFormula>B26</calculatedColumnFormula>
    </tableColumn>
    <tableColumn id="2" xr3:uid="{7EDCC2ED-0339-42B3-9633-FFEA7A3DD9F3}" name="Tiyaar" dataDxfId="155">
      <calculatedColumnFormula>SUMIFS(ledger!G:G, ledger!B:B, B4, ledger!E:E, "&lt;&gt;*RD*") / 1.0936</calculatedColumnFormula>
    </tableColumn>
    <tableColumn id="3" xr3:uid="{CC1535DD-3FE7-4F55-8040-E7643388A78E}" name="Rate"/>
    <tableColumn id="4" xr3:uid="{059CB70B-ADAD-4985-84AA-0D530BAC5567}" name="Total" dataDxfId="154">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3" dataDxfId="152">
  <autoFilter ref="B7:E20" xr:uid="{449E5D32-DF9C-4018-96AB-CA98E118D910}"/>
  <tableColumns count="4">
    <tableColumn id="1" xr3:uid="{F663704C-91DD-4BB9-B7EB-EEB0C5EDED6C}" name="Description" dataDxfId="151"/>
    <tableColumn id="2" xr3:uid="{6D94D495-CD0B-4FD3-9771-81D731982A97}" name="Rate" dataDxfId="150" dataCellStyle="Comma"/>
    <tableColumn id="3" xr3:uid="{2D14CEAD-3602-40E7-A488-3584EBC9141E}" name="gazana" dataDxfId="149" dataCellStyle="Comma"/>
    <tableColumn id="4" xr3:uid="{06FEE63C-6480-4079-8426-51BC26B38B34}" name="sum" dataDxfId="148"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7" totalsRowDxfId="14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5" dataDxfId="144" headerRowCellStyle="Comma" dataCellStyle="Comma">
  <autoFilter ref="B2:C5" xr:uid="{136E8F7F-D03F-4198-8335-91A003EA9E45}"/>
  <tableColumns count="2">
    <tableColumn id="1" xr3:uid="{279FA697-9952-479A-AC05-0D4992B41374}" name="Column1" dataDxfId="143" dataCellStyle="Comma"/>
    <tableColumn id="2" xr3:uid="{8A64998B-65EF-41CD-BCB0-3DDB7B359C54}" name="Column2" dataDxfId="14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1"/>
    <tableColumn id="2" xr3:uid="{51D27FA2-8DDF-4369-BAF7-7D1FE90E16A0}" name="Column2" dataDxfId="1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9" totalsRowDxfId="138"/>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7">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135" dataDxfId="134" headerRowCellStyle="Comma" dataCellStyle="Comma">
  <autoFilter ref="A1:K132" xr:uid="{11DACEC6-751B-4B1D-817F-5C5BCD38EF6D}"/>
  <tableColumns count="11">
    <tableColumn id="1" xr3:uid="{2FCE3FA8-A48C-4685-8919-AE44C6C71FD9}" name="Date" dataDxfId="133" dataCellStyle="Comma"/>
    <tableColumn id="2" xr3:uid="{5780FD5F-0890-44E6-B59C-8E37A559FE36}" name="Party Name" dataDxfId="132" dataCellStyle="Comma"/>
    <tableColumn id="3" xr3:uid="{5B3ECD85-9174-40AC-BFBD-49CAC97A83D3}" name="Bill Number" dataDxfId="131" dataCellStyle="Comma"/>
    <tableColumn id="4" xr3:uid="{11B50761-04B6-4262-AD4D-7182450037D1}" name="Quality" dataDxfId="130" dataCellStyle="Comma"/>
    <tableColumn id="5" xr3:uid="{2C556969-B713-4967-BD24-466AACCBE5F5}" name="Shipment Number" dataDxfId="129" totalsRowDxfId="24" dataCellStyle="Comma"/>
    <tableColumn id="6" xr3:uid="{F4E1FD2B-9017-4DEB-B772-BF447ECE56F7}" name="Kora/metre" dataDxfId="128" totalsRowDxfId="23" dataCellStyle="Comma"/>
    <tableColumn id="7" xr3:uid="{52ACC1DA-7A76-4A90-B809-3A1AE728E7EA}" name="Tiyaar/gaz" dataDxfId="127" totalsRowDxfId="22" dataCellStyle="Comma"/>
    <tableColumn id="8" xr3:uid="{31A0FF5E-56F0-44D1-9865-73256B964660}" name="shortage %" dataDxfId="126" totalsRowDxfId="21" dataCellStyle="Comma">
      <calculatedColumnFormula>_xlfn.XLOOKUP(Table1[[#This Row],[Shipment Number]], 'pivot '!A:A,'pivot '!G:G, "NF")</calculatedColumnFormula>
    </tableColumn>
    <tableColumn id="9" xr3:uid="{F99075E0-AC8E-094D-BB85-272AD2C6C568}" name="tiyar/meters" totalsRowFunction="custom" dataDxfId="125" totalsRowDxfId="20"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24" totalsRowDxfId="19"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23" totalsRowDxfId="18"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0" totalsRowCount="1" headerRowDxfId="120" headerRowBorderDxfId="119" tableBorderDxfId="118">
  <autoFilter ref="A1:I69" xr:uid="{F8E8C957-ABE7-4E4F-8D4E-7D44E26B334F}">
    <filterColumn colId="1">
      <filters>
        <filter val="Rafaqat"/>
      </filters>
    </filterColumn>
  </autoFilter>
  <tableColumns count="9">
    <tableColumn id="1" xr3:uid="{C2E817D6-AB98-4DDD-8890-736B27F261CD}" name="Date" totalsRowLabel="." dataDxfId="117" totalsRowDxfId="116"/>
    <tableColumn id="2" xr3:uid="{CFB51890-CCDC-463C-81C9-3F8BD7469CB9}" name="Party Name"/>
    <tableColumn id="3" xr3:uid="{A113D971-1C9D-4733-99C4-BD0CC4333209}" name="Vehicle Number"/>
    <tableColumn id="4" xr3:uid="{49780304-3DD1-4AE9-98EE-2BC7EB8F3B57}" name="Weight" dataDxfId="115" totalsRowDxfId="114" dataCellStyle="Comma"/>
    <tableColumn id="5" xr3:uid="{FCAF1BC6-1D8C-42AD-8BBC-F924BF2DC7FE}" name="Rate" dataDxfId="113" totalsRowDxfId="112" dataCellStyle="Comma"/>
    <tableColumn id="6" xr3:uid="{8C70A624-4134-410C-9C45-9FDEB51D51BF}" name="Rent" dataDxfId="111" totalsRowDxfId="110" dataCellStyle="Comma"/>
    <tableColumn id="7" xr3:uid="{EBCE10AE-9634-4982-9C95-37ABC8A7078C}" name="Total" totalsRowFunction="sum" dataDxfId="109" totalsRowDxfId="108" dataCellStyle="Comma">
      <calculatedColumnFormula>D2*E2</calculatedColumnFormula>
    </tableColumn>
    <tableColumn id="9" xr3:uid="{D4788559-C94A-44D9-B9AE-E72B214355AC}" name="Paid" totalsRowFunction="sum" dataDxfId="107" totalsRowDxfId="106" dataCellStyle="Comma"/>
    <tableColumn id="8" xr3:uid="{E26F5BF0-1875-4FC6-994D-49F202ED562B}" name="balance" totalsRowFunction="sum" dataDxfId="105" totalsRowDxfId="10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48" totalsRowCount="1">
  <autoFilter ref="A1:G347" xr:uid="{CB032221-B416-47A8-9A76-693DE76CFD04}"/>
  <tableColumns count="7">
    <tableColumn id="1" xr3:uid="{554B1EED-65B6-4E9A-B646-82727FAC40DE}" name="Date" dataDxfId="102" totalsRowDxfId="46"/>
    <tableColumn id="2" xr3:uid="{32259059-42CF-4947-83DE-115AA430BE2B}" name="Party"/>
    <tableColumn id="3" xr3:uid="{A1320223-D55D-483C-91C3-AB19B95CC9D8}" name="Debit" totalsRowFunction="sum" dataDxfId="101" totalsRowDxfId="45" dataCellStyle="Comma"/>
    <tableColumn id="4" xr3:uid="{E9745767-9FF0-4B1C-9052-FF335D1D7588}" name="Credit" totalsRowFunction="sum" dataDxfId="100" totalsRowDxfId="44" dataCellStyle="Comma"/>
    <tableColumn id="5" xr3:uid="{5C88A48E-2467-4E6D-B626-2442B7FD0BE4}" name="Description"/>
    <tableColumn id="6" xr3:uid="{63CA4666-144E-4BE6-8B7C-7CB992BD3041}" name="Mode" totalsRowFunction="custom" dataDxfId="99" totalsRowDxfId="4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8" tableBorderDxfId="97" totalsRowBorderDxfId="96">
  <autoFilter ref="J3:K6" xr:uid="{DCE01694-23ED-48BF-8B92-4186B9ED10A8}"/>
  <tableColumns count="2">
    <tableColumn id="1" xr3:uid="{C8484DAF-2989-4C2F-9AEC-A6917E1C57F6}" name="Type" dataDxfId="95"/>
    <tableColumn id="2" xr3:uid="{B07B7A2A-4D4E-4654-BED6-FE2F0A7BEC34}" name="Amount" dataDxfId="9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93" headerRowBorderDxfId="92" tableBorderDxfId="91" totalsRowBorderDxfId="90">
  <autoFilter ref="M3:O6" xr:uid="{D166BDD1-ACD7-45D7-8AE9-7350373F8CEB}"/>
  <tableColumns count="3">
    <tableColumn id="1" xr3:uid="{64F0205E-DEA7-4571-BA86-E4374A5FEE28}" name="Type" totalsRowLabel="Total" dataDxfId="89" totalsRowDxfId="88"/>
    <tableColumn id="2" xr3:uid="{15FA05F9-789C-4459-9BE0-5C1EC84D3365}" name="amount" totalsRowFunction="custom" dataDxfId="87" totalsRowDxfId="86">
      <totalsRowFormula>SUM(N5:N6)</totalsRowFormula>
    </tableColumn>
    <tableColumn id="3" xr3:uid="{3681D409-90C6-44D0-BDE2-4B5943A516F0}" name="Actual" totalsRowFunction="custom" totalsRowDxfId="8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84" totalsRowDxfId="83"/>
    <tableColumn id="2" xr3:uid="{5B9D0FEE-4304-4C5C-A05C-5B27CF7841D3}" name="Type"/>
    <tableColumn id="3" xr3:uid="{6A91CA0D-C802-4C6F-9F39-CA53687E8EDE}" name="Description"/>
    <tableColumn id="4" xr3:uid="{A251D40C-AB87-4BB4-85F8-444B20E32FDF}" name="Total" totalsRowFunction="custom" dataDxfId="82" totalsRowDxfId="8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8" totalsRowCount="1" headerRowDxfId="80" headerRowBorderDxfId="79">
  <autoFilter ref="A1:I1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7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4" totalsRowCount="1" headerRowDxfId="76" headerRowBorderDxfId="75">
  <autoFilter ref="A4:H13" xr:uid="{A4C80688-A8BA-4BA7-90B4-791CD99446B4}"/>
  <sortState xmlns:xlrd2="http://schemas.microsoft.com/office/spreadsheetml/2017/richdata2" ref="A5:H6">
    <sortCondition ref="A4:A6"/>
  </sortState>
  <tableColumns count="8">
    <tableColumn id="1" xr3:uid="{4A818912-918E-4111-ACFC-BC93FEF7C1AD}" name="Date" dataDxfId="74" totalsRowDxfId="0"/>
    <tableColumn id="8" xr3:uid="{477ACFD5-62AF-4F69-974B-E9B974C11D7D}" name="Party Name" dataDxfId="7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72">
      <calculatedColumnFormula>Table2[[#This Row],[Quantity]]*250</calculatedColumnFormula>
    </tableColumn>
    <tableColumn id="6" xr3:uid="{30432929-CBD4-4BA8-B63F-CD0F6CF6405F}" name="Paid" totalsRowFunction="sum" dataDxfId="71">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7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9" totalsRowDxfId="6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7" totalsRowDxfId="66"/>
    <tableColumn id="2" xr3:uid="{053BFC14-4828-417C-9F9F-95B6E232A945}" name="Amount" totalsRowFunction="custom" dataDxfId="65" totalsRowDxfId="6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63" totalsRowDxfId="4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3" totalsRowDxfId="5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1" totalsRowDxfId="5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49">
      <calculatedColumnFormula>Billing!O5</calculatedColumnFormula>
    </tableColumn>
    <tableColumn id="2" xr3:uid="{7093A59E-B58F-487D-888A-9AA8156B5F9A}" name="Amount Paid" dataDxfId="4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4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10938343</v>
      </c>
      <c r="X5" s="97">
        <f>V5-W5</f>
        <v>3583308.4264813494</v>
      </c>
      <c r="Y5" s="22">
        <v>10</v>
      </c>
      <c r="Z5" s="22">
        <v>12</v>
      </c>
    </row>
    <row r="6" spans="2:26" x14ac:dyDescent="0.3">
      <c r="B6" t="str">
        <f t="shared" si="0"/>
        <v>Arshad</v>
      </c>
      <c r="C6" s="18">
        <f>SUMIFS(ledger!G:G, ledger!B:B, B6, ledger!E:E, "&lt;&gt;*RD*") / 1.0936</f>
        <v>66163.13094367228</v>
      </c>
      <c r="D6">
        <v>10</v>
      </c>
      <c r="E6" s="14">
        <f>(SUMIFS(ledger!G:G, ledger!B:B, B6, ledger!E:E, "&lt;&gt;*RD*",ledger!D:D, "Silky") / 1.0936)*12 + (SUMIFS(ledger!G:G, ledger!B:B, B6, ledger!E:E, "&lt;&gt;*RD*",ledger!D:D, "Chamki") / 1.0936)*10</f>
        <v>691219.82443306514</v>
      </c>
      <c r="I6" s="4" t="s">
        <v>9</v>
      </c>
      <c r="J6" s="5">
        <v>66163.13094367228</v>
      </c>
      <c r="K6" s="18">
        <v>691219.82443306514</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229464</v>
      </c>
      <c r="Q7" s="23" cm="1">
        <f t="array" ref="Q7">_xlfn.BYROW(B28, _xlfn.LAMBDA(_xlpm.party, SUMIFS(ledger!G:G, ledger!B:B, _xlpm.party, ledger!E:E, "&lt;&gt;*RD*") / 1.0936 ))+_xlfn.IFNA(D63,0)</f>
        <v>209824.4330651061</v>
      </c>
      <c r="R7" s="23" cm="1">
        <f t="array" ref="R7">(_xlfn.BYROW(B28,_xlfn.LAMBDA(_xlpm.party,SUMIFS(ledger!G:G,ledger!B:B,_xlpm.party,ledger!E:E,"&lt;&gt;*RD*",ledger!D:D,"Chamki")+SUMIFS(ledger!G:G, ledger!B:B, _xlpm.party, ledger!E:E, "&lt;&gt;*RD*", ledger!D:D, "Crinkle")))/1.0936)+_xlfn.IFNA(E63,0)</f>
        <v>195030.17556693492</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1950301.7556693489</v>
      </c>
      <c r="U7" s="23" cm="1">
        <f t="array" ref="U7">(_xlfn.BYROW(B28,_xlfn.LAMBDA(_xlpm.party,SUMIFS(ledger!G:G,ledger!B:B,_xlpm.party,ledger!E:E,"&lt;&gt;*RD*",ledger!D:D, "Silky")/1.0936))* 12)+_xlfn.IFNA(H63,0)</f>
        <v>177531.08997805414</v>
      </c>
      <c r="V7" s="44">
        <f t="shared" si="1"/>
        <v>2127832.845647403</v>
      </c>
      <c r="W7" s="23">
        <f>(SUMIF(Table14[Party],O7,Table14[Credit]))+_xlfn.IFNA(J63,0)</f>
        <v>1906701</v>
      </c>
      <c r="X7" s="97">
        <f>V7-W7</f>
        <v>221131.84564740304</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3751266</v>
      </c>
      <c r="X10" s="97">
        <f t="shared" si="2"/>
        <v>62916.5164594003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243</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1405922.6408193125</v>
      </c>
      <c r="K17" s="14">
        <v>14439588.514996344</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14567898.683247991</v>
      </c>
      <c r="D20" t="s">
        <v>30</v>
      </c>
    </row>
    <row r="21" spans="1:26" x14ac:dyDescent="0.3">
      <c r="C21" s="18"/>
      <c r="O21" s="14"/>
    </row>
    <row r="22" spans="1:26" x14ac:dyDescent="0.3">
      <c r="B22" s="25" t="s">
        <v>31</v>
      </c>
      <c r="C22" s="42">
        <f ca="1">SUM(OFFSET(I26,0,0,COUNTA(I:I)-ROW(I26)+1))</f>
        <v>14567898.683247989</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3779560</v>
      </c>
      <c r="K26" s="42">
        <f>I26-J26</f>
        <v>-166867.97366495943</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7"/>
        <v>624464.15508412581</v>
      </c>
      <c r="J27" s="23">
        <f>(SUMIF(Table14[Party],B27,Table14[Credit]))</f>
        <v>247550</v>
      </c>
      <c r="K27" s="42">
        <f>I27-J27</f>
        <v>376914.15508412581</v>
      </c>
      <c r="L27" s="22">
        <v>10</v>
      </c>
      <c r="M27" s="22">
        <v>12</v>
      </c>
    </row>
    <row r="28" spans="1:26" x14ac:dyDescent="0.3">
      <c r="B28" s="25" t="str">
        <v>Arshad</v>
      </c>
      <c r="C28" s="23">
        <v>72356</v>
      </c>
      <c r="D28" s="23">
        <v>66163.13094367228</v>
      </c>
      <c r="E28" s="71">
        <v>51368.8734455011</v>
      </c>
      <c r="F28" s="78">
        <v>14794.257498171179</v>
      </c>
      <c r="G28" s="23" cm="1">
        <f t="array" ref="G28">(_xlfn.BYROW(B28,_xlfn.LAMBDA(_xlpm.party,(SUMIFS(ledger!G:G,ledger!B:B,_xlpm.party,ledger!E:E,"&lt;&gt;*RD*",ledger!D:D, "Chamki")+SUMIFS(ledger!G:G, ledger!B:B, _xlpm.party, ledger!E:E, "&lt;&gt;*RD*", ledger!D:D, "Crinkle"))/1.0936))*L28)</f>
        <v>513688.73445501097</v>
      </c>
      <c r="H28" s="23" cm="1">
        <f t="array" ref="H28">(_xlfn.BYROW(B28,_xlfn.LAMBDA(_xlpm.party,SUMIFS(ledger!G:G,ledger!B:B,_xlpm.party,ledger!E:E,"&lt;&gt;*RD*",ledger!D:D, "Silky")/1.0936))* M28)</f>
        <v>177531.08997805414</v>
      </c>
      <c r="I28" s="44">
        <f t="shared" si="7"/>
        <v>691219.82443306514</v>
      </c>
      <c r="J28" s="23">
        <f>(SUMIF(Table14[Party],B28,Table14[Credit]))</f>
        <v>1152491</v>
      </c>
      <c r="K28" s="42">
        <f>I28-J28</f>
        <v>-461271.17556693486</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1451266</v>
      </c>
      <c r="K31" s="42">
        <f t="shared" si="8"/>
        <v>-147654.07607900491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0"/>
        <v>2427723.1163130947</v>
      </c>
      <c r="J37" s="23">
        <f>SUMIF(Table14[Party], B37, Table14[Credit])</f>
        <v>1370000</v>
      </c>
      <c r="K37" s="42">
        <f t="shared" si="9"/>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7479235</v>
      </c>
      <c r="D4" t="s">
        <v>183</v>
      </c>
    </row>
    <row r="5" spans="1:4" x14ac:dyDescent="0.3">
      <c r="B5" t="s">
        <v>48</v>
      </c>
      <c r="C5" s="11">
        <f>SUM(Table8[Price])+Dyes!P41</f>
        <v>1419605</v>
      </c>
      <c r="D5" t="s">
        <v>189</v>
      </c>
    </row>
    <row r="6" spans="1:4" x14ac:dyDescent="0.3">
      <c r="B6" t="s">
        <v>49</v>
      </c>
      <c r="C6" s="11">
        <f>SUM(Table2[Price])+247000</f>
        <v>769350</v>
      </c>
      <c r="D6" t="s">
        <v>188</v>
      </c>
    </row>
    <row r="7" spans="1:4" x14ac:dyDescent="0.3">
      <c r="B7" t="s">
        <v>50</v>
      </c>
      <c r="C7" s="11">
        <f>SUMIFS(Table14[Debit], Table14[Party],Table12[[#This Row],[Type]])</f>
        <v>27062</v>
      </c>
    </row>
    <row r="8" spans="1:4" x14ac:dyDescent="0.3">
      <c r="B8" t="s">
        <v>51</v>
      </c>
      <c r="C8" s="11">
        <f>Electricity!E3</f>
        <v>0</v>
      </c>
    </row>
    <row r="9" spans="1:4" x14ac:dyDescent="0.3">
      <c r="B9" t="s">
        <v>52</v>
      </c>
      <c r="C9" s="11">
        <f>Table11[[#Totals],[Amount]]+'Salary Acc'!I35</f>
        <v>93000</v>
      </c>
    </row>
    <row r="10" spans="1:4" x14ac:dyDescent="0.3">
      <c r="B10" t="s">
        <v>53</v>
      </c>
      <c r="C10" s="11">
        <f>Table5[[#Totals],[Amount]]</f>
        <v>113670</v>
      </c>
    </row>
    <row r="11" spans="1:4" x14ac:dyDescent="0.3">
      <c r="B11" t="s">
        <v>54</v>
      </c>
      <c r="C11" s="11">
        <f>Table13[[#Totals],[Debit]]</f>
        <v>269331</v>
      </c>
    </row>
    <row r="12" spans="1:4" x14ac:dyDescent="0.3">
      <c r="B12" t="s">
        <v>55</v>
      </c>
      <c r="C12" s="11">
        <f>Table15[[#Totals],[Amount]]</f>
        <v>313646</v>
      </c>
    </row>
    <row r="13" spans="1:4" x14ac:dyDescent="0.3">
      <c r="C13" s="11"/>
    </row>
    <row r="14" spans="1:4" x14ac:dyDescent="0.3">
      <c r="C14" s="14">
        <f>SUM(Table12[Amount])</f>
        <v>10484899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14567898.683247989</v>
      </c>
      <c r="D3" t="s">
        <v>68</v>
      </c>
    </row>
    <row r="4" spans="1:4" x14ac:dyDescent="0.3">
      <c r="B4" s="11" t="s">
        <v>44</v>
      </c>
      <c r="C4" s="11">
        <f>Table12[[#Totals],[Amount]]</f>
        <v>10484899</v>
      </c>
    </row>
    <row r="5" spans="1:4" x14ac:dyDescent="0.3">
      <c r="A5" s="6"/>
      <c r="B5" s="15" t="s">
        <v>69</v>
      </c>
      <c r="C5" s="15">
        <f ca="1">C3-C4</f>
        <v>4082999.683247989</v>
      </c>
    </row>
    <row r="10" spans="1:4" ht="15" thickBot="1" x14ac:dyDescent="0.35">
      <c r="B10" t="s">
        <v>66</v>
      </c>
      <c r="C10" s="14" t="s">
        <v>67</v>
      </c>
    </row>
    <row r="11" spans="1:4" x14ac:dyDescent="0.3">
      <c r="B11" s="64" t="s">
        <v>0</v>
      </c>
      <c r="C11" s="65">
        <f ca="1">C3</f>
        <v>14567898.683247989</v>
      </c>
    </row>
    <row r="12" spans="1:4" x14ac:dyDescent="0.3">
      <c r="B12" s="66" t="s">
        <v>70</v>
      </c>
      <c r="C12" s="67">
        <f>SUM(Table14[Credit])</f>
        <v>13523290</v>
      </c>
    </row>
    <row r="13" spans="1:4" ht="15" thickBot="1" x14ac:dyDescent="0.35">
      <c r="B13" s="82" t="s">
        <v>97</v>
      </c>
      <c r="C13" s="81">
        <f ca="1">(C11-C12)</f>
        <v>1044608.683247989</v>
      </c>
    </row>
    <row r="14" spans="1:4" ht="15" thickBot="1" x14ac:dyDescent="0.35">
      <c r="B14" s="66"/>
      <c r="C14" s="67"/>
    </row>
    <row r="15" spans="1:4" x14ac:dyDescent="0.3">
      <c r="B15" s="64" t="s">
        <v>44</v>
      </c>
      <c r="C15" s="65">
        <f>C4</f>
        <v>10484899</v>
      </c>
    </row>
    <row r="16" spans="1:4" x14ac:dyDescent="0.3">
      <c r="B16" s="66" t="s">
        <v>71</v>
      </c>
      <c r="C16" s="67">
        <f>SUM(Table14[Debit])</f>
        <v>13448706</v>
      </c>
    </row>
    <row r="17" spans="2:6" ht="15" thickBot="1" x14ac:dyDescent="0.35">
      <c r="B17" s="82" t="s">
        <v>72</v>
      </c>
      <c r="C17" s="81">
        <f>C15-C16</f>
        <v>-2963807</v>
      </c>
    </row>
    <row r="18" spans="2:6" ht="15" thickBot="1" x14ac:dyDescent="0.35">
      <c r="B18" s="66"/>
      <c r="C18" s="67"/>
    </row>
    <row r="19" spans="2:6" ht="15" thickBot="1" x14ac:dyDescent="0.35">
      <c r="B19" s="83" t="s">
        <v>73</v>
      </c>
      <c r="C19" s="84">
        <f>Table18[[#Totals],[amount]]</f>
        <v>74584</v>
      </c>
    </row>
    <row r="20" spans="2:6" ht="15" thickBot="1" x14ac:dyDescent="0.35">
      <c r="B20" s="79"/>
      <c r="C20" s="80"/>
    </row>
    <row r="21" spans="2:6" ht="15" thickBot="1" x14ac:dyDescent="0.35">
      <c r="B21" s="68" t="s">
        <v>74</v>
      </c>
      <c r="C21" s="69">
        <f ca="1">(C13-C17)+C19</f>
        <v>4082999.683247989</v>
      </c>
      <c r="E21" s="87" t="s">
        <v>75</v>
      </c>
      <c r="F21" s="88">
        <f ca="1">C5*0.05</f>
        <v>204149.98416239946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269331</v>
      </c>
      <c r="E35">
        <f>SUBTOTAL(109,Table13[Credit])</f>
        <v>0</v>
      </c>
      <c r="F35">
        <f>Table13[[#Totals],[Debit]]-Table13[[#Totals],[Credit]]</f>
        <v>269331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2"/>
  <sheetViews>
    <sheetView topLeftCell="A121" zoomScale="126" zoomScaleNormal="126" workbookViewId="0">
      <selection activeCell="H135" sqref="H13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243</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243</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243</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243</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243</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22" t="s">
        <v>397</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24172</v>
      </c>
      <c r="H132" s="32">
        <f>_xlfn.XLOOKUP(Table1[[#This Row],[Shipment Number]], 'pivot '!A:A,'pivot '!G:G, "NF")</f>
        <v>56.562551686645996</v>
      </c>
      <c r="I132" s="32">
        <f>IF(Table1[[#This Row],[Shipment Number]]="RD",0,Table1[[#This Row],[Tiyaar/gaz]]/1.0936)</f>
        <v>22103.145574250186</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221031.45574250186</v>
      </c>
      <c r="K132" s="29"/>
      <c r="L132"/>
      <c r="M132"/>
      <c r="N132"/>
    </row>
    <row r="133" spans="1:14" x14ac:dyDescent="0.3">
      <c r="A133"/>
      <c r="B133"/>
      <c r="C133"/>
      <c r="D133"/>
      <c r="E133" s="14"/>
      <c r="F133" s="14"/>
      <c r="G133" s="14"/>
      <c r="H133" s="50"/>
      <c r="I133" s="117" cm="1">
        <f t="array" aca="1" ref="I133" ca="1">SUMPRODUCT( SUBTOTAL(109, OFFSET(Table1[tiyar/meters], ROW(Table1[tiyar/meters])-MIN(ROW(Table1[tiyar/meters])), 0, 1)), --(Table1[Bill Number]&lt;&gt;"August Closing CF") )</f>
        <v>1418753.6576444777</v>
      </c>
      <c r="J133" s="50" cm="1">
        <f t="array" aca="1" ref="J133" ca="1">SUMPRODUCT( SUBTOTAL(109, OFFSET(Table1[billing], ROW(Table1[billing])-MIN(ROW(Table1[billing])), 0, 1)), --(Table1[Bill Number]&lt;&gt;"August Closing CF") )</f>
        <v>14567898.683247991</v>
      </c>
      <c r="K133" s="14">
        <f>SUMIFS(Table1[billing], Table1[Bill Number], "&lt;&gt;August Closing CF")</f>
        <v>14567898.683247991</v>
      </c>
    </row>
    <row r="137" spans="1:14" x14ac:dyDescent="0.3">
      <c r="D137" s="3" t="s">
        <v>2</v>
      </c>
      <c r="E137" t="s">
        <v>89</v>
      </c>
    </row>
    <row r="138" spans="1:14" x14ac:dyDescent="0.3">
      <c r="D138" s="3" t="s">
        <v>76</v>
      </c>
      <c r="E138" t="s">
        <v>89</v>
      </c>
    </row>
    <row r="139" spans="1:14" x14ac:dyDescent="0.3">
      <c r="D139" s="3" t="s">
        <v>80</v>
      </c>
      <c r="E139" t="s">
        <v>89</v>
      </c>
    </row>
    <row r="141" spans="1:14" x14ac:dyDescent="0.3">
      <c r="D141" s="3" t="s">
        <v>6</v>
      </c>
      <c r="E141" t="s">
        <v>90</v>
      </c>
      <c r="F141" t="s">
        <v>91</v>
      </c>
      <c r="G141" t="s">
        <v>92</v>
      </c>
      <c r="I141" s="3" t="s">
        <v>6</v>
      </c>
      <c r="J141" t="s">
        <v>91</v>
      </c>
      <c r="K141" t="s">
        <v>92</v>
      </c>
    </row>
    <row r="142" spans="1:14" x14ac:dyDescent="0.3">
      <c r="D142" s="16" t="s">
        <v>164</v>
      </c>
      <c r="E142" s="123"/>
      <c r="F142" s="33">
        <v>2397934.3452816382</v>
      </c>
      <c r="G142" s="123">
        <v>24159091.119458668</v>
      </c>
      <c r="I142" s="27">
        <v>45888</v>
      </c>
      <c r="J142" s="50">
        <v>2002.56035113387</v>
      </c>
      <c r="K142" s="14">
        <v>20025.603511338701</v>
      </c>
    </row>
    <row r="143" spans="1:14" x14ac:dyDescent="0.3">
      <c r="D143" s="16">
        <v>835</v>
      </c>
      <c r="E143" s="123">
        <v>19968</v>
      </c>
      <c r="F143" s="33">
        <v>18258.961228968546</v>
      </c>
      <c r="G143" s="123">
        <v>182589.61228968546</v>
      </c>
      <c r="I143" s="27">
        <v>45916</v>
      </c>
      <c r="J143" s="50">
        <v>2397934.3452816382</v>
      </c>
      <c r="K143" s="14">
        <v>24159091.119458668</v>
      </c>
    </row>
    <row r="144" spans="1:14" x14ac:dyDescent="0.3">
      <c r="D144" s="16">
        <v>836</v>
      </c>
      <c r="E144" s="123">
        <v>28988</v>
      </c>
      <c r="F144" s="33">
        <v>26506.949524506221</v>
      </c>
      <c r="G144" s="123">
        <v>318083.39429407462</v>
      </c>
      <c r="I144" s="27">
        <v>45917</v>
      </c>
      <c r="J144" s="50">
        <v>82800.841258229702</v>
      </c>
      <c r="K144" s="14">
        <v>925892.46525237756</v>
      </c>
    </row>
    <row r="145" spans="4:11" x14ac:dyDescent="0.3">
      <c r="D145" s="16">
        <v>837</v>
      </c>
      <c r="E145" s="123">
        <v>3979</v>
      </c>
      <c r="F145" s="33">
        <v>3638.4418434528166</v>
      </c>
      <c r="G145" s="123">
        <v>43661.3021214338</v>
      </c>
      <c r="I145" s="27">
        <v>45918</v>
      </c>
      <c r="J145" s="50">
        <v>34217.264081931236</v>
      </c>
      <c r="K145" s="14">
        <v>342172.64081931236</v>
      </c>
    </row>
    <row r="146" spans="4:11" x14ac:dyDescent="0.3">
      <c r="D146" s="16">
        <v>838</v>
      </c>
      <c r="E146" s="123">
        <v>6476</v>
      </c>
      <c r="F146" s="33">
        <v>5921.7264081931244</v>
      </c>
      <c r="G146" s="123">
        <v>71060.716898317492</v>
      </c>
      <c r="I146" s="27">
        <v>45919</v>
      </c>
      <c r="J146" s="50">
        <v>26449.341623994151</v>
      </c>
      <c r="K146" s="14">
        <v>264493.41623994149</v>
      </c>
    </row>
    <row r="147" spans="4:11" x14ac:dyDescent="0.3">
      <c r="D147" s="16">
        <v>839</v>
      </c>
      <c r="E147" s="123">
        <v>10952</v>
      </c>
      <c r="F147" s="33">
        <v>10014.630577907828</v>
      </c>
      <c r="G147" s="123">
        <v>120175.56693489394</v>
      </c>
      <c r="I147" s="27">
        <v>45920</v>
      </c>
      <c r="J147" s="50">
        <v>59877.468910021955</v>
      </c>
      <c r="K147" s="14">
        <v>598774.68910021952</v>
      </c>
    </row>
    <row r="148" spans="4:11" x14ac:dyDescent="0.3">
      <c r="D148" s="16">
        <v>840</v>
      </c>
      <c r="E148" s="123">
        <v>3128</v>
      </c>
      <c r="F148" s="33">
        <v>2860.2779809802491</v>
      </c>
      <c r="G148" s="123">
        <v>34323.335771762991</v>
      </c>
      <c r="I148" s="27">
        <v>45922</v>
      </c>
      <c r="J148" s="50">
        <v>129489.75859546452</v>
      </c>
      <c r="K148" s="14">
        <v>1188917.3372348209</v>
      </c>
    </row>
    <row r="149" spans="4:11" x14ac:dyDescent="0.3">
      <c r="D149" s="16">
        <v>841</v>
      </c>
      <c r="E149" s="123">
        <v>17060</v>
      </c>
      <c r="F149" s="33">
        <v>15599.853694220923</v>
      </c>
      <c r="G149" s="123">
        <v>155998.53694220923</v>
      </c>
      <c r="I149" s="27">
        <v>45923</v>
      </c>
      <c r="J149" s="50">
        <v>54385.515727871258</v>
      </c>
      <c r="K149" s="14">
        <v>533916.42282370164</v>
      </c>
    </row>
    <row r="150" spans="4:11" x14ac:dyDescent="0.3">
      <c r="D150" s="16">
        <v>842</v>
      </c>
      <c r="E150" s="123"/>
      <c r="F150" s="33">
        <v>0</v>
      </c>
      <c r="G150" s="123">
        <v>0</v>
      </c>
      <c r="I150" s="27">
        <v>45924</v>
      </c>
      <c r="J150" s="50">
        <v>100605.34016093636</v>
      </c>
      <c r="K150" s="14">
        <v>1207264.0819312364</v>
      </c>
    </row>
    <row r="151" spans="4:11" x14ac:dyDescent="0.3">
      <c r="D151" s="16">
        <v>843</v>
      </c>
      <c r="E151" s="123">
        <v>37420</v>
      </c>
      <c r="F151" s="33">
        <v>34217.264081931236</v>
      </c>
      <c r="G151" s="123">
        <v>342172.64081931236</v>
      </c>
      <c r="I151" s="27">
        <v>45925</v>
      </c>
      <c r="J151" s="50">
        <v>63347.659107534753</v>
      </c>
      <c r="K151" s="14">
        <v>698609.18068763718</v>
      </c>
    </row>
    <row r="152" spans="4:11" x14ac:dyDescent="0.3">
      <c r="D152" s="16">
        <v>844</v>
      </c>
      <c r="E152" s="123">
        <v>2641</v>
      </c>
      <c r="F152" s="33">
        <v>2414.9597659107535</v>
      </c>
      <c r="G152" s="123">
        <v>24149.597659107534</v>
      </c>
      <c r="I152" s="27">
        <v>45926</v>
      </c>
      <c r="J152" s="50">
        <v>59054.498902706662</v>
      </c>
      <c r="K152" s="14">
        <v>590929.04169714719</v>
      </c>
    </row>
    <row r="153" spans="4:11" x14ac:dyDescent="0.3">
      <c r="D153" s="16">
        <v>845</v>
      </c>
      <c r="E153" s="123"/>
      <c r="F153" s="33">
        <v>0</v>
      </c>
      <c r="G153" s="123">
        <v>0</v>
      </c>
      <c r="I153" s="27">
        <v>45927</v>
      </c>
      <c r="J153" s="50">
        <v>83154.718361375286</v>
      </c>
      <c r="K153" s="14">
        <v>831547.18361375283</v>
      </c>
    </row>
    <row r="154" spans="4:11" x14ac:dyDescent="0.3">
      <c r="D154" s="16">
        <v>846</v>
      </c>
      <c r="E154" s="123">
        <v>2190</v>
      </c>
      <c r="F154" s="33">
        <v>2002.56035113387</v>
      </c>
      <c r="G154" s="123">
        <v>20025.603511338701</v>
      </c>
      <c r="I154" s="27">
        <v>45929</v>
      </c>
      <c r="J154" s="50">
        <v>100475.49378200439</v>
      </c>
      <c r="K154" s="14">
        <v>1004754.937820044</v>
      </c>
    </row>
    <row r="155" spans="4:11" x14ac:dyDescent="0.3">
      <c r="D155" s="16">
        <v>847</v>
      </c>
      <c r="E155" s="123">
        <v>26284</v>
      </c>
      <c r="F155" s="33">
        <v>24034.381858083398</v>
      </c>
      <c r="G155" s="123">
        <v>240343.81858083396</v>
      </c>
      <c r="I155" s="27">
        <v>45930</v>
      </c>
      <c r="J155" s="50">
        <v>102428.67593269936</v>
      </c>
      <c r="K155" s="14">
        <v>1211093.63569861</v>
      </c>
    </row>
    <row r="156" spans="4:11" x14ac:dyDescent="0.3">
      <c r="D156" s="16">
        <v>848</v>
      </c>
      <c r="E156" s="123"/>
      <c r="F156" s="33">
        <v>0</v>
      </c>
      <c r="G156" s="123">
        <v>0</v>
      </c>
      <c r="I156" s="27">
        <v>45931</v>
      </c>
      <c r="J156" s="50">
        <v>84868.324798829562</v>
      </c>
      <c r="K156" s="14">
        <v>838532.37015362107</v>
      </c>
    </row>
    <row r="157" spans="4:11" x14ac:dyDescent="0.3">
      <c r="D157" s="16">
        <v>849</v>
      </c>
      <c r="E157" s="123">
        <v>6883</v>
      </c>
      <c r="F157" s="33">
        <v>6293.8917337234825</v>
      </c>
      <c r="G157" s="123">
        <v>62938.917337234823</v>
      </c>
      <c r="I157" s="27">
        <v>45933</v>
      </c>
      <c r="J157" s="50">
        <v>78115.398683248</v>
      </c>
      <c r="K157" s="14">
        <v>773414.41111923929</v>
      </c>
    </row>
    <row r="158" spans="4:11" x14ac:dyDescent="0.3">
      <c r="D158" s="16">
        <v>850</v>
      </c>
      <c r="E158" s="123"/>
      <c r="F158" s="33">
        <v>0</v>
      </c>
      <c r="G158" s="123">
        <v>0</v>
      </c>
      <c r="I158" s="27">
        <v>45934</v>
      </c>
      <c r="J158" s="50">
        <v>74935.07681053401</v>
      </c>
      <c r="K158" s="14">
        <v>718790.2340892466</v>
      </c>
    </row>
    <row r="159" spans="4:11" x14ac:dyDescent="0.3">
      <c r="D159" s="16">
        <v>851</v>
      </c>
      <c r="E159" s="123"/>
      <c r="F159" s="33">
        <v>0</v>
      </c>
      <c r="G159" s="123">
        <v>0</v>
      </c>
      <c r="I159" s="27">
        <v>45936</v>
      </c>
      <c r="J159" s="50">
        <v>121983.35771762984</v>
      </c>
      <c r="K159" s="14">
        <v>1213147.4030724214</v>
      </c>
    </row>
    <row r="160" spans="4:11" x14ac:dyDescent="0.3">
      <c r="D160" s="16">
        <v>852</v>
      </c>
      <c r="E160" s="123">
        <v>10423</v>
      </c>
      <c r="F160" s="33">
        <v>9530.9070958302855</v>
      </c>
      <c r="G160" s="123">
        <v>95309.070958302851</v>
      </c>
      <c r="I160" s="27">
        <v>45937</v>
      </c>
      <c r="J160" s="50">
        <v>41912.948061448435</v>
      </c>
      <c r="K160" s="14">
        <v>419129.48061448429</v>
      </c>
    </row>
    <row r="161" spans="4:11" x14ac:dyDescent="0.3">
      <c r="D161" s="16">
        <v>853</v>
      </c>
      <c r="E161" s="123">
        <v>22769</v>
      </c>
      <c r="F161" s="33">
        <v>20820.226773957573</v>
      </c>
      <c r="G161" s="123">
        <v>208202.26773957573</v>
      </c>
      <c r="I161" s="27">
        <v>45938</v>
      </c>
      <c r="J161" s="50">
        <v>118649.4147768837</v>
      </c>
      <c r="K161" s="14">
        <v>1186494.1477688369</v>
      </c>
    </row>
    <row r="162" spans="4:11" x14ac:dyDescent="0.3">
      <c r="D162" s="16">
        <v>854</v>
      </c>
      <c r="E162" s="123">
        <v>25407</v>
      </c>
      <c r="F162" s="33">
        <v>23232.44330651061</v>
      </c>
      <c r="G162" s="123">
        <v>232324.4330651061</v>
      </c>
      <c r="I162" s="27" t="s">
        <v>28</v>
      </c>
      <c r="J162" s="50">
        <v>3816688.0029261154</v>
      </c>
      <c r="K162" s="14">
        <v>38726989.802706659</v>
      </c>
    </row>
    <row r="163" spans="4:11" x14ac:dyDescent="0.3">
      <c r="D163" s="16">
        <v>855</v>
      </c>
      <c r="E163" s="123"/>
      <c r="F163" s="33">
        <v>0</v>
      </c>
      <c r="G163" s="123">
        <v>0</v>
      </c>
      <c r="I163"/>
      <c r="J163"/>
      <c r="K163"/>
    </row>
    <row r="164" spans="4:11" x14ac:dyDescent="0.3">
      <c r="D164" s="16">
        <v>856</v>
      </c>
      <c r="E164" s="123">
        <v>25710</v>
      </c>
      <c r="F164" s="33">
        <v>23509.509875640091</v>
      </c>
      <c r="G164" s="123">
        <v>235095.09875640093</v>
      </c>
      <c r="I164"/>
      <c r="J164"/>
      <c r="K164"/>
    </row>
    <row r="165" spans="4:11" x14ac:dyDescent="0.3">
      <c r="D165" s="16">
        <v>857</v>
      </c>
      <c r="E165" s="123">
        <v>18018</v>
      </c>
      <c r="F165" s="33">
        <v>16475.859546452088</v>
      </c>
      <c r="G165" s="123">
        <v>148282.73591806879</v>
      </c>
      <c r="I165"/>
      <c r="J165"/>
      <c r="K165"/>
    </row>
    <row r="166" spans="4:11" x14ac:dyDescent="0.3">
      <c r="D166" s="16">
        <v>858</v>
      </c>
      <c r="E166" s="123">
        <v>52061</v>
      </c>
      <c r="F166" s="33">
        <v>47605.157278712511</v>
      </c>
      <c r="G166" s="123">
        <v>428446.41550841258</v>
      </c>
      <c r="I166"/>
      <c r="J166"/>
      <c r="K166"/>
    </row>
    <row r="167" spans="4:11" x14ac:dyDescent="0.3">
      <c r="D167" s="16">
        <v>859</v>
      </c>
      <c r="E167" s="123">
        <v>45821</v>
      </c>
      <c r="F167" s="33">
        <v>41899.231894659846</v>
      </c>
      <c r="G167" s="123">
        <v>377093.08705193864</v>
      </c>
      <c r="I167"/>
      <c r="J167"/>
      <c r="K167"/>
    </row>
    <row r="168" spans="4:11" x14ac:dyDescent="0.3">
      <c r="D168" s="16">
        <v>860</v>
      </c>
      <c r="E168" s="123">
        <v>41491</v>
      </c>
      <c r="F168" s="33">
        <v>37939.831748354067</v>
      </c>
      <c r="G168" s="123">
        <v>379398.31748354068</v>
      </c>
    </row>
    <row r="169" spans="4:11" x14ac:dyDescent="0.3">
      <c r="D169" s="16">
        <v>861</v>
      </c>
      <c r="E169" s="123">
        <v>7116</v>
      </c>
      <c r="F169" s="33">
        <v>6506.9495245062189</v>
      </c>
      <c r="G169" s="123">
        <v>65069.495245062193</v>
      </c>
    </row>
    <row r="170" spans="4:11" x14ac:dyDescent="0.3">
      <c r="D170" s="16">
        <v>862</v>
      </c>
      <c r="E170" s="123"/>
      <c r="F170" s="33">
        <v>0</v>
      </c>
      <c r="G170" s="123">
        <v>0</v>
      </c>
    </row>
    <row r="171" spans="4:11" x14ac:dyDescent="0.3">
      <c r="D171" s="16">
        <v>863</v>
      </c>
      <c r="E171" s="123">
        <v>10869</v>
      </c>
      <c r="F171" s="33">
        <v>9938.7344550109738</v>
      </c>
      <c r="G171" s="123">
        <v>89448.61009509876</v>
      </c>
    </row>
    <row r="172" spans="4:11" x14ac:dyDescent="0.3">
      <c r="D172" s="16">
        <v>864</v>
      </c>
      <c r="E172" s="123">
        <v>35692</v>
      </c>
      <c r="F172" s="33">
        <v>32637.161667885885</v>
      </c>
      <c r="G172" s="123">
        <v>391645.94001463061</v>
      </c>
    </row>
    <row r="173" spans="4:11" x14ac:dyDescent="0.3">
      <c r="D173" s="16">
        <v>865</v>
      </c>
      <c r="E173" s="123">
        <v>28089</v>
      </c>
      <c r="F173" s="33">
        <v>25684.893928310172</v>
      </c>
      <c r="G173" s="123">
        <v>308218.72713972209</v>
      </c>
    </row>
    <row r="174" spans="4:11" x14ac:dyDescent="0.3">
      <c r="D174" s="16">
        <v>866</v>
      </c>
      <c r="E174" s="123">
        <v>14996</v>
      </c>
      <c r="F174" s="33">
        <v>13712.509144111194</v>
      </c>
      <c r="G174" s="123">
        <v>164550.10972933433</v>
      </c>
    </row>
    <row r="175" spans="4:11" x14ac:dyDescent="0.3">
      <c r="D175" s="16">
        <v>867</v>
      </c>
      <c r="E175" s="123">
        <v>13485</v>
      </c>
      <c r="F175" s="33">
        <v>12330.833942940748</v>
      </c>
      <c r="G175" s="123">
        <v>147970.00731528897</v>
      </c>
    </row>
    <row r="176" spans="4:11" x14ac:dyDescent="0.3">
      <c r="D176" s="16">
        <v>868</v>
      </c>
      <c r="E176" s="123">
        <v>15066</v>
      </c>
      <c r="F176" s="33">
        <v>13776.517922457939</v>
      </c>
      <c r="G176" s="123">
        <v>165318.21506949526</v>
      </c>
    </row>
    <row r="177" spans="4:7" x14ac:dyDescent="0.3">
      <c r="D177" s="16">
        <v>869</v>
      </c>
      <c r="E177" s="123">
        <v>2694</v>
      </c>
      <c r="F177" s="33">
        <v>2463.4235552304317</v>
      </c>
      <c r="G177" s="123">
        <v>29561.08266276518</v>
      </c>
    </row>
    <row r="178" spans="4:7" x14ac:dyDescent="0.3">
      <c r="D178" s="16">
        <v>870</v>
      </c>
      <c r="E178" s="123">
        <v>32937</v>
      </c>
      <c r="F178" s="33">
        <v>30117.95903438186</v>
      </c>
      <c r="G178" s="123">
        <v>361415.50841258233</v>
      </c>
    </row>
    <row r="179" spans="4:7" x14ac:dyDescent="0.3">
      <c r="D179" s="16">
        <v>871</v>
      </c>
      <c r="E179" s="123">
        <v>25630</v>
      </c>
      <c r="F179" s="33">
        <v>23436.356986100953</v>
      </c>
      <c r="G179" s="123">
        <v>234363.56986100954</v>
      </c>
    </row>
    <row r="180" spans="4:7" x14ac:dyDescent="0.3">
      <c r="D180" s="16">
        <v>872</v>
      </c>
      <c r="E180" s="123">
        <v>10710</v>
      </c>
      <c r="F180" s="33">
        <v>9793.3430870519387</v>
      </c>
      <c r="G180" s="123">
        <v>102830.10241404535</v>
      </c>
    </row>
    <row r="181" spans="4:7" x14ac:dyDescent="0.3">
      <c r="D181" s="16">
        <v>873</v>
      </c>
      <c r="E181" s="123">
        <v>10161</v>
      </c>
      <c r="F181" s="33">
        <v>9291.331382589613</v>
      </c>
      <c r="G181" s="123">
        <v>92913.313825896126</v>
      </c>
    </row>
    <row r="182" spans="4:7" x14ac:dyDescent="0.3">
      <c r="D182" s="16">
        <v>874</v>
      </c>
      <c r="E182" s="123">
        <v>20984</v>
      </c>
      <c r="F182" s="33">
        <v>19188.002926115583</v>
      </c>
      <c r="G182" s="123">
        <v>191880.02926115584</v>
      </c>
    </row>
    <row r="183" spans="4:7" x14ac:dyDescent="0.3">
      <c r="D183" s="16">
        <v>875</v>
      </c>
      <c r="E183" s="123">
        <v>13939</v>
      </c>
      <c r="F183" s="33">
        <v>12745.976591075349</v>
      </c>
      <c r="G183" s="123">
        <v>127459.76591075349</v>
      </c>
    </row>
    <row r="184" spans="4:7" x14ac:dyDescent="0.3">
      <c r="D184" s="16">
        <v>876</v>
      </c>
      <c r="E184" s="123">
        <v>210</v>
      </c>
      <c r="F184" s="33">
        <v>192.0263350402341</v>
      </c>
      <c r="G184" s="123">
        <v>2304.3160204828091</v>
      </c>
    </row>
    <row r="185" spans="4:7" x14ac:dyDescent="0.3">
      <c r="D185" s="16">
        <v>877</v>
      </c>
      <c r="E185" s="123">
        <v>19288</v>
      </c>
      <c r="F185" s="33">
        <v>17637.161667885885</v>
      </c>
      <c r="G185" s="123">
        <v>176371.61667885885</v>
      </c>
    </row>
    <row r="186" spans="4:7" x14ac:dyDescent="0.3">
      <c r="D186" s="16">
        <v>878</v>
      </c>
      <c r="E186" s="123">
        <v>12510</v>
      </c>
      <c r="F186" s="33">
        <v>11439.283101682517</v>
      </c>
      <c r="G186" s="123">
        <v>114392.83101682516</v>
      </c>
    </row>
    <row r="187" spans="4:7" x14ac:dyDescent="0.3">
      <c r="D187" s="16">
        <v>879</v>
      </c>
      <c r="E187" s="123">
        <v>16471</v>
      </c>
      <c r="F187" s="33">
        <v>15061.265544989028</v>
      </c>
      <c r="G187" s="123">
        <v>150612.65544989027</v>
      </c>
    </row>
    <row r="188" spans="4:7" x14ac:dyDescent="0.3">
      <c r="D188" s="16">
        <v>880</v>
      </c>
      <c r="E188" s="123">
        <v>11222</v>
      </c>
      <c r="F188" s="33">
        <v>10261.521580102415</v>
      </c>
      <c r="G188" s="123">
        <v>102615.21580102415</v>
      </c>
    </row>
    <row r="189" spans="4:7" x14ac:dyDescent="0.3">
      <c r="D189" s="16">
        <v>881</v>
      </c>
      <c r="E189" s="123">
        <v>15796</v>
      </c>
      <c r="F189" s="33">
        <v>14444.038039502562</v>
      </c>
      <c r="G189" s="123">
        <v>144440.38039502563</v>
      </c>
    </row>
    <row r="190" spans="4:7" x14ac:dyDescent="0.3">
      <c r="D190" s="16">
        <v>882</v>
      </c>
      <c r="E190" s="123">
        <v>17234</v>
      </c>
      <c r="F190" s="33">
        <v>15758.961228968546</v>
      </c>
      <c r="G190" s="123">
        <v>157589.61228968546</v>
      </c>
    </row>
    <row r="191" spans="4:7" x14ac:dyDescent="0.3">
      <c r="D191" s="16">
        <v>883</v>
      </c>
      <c r="E191" s="123">
        <v>13257</v>
      </c>
      <c r="F191" s="33">
        <v>12122.348207754207</v>
      </c>
      <c r="G191" s="123">
        <v>121223.48207754207</v>
      </c>
    </row>
    <row r="192" spans="4:7" x14ac:dyDescent="0.3">
      <c r="D192" s="16">
        <v>884</v>
      </c>
      <c r="E192" s="123">
        <v>4448</v>
      </c>
      <c r="F192" s="33">
        <v>4067.3006583760061</v>
      </c>
      <c r="G192" s="123">
        <v>40673.006583760063</v>
      </c>
    </row>
    <row r="193" spans="4:7" x14ac:dyDescent="0.3">
      <c r="D193" s="16">
        <v>885</v>
      </c>
      <c r="E193" s="123">
        <v>1850</v>
      </c>
      <c r="F193" s="33">
        <v>1691.6605705925385</v>
      </c>
      <c r="G193" s="123">
        <v>16916.605705925387</v>
      </c>
    </row>
    <row r="194" spans="4:7" x14ac:dyDescent="0.3">
      <c r="D194" s="16">
        <v>886</v>
      </c>
      <c r="E194" s="123">
        <v>12863</v>
      </c>
      <c r="F194" s="33">
        <v>11762.070226773958</v>
      </c>
      <c r="G194" s="123">
        <v>117620.70226773957</v>
      </c>
    </row>
    <row r="195" spans="4:7" x14ac:dyDescent="0.3">
      <c r="D195" s="16">
        <v>887</v>
      </c>
      <c r="E195" s="123">
        <v>4262</v>
      </c>
      <c r="F195" s="33">
        <v>3897.2201901975131</v>
      </c>
      <c r="G195" s="123">
        <v>38972.201901975131</v>
      </c>
    </row>
    <row r="196" spans="4:7" x14ac:dyDescent="0.3">
      <c r="D196" s="16">
        <v>888</v>
      </c>
      <c r="E196" s="123">
        <v>4440</v>
      </c>
      <c r="F196" s="33">
        <v>4059.9853694220924</v>
      </c>
      <c r="G196" s="123">
        <v>40599.853694220925</v>
      </c>
    </row>
    <row r="197" spans="4:7" x14ac:dyDescent="0.3">
      <c r="D197" s="16">
        <v>889</v>
      </c>
      <c r="E197" s="123">
        <v>16998</v>
      </c>
      <c r="F197" s="33">
        <v>15543.160204828093</v>
      </c>
      <c r="G197" s="123">
        <v>155431.60204828094</v>
      </c>
    </row>
    <row r="198" spans="4:7" x14ac:dyDescent="0.3">
      <c r="D198" s="16">
        <v>890</v>
      </c>
      <c r="E198" s="123">
        <v>15007</v>
      </c>
      <c r="F198" s="33">
        <v>13722.567666422825</v>
      </c>
      <c r="G198" s="123">
        <v>137225.67666422826</v>
      </c>
    </row>
    <row r="199" spans="4:7" x14ac:dyDescent="0.3">
      <c r="D199" s="16">
        <v>891</v>
      </c>
      <c r="E199" s="123">
        <v>36453</v>
      </c>
      <c r="F199" s="33">
        <v>33333.028529626921</v>
      </c>
      <c r="G199" s="123">
        <v>333330.28529626923</v>
      </c>
    </row>
    <row r="200" spans="4:7" x14ac:dyDescent="0.3">
      <c r="D200" s="16">
        <v>892</v>
      </c>
      <c r="E200" s="123">
        <v>18007</v>
      </c>
      <c r="F200" s="33">
        <v>16465.801024140455</v>
      </c>
      <c r="G200" s="123">
        <v>164658.01024140455</v>
      </c>
    </row>
    <row r="201" spans="4:7" x14ac:dyDescent="0.3">
      <c r="D201" s="16">
        <v>893</v>
      </c>
      <c r="E201" s="123">
        <v>19462</v>
      </c>
      <c r="F201" s="33">
        <v>17796.269202633506</v>
      </c>
      <c r="G201" s="123">
        <v>213555.23043160207</v>
      </c>
    </row>
    <row r="202" spans="4:7" x14ac:dyDescent="0.3">
      <c r="D202" s="16">
        <v>894</v>
      </c>
      <c r="E202" s="123">
        <v>2846</v>
      </c>
      <c r="F202" s="33">
        <v>2602.4140453547916</v>
      </c>
      <c r="G202" s="123">
        <v>31228.968544257499</v>
      </c>
    </row>
    <row r="203" spans="4:7" x14ac:dyDescent="0.3">
      <c r="D203" s="16">
        <v>895</v>
      </c>
      <c r="E203" s="123">
        <v>8529</v>
      </c>
      <c r="F203" s="33">
        <v>7799.0124359912224</v>
      </c>
      <c r="G203" s="123">
        <v>93588.149231894669</v>
      </c>
    </row>
    <row r="204" spans="4:7" x14ac:dyDescent="0.3">
      <c r="D204" s="16">
        <v>896</v>
      </c>
      <c r="E204" s="123">
        <v>13770</v>
      </c>
      <c r="F204" s="33">
        <v>12591.441111923921</v>
      </c>
      <c r="G204" s="123">
        <v>151097.29334308705</v>
      </c>
    </row>
    <row r="205" spans="4:7" x14ac:dyDescent="0.3">
      <c r="D205" s="16">
        <v>897</v>
      </c>
      <c r="E205" s="123">
        <v>9238</v>
      </c>
      <c r="F205" s="33">
        <v>8447.3299195318214</v>
      </c>
      <c r="G205" s="123">
        <v>101367.95903438186</v>
      </c>
    </row>
    <row r="206" spans="4:7" x14ac:dyDescent="0.3">
      <c r="D206" s="16">
        <v>898</v>
      </c>
      <c r="E206" s="123">
        <v>6756</v>
      </c>
      <c r="F206" s="33">
        <v>6177.7615215801034</v>
      </c>
      <c r="G206" s="123">
        <v>74133.138258961233</v>
      </c>
    </row>
    <row r="207" spans="4:7" x14ac:dyDescent="0.3">
      <c r="D207" s="16" t="s">
        <v>294</v>
      </c>
      <c r="E207" s="123">
        <v>3124</v>
      </c>
      <c r="F207" s="33">
        <v>2856.620336503292</v>
      </c>
      <c r="G207" s="123">
        <v>34279.444038039503</v>
      </c>
    </row>
    <row r="208" spans="4:7" x14ac:dyDescent="0.3">
      <c r="D208" s="16" t="s">
        <v>295</v>
      </c>
      <c r="E208" s="123">
        <v>1928</v>
      </c>
      <c r="F208" s="33">
        <v>1762.984637893197</v>
      </c>
      <c r="G208" s="123">
        <v>21155.815654718364</v>
      </c>
    </row>
    <row r="209" spans="4:7" x14ac:dyDescent="0.3">
      <c r="D209" s="16" t="s">
        <v>296</v>
      </c>
      <c r="E209" s="123">
        <v>2578</v>
      </c>
      <c r="F209" s="33">
        <v>2357.3518653986835</v>
      </c>
      <c r="G209" s="123">
        <v>28288.222384784203</v>
      </c>
    </row>
    <row r="210" spans="4:7" x14ac:dyDescent="0.3">
      <c r="D210" s="16" t="s">
        <v>297</v>
      </c>
      <c r="E210" s="123">
        <v>4162</v>
      </c>
      <c r="F210" s="33">
        <v>3805.7790782735919</v>
      </c>
      <c r="G210" s="123">
        <v>45669.348939283103</v>
      </c>
    </row>
    <row r="211" spans="4:7" x14ac:dyDescent="0.3">
      <c r="D211" s="16" t="s">
        <v>298</v>
      </c>
      <c r="E211" s="123">
        <v>1384</v>
      </c>
      <c r="F211" s="33">
        <v>1265.5449890270668</v>
      </c>
      <c r="G211" s="123">
        <v>15186.539868324802</v>
      </c>
    </row>
    <row r="212" spans="4:7" x14ac:dyDescent="0.3">
      <c r="D212" s="16">
        <v>901</v>
      </c>
      <c r="E212" s="123">
        <v>15367</v>
      </c>
      <c r="F212" s="33">
        <v>14051.755669348941</v>
      </c>
      <c r="G212" s="123">
        <v>168621.06803218729</v>
      </c>
    </row>
    <row r="213" spans="4:7" x14ac:dyDescent="0.3">
      <c r="D213" s="16">
        <v>902</v>
      </c>
      <c r="E213" s="123"/>
      <c r="F213" s="33">
        <v>0</v>
      </c>
      <c r="G213" s="123"/>
    </row>
    <row r="214" spans="4:7" x14ac:dyDescent="0.3">
      <c r="D214" s="16">
        <v>903</v>
      </c>
      <c r="E214" s="123">
        <v>8722</v>
      </c>
      <c r="F214" s="33">
        <v>7975.4937820043897</v>
      </c>
      <c r="G214" s="123">
        <v>95705.92538405268</v>
      </c>
    </row>
    <row r="215" spans="4:7" x14ac:dyDescent="0.3">
      <c r="D215" s="16">
        <v>904</v>
      </c>
      <c r="E215" s="123">
        <v>7570</v>
      </c>
      <c r="F215" s="33">
        <v>6922.0921726408196</v>
      </c>
      <c r="G215" s="123">
        <v>83065.106071689836</v>
      </c>
    </row>
    <row r="216" spans="4:7" x14ac:dyDescent="0.3">
      <c r="D216" s="16">
        <v>905</v>
      </c>
      <c r="E216" s="123">
        <v>6580</v>
      </c>
      <c r="F216" s="33">
        <v>6016.8251645940018</v>
      </c>
      <c r="G216" s="123">
        <v>54151.426481346018</v>
      </c>
    </row>
    <row r="217" spans="4:7" x14ac:dyDescent="0.3">
      <c r="D217" s="16">
        <v>906</v>
      </c>
      <c r="E217" s="123">
        <v>4202</v>
      </c>
      <c r="F217" s="33">
        <v>3842.3555230431607</v>
      </c>
      <c r="G217" s="123">
        <v>40344.732991953184</v>
      </c>
    </row>
    <row r="218" spans="4:7" x14ac:dyDescent="0.3">
      <c r="D218" s="16">
        <v>907</v>
      </c>
      <c r="E218" s="123">
        <v>12967</v>
      </c>
      <c r="F218" s="33">
        <v>11857.168983174837</v>
      </c>
      <c r="G218" s="123">
        <v>118571.68983174837</v>
      </c>
    </row>
    <row r="219" spans="4:7" x14ac:dyDescent="0.3">
      <c r="D219" s="16">
        <v>908</v>
      </c>
      <c r="E219" s="123">
        <v>15228</v>
      </c>
      <c r="F219" s="33">
        <v>13924.65252377469</v>
      </c>
      <c r="G219" s="123">
        <v>139246.52523774689</v>
      </c>
    </row>
    <row r="220" spans="4:7" x14ac:dyDescent="0.3">
      <c r="D220" s="16">
        <v>909</v>
      </c>
      <c r="E220" s="123">
        <v>16294</v>
      </c>
      <c r="F220" s="33">
        <v>14899.414776883688</v>
      </c>
      <c r="G220" s="123">
        <v>148994.14776883688</v>
      </c>
    </row>
    <row r="221" spans="4:7" x14ac:dyDescent="0.3">
      <c r="D221" s="16">
        <v>910</v>
      </c>
      <c r="E221" s="123">
        <v>13202</v>
      </c>
      <c r="F221" s="33">
        <v>12072.055596196051</v>
      </c>
      <c r="G221" s="123">
        <v>108648.50036576446</v>
      </c>
    </row>
    <row r="222" spans="4:7" x14ac:dyDescent="0.3">
      <c r="D222" s="16">
        <v>911</v>
      </c>
      <c r="E222" s="123">
        <v>4484</v>
      </c>
      <c r="F222" s="33">
        <v>4100.2194586686173</v>
      </c>
      <c r="G222" s="123">
        <v>41002.194586686172</v>
      </c>
    </row>
    <row r="223" spans="4:7" x14ac:dyDescent="0.3">
      <c r="D223" s="16">
        <v>912</v>
      </c>
      <c r="E223" s="123">
        <v>12094</v>
      </c>
      <c r="F223" s="33">
        <v>11058.888076079005</v>
      </c>
      <c r="G223" s="123">
        <v>110588.88076079005</v>
      </c>
    </row>
    <row r="224" spans="4:7" x14ac:dyDescent="0.3">
      <c r="D224" s="16">
        <v>913</v>
      </c>
      <c r="E224" s="123">
        <v>11836</v>
      </c>
      <c r="F224" s="33">
        <v>10822.970007315291</v>
      </c>
      <c r="G224" s="123">
        <v>108229.70007315291</v>
      </c>
    </row>
    <row r="225" spans="4:7" x14ac:dyDescent="0.3">
      <c r="D225" s="16">
        <v>914</v>
      </c>
      <c r="E225" s="123">
        <v>2505</v>
      </c>
      <c r="F225" s="33">
        <v>2290.5998536942211</v>
      </c>
      <c r="G225" s="123">
        <v>22905.99853694221</v>
      </c>
    </row>
    <row r="226" spans="4:7" x14ac:dyDescent="0.3">
      <c r="D226" s="16">
        <v>915</v>
      </c>
      <c r="E226" s="123">
        <v>8464</v>
      </c>
      <c r="F226" s="33">
        <v>7739.5757132406734</v>
      </c>
      <c r="G226" s="123">
        <v>69656.181419166067</v>
      </c>
    </row>
    <row r="227" spans="4:7" x14ac:dyDescent="0.3">
      <c r="D227" s="16">
        <v>916</v>
      </c>
      <c r="E227" s="123">
        <v>27378</v>
      </c>
      <c r="F227" s="33">
        <v>25034.747622531093</v>
      </c>
      <c r="G227" s="123">
        <v>250347.47622531094</v>
      </c>
    </row>
    <row r="228" spans="4:7" x14ac:dyDescent="0.3">
      <c r="D228" s="16">
        <v>917</v>
      </c>
      <c r="E228" s="123">
        <v>2122</v>
      </c>
      <c r="F228" s="33">
        <v>1940.3803950256038</v>
      </c>
      <c r="G228" s="123">
        <v>19403.803950256039</v>
      </c>
    </row>
    <row r="229" spans="4:7" x14ac:dyDescent="0.3">
      <c r="D229" s="16">
        <v>918</v>
      </c>
      <c r="E229" s="123">
        <v>5121</v>
      </c>
      <c r="F229" s="33">
        <v>4682.6993416239948</v>
      </c>
      <c r="G229" s="123">
        <v>46826.993416239944</v>
      </c>
    </row>
    <row r="230" spans="4:7" x14ac:dyDescent="0.3">
      <c r="D230" s="16">
        <v>919</v>
      </c>
      <c r="E230" s="123">
        <v>40366</v>
      </c>
      <c r="F230" s="33">
        <v>36911.119239209955</v>
      </c>
      <c r="G230" s="123">
        <v>369111.19239209953</v>
      </c>
    </row>
    <row r="231" spans="4:7" x14ac:dyDescent="0.3">
      <c r="D231" s="16">
        <v>920</v>
      </c>
      <c r="E231" s="123">
        <v>1976</v>
      </c>
      <c r="F231" s="33">
        <v>1806.8763716166791</v>
      </c>
      <c r="G231" s="123">
        <v>18068.763716166792</v>
      </c>
    </row>
    <row r="232" spans="4:7" x14ac:dyDescent="0.3">
      <c r="D232" s="16">
        <v>921</v>
      </c>
      <c r="E232" s="123">
        <v>15019</v>
      </c>
      <c r="F232" s="33">
        <v>13733.540599853695</v>
      </c>
      <c r="G232" s="123">
        <v>137335.40599853697</v>
      </c>
    </row>
    <row r="233" spans="4:7" x14ac:dyDescent="0.3">
      <c r="D233" s="16">
        <v>922</v>
      </c>
      <c r="E233" s="123">
        <v>13539</v>
      </c>
      <c r="F233" s="33">
        <v>12380.212143379664</v>
      </c>
      <c r="G233" s="123">
        <v>123802.12143379664</v>
      </c>
    </row>
    <row r="234" spans="4:7" x14ac:dyDescent="0.3">
      <c r="D234" s="16">
        <v>923</v>
      </c>
      <c r="E234" s="123">
        <v>13390</v>
      </c>
      <c r="F234" s="33">
        <v>12243.964886613023</v>
      </c>
      <c r="G234" s="123">
        <v>122439.64886613023</v>
      </c>
    </row>
    <row r="235" spans="4:7" x14ac:dyDescent="0.3">
      <c r="D235" s="16">
        <v>924</v>
      </c>
      <c r="E235" s="123">
        <v>1718</v>
      </c>
      <c r="F235" s="33">
        <v>1570.9583028529628</v>
      </c>
      <c r="G235" s="123">
        <v>14138.624725676666</v>
      </c>
    </row>
    <row r="236" spans="4:7" x14ac:dyDescent="0.3">
      <c r="D236" s="16">
        <v>925</v>
      </c>
      <c r="E236" s="123">
        <v>4796</v>
      </c>
      <c r="F236" s="33">
        <v>4385.5157278712513</v>
      </c>
      <c r="G236" s="123">
        <v>39469.641550841261</v>
      </c>
    </row>
    <row r="237" spans="4:7" x14ac:dyDescent="0.3">
      <c r="D237" s="16">
        <v>926</v>
      </c>
      <c r="E237" s="123">
        <v>15287</v>
      </c>
      <c r="F237" s="33">
        <v>13978.602779809804</v>
      </c>
      <c r="G237" s="123">
        <v>125807.42501828824</v>
      </c>
    </row>
    <row r="238" spans="4:7" x14ac:dyDescent="0.3">
      <c r="D238" s="16">
        <v>927</v>
      </c>
      <c r="E238" s="123">
        <v>11620</v>
      </c>
      <c r="F238" s="33">
        <v>10625.45720555962</v>
      </c>
      <c r="G238" s="123">
        <v>95629.114850036582</v>
      </c>
    </row>
    <row r="239" spans="4:7" x14ac:dyDescent="0.3">
      <c r="D239" s="16">
        <v>928</v>
      </c>
      <c r="E239" s="123">
        <v>4282</v>
      </c>
      <c r="F239" s="33">
        <v>3915.5084125822973</v>
      </c>
      <c r="G239" s="123">
        <v>39155.08412582297</v>
      </c>
    </row>
    <row r="240" spans="4:7" x14ac:dyDescent="0.3">
      <c r="D240" s="16">
        <v>929</v>
      </c>
      <c r="E240" s="123">
        <v>2298</v>
      </c>
      <c r="F240" s="33">
        <v>2101.3167520117045</v>
      </c>
      <c r="G240" s="123">
        <v>21013.167520117044</v>
      </c>
    </row>
    <row r="241" spans="4:7" x14ac:dyDescent="0.3">
      <c r="D241" s="16">
        <v>930</v>
      </c>
      <c r="E241" s="123">
        <v>15522</v>
      </c>
      <c r="F241" s="33">
        <v>14193.489392831018</v>
      </c>
      <c r="G241" s="123">
        <v>141934.89392831016</v>
      </c>
    </row>
    <row r="242" spans="4:7" x14ac:dyDescent="0.3">
      <c r="D242" s="16">
        <v>931</v>
      </c>
      <c r="E242" s="123">
        <v>27343</v>
      </c>
      <c r="F242" s="33">
        <v>25002.74323335772</v>
      </c>
      <c r="G242" s="123">
        <v>250027.43233357719</v>
      </c>
    </row>
    <row r="243" spans="4:7" x14ac:dyDescent="0.3">
      <c r="D243" s="16">
        <v>932</v>
      </c>
      <c r="E243" s="123">
        <v>18406</v>
      </c>
      <c r="F243" s="33">
        <v>16830.6510607169</v>
      </c>
      <c r="G243" s="123">
        <v>168306.51060716901</v>
      </c>
    </row>
    <row r="244" spans="4:7" x14ac:dyDescent="0.3">
      <c r="D244" s="16">
        <v>933</v>
      </c>
      <c r="E244" s="123">
        <v>9750</v>
      </c>
      <c r="F244" s="33">
        <v>8915.5084125822978</v>
      </c>
      <c r="G244" s="123">
        <v>89155.084125822978</v>
      </c>
    </row>
    <row r="245" spans="4:7" x14ac:dyDescent="0.3">
      <c r="D245" s="16">
        <v>934</v>
      </c>
      <c r="E245" s="123">
        <v>5190</v>
      </c>
      <c r="F245" s="33">
        <v>4745.7937088515</v>
      </c>
      <c r="G245" s="123">
        <v>42712.143379663503</v>
      </c>
    </row>
    <row r="246" spans="4:7" x14ac:dyDescent="0.3">
      <c r="D246" s="16">
        <v>935</v>
      </c>
      <c r="E246" s="123">
        <v>2122</v>
      </c>
      <c r="F246" s="33">
        <v>1940.3803950256038</v>
      </c>
      <c r="G246" s="123">
        <v>17463.423555230434</v>
      </c>
    </row>
    <row r="247" spans="4:7" x14ac:dyDescent="0.3">
      <c r="D247" s="16">
        <v>936</v>
      </c>
      <c r="E247" s="123">
        <v>25630</v>
      </c>
      <c r="F247" s="33">
        <v>23436.356986100953</v>
      </c>
      <c r="G247" s="123">
        <v>234363.56986100954</v>
      </c>
    </row>
    <row r="248" spans="4:7" x14ac:dyDescent="0.3">
      <c r="D248" s="16">
        <v>937</v>
      </c>
      <c r="E248" s="123">
        <v>7058</v>
      </c>
      <c r="F248" s="33">
        <v>6453.9136795903441</v>
      </c>
      <c r="G248" s="123">
        <v>64539.13679590344</v>
      </c>
    </row>
    <row r="249" spans="4:7" x14ac:dyDescent="0.3">
      <c r="D249" s="16">
        <v>938</v>
      </c>
      <c r="E249" s="123">
        <v>22380</v>
      </c>
      <c r="F249" s="33">
        <v>20464.52084857352</v>
      </c>
      <c r="G249" s="123">
        <v>204645.2084857352</v>
      </c>
    </row>
    <row r="250" spans="4:7" x14ac:dyDescent="0.3">
      <c r="D250" s="16">
        <v>939</v>
      </c>
      <c r="E250" s="123">
        <v>8592</v>
      </c>
      <c r="F250" s="33">
        <v>7856.6203365032925</v>
      </c>
      <c r="G250" s="123">
        <v>78566.203365032925</v>
      </c>
    </row>
    <row r="251" spans="4:7" x14ac:dyDescent="0.3">
      <c r="D251" s="16">
        <v>940</v>
      </c>
      <c r="E251" s="123">
        <v>9142</v>
      </c>
      <c r="F251" s="33">
        <v>8359.5464520848582</v>
      </c>
      <c r="G251" s="123">
        <v>83595.464520848589</v>
      </c>
    </row>
    <row r="252" spans="4:7" x14ac:dyDescent="0.3">
      <c r="D252" s="16">
        <v>941</v>
      </c>
      <c r="E252" s="123">
        <v>26118</v>
      </c>
      <c r="F252" s="33">
        <v>23882.589612289688</v>
      </c>
      <c r="G252" s="123">
        <v>238825.89612289687</v>
      </c>
    </row>
    <row r="253" spans="4:7" x14ac:dyDescent="0.3">
      <c r="D253" s="16">
        <v>942</v>
      </c>
      <c r="E253" s="123">
        <v>1984</v>
      </c>
      <c r="F253" s="33">
        <v>1814.1916605705926</v>
      </c>
      <c r="G253" s="123">
        <v>18141.916605705926</v>
      </c>
    </row>
    <row r="254" spans="4:7" x14ac:dyDescent="0.3">
      <c r="D254" s="16">
        <v>943</v>
      </c>
      <c r="E254" s="123">
        <v>42155</v>
      </c>
      <c r="F254" s="33">
        <v>38547.000731528897</v>
      </c>
      <c r="G254" s="123">
        <v>385470.007315289</v>
      </c>
    </row>
    <row r="255" spans="4:7" x14ac:dyDescent="0.3">
      <c r="D255" s="16">
        <v>944</v>
      </c>
      <c r="E255" s="123">
        <v>6192</v>
      </c>
      <c r="F255" s="33">
        <v>5662.0336503291883</v>
      </c>
      <c r="G255" s="123">
        <v>56620.336503291881</v>
      </c>
    </row>
    <row r="256" spans="4:7" x14ac:dyDescent="0.3">
      <c r="D256" s="16">
        <v>945</v>
      </c>
      <c r="E256" s="123">
        <v>9808</v>
      </c>
      <c r="F256" s="33">
        <v>8968.5442574981716</v>
      </c>
      <c r="G256" s="123">
        <v>89685.442574981716</v>
      </c>
    </row>
    <row r="257" spans="4:7" x14ac:dyDescent="0.3">
      <c r="D257" s="16">
        <v>946</v>
      </c>
      <c r="E257" s="123">
        <v>10656</v>
      </c>
      <c r="F257" s="33">
        <v>9743.9648866130228</v>
      </c>
      <c r="G257" s="123">
        <v>97439.648866130228</v>
      </c>
    </row>
    <row r="258" spans="4:7" x14ac:dyDescent="0.3">
      <c r="D258" s="16">
        <v>947</v>
      </c>
      <c r="E258" s="123">
        <v>18522</v>
      </c>
      <c r="F258" s="33">
        <v>16936.722750548648</v>
      </c>
      <c r="G258" s="123">
        <v>169367.22750548649</v>
      </c>
    </row>
    <row r="259" spans="4:7" x14ac:dyDescent="0.3">
      <c r="D259" s="16">
        <v>948</v>
      </c>
      <c r="E259" s="123">
        <v>18250</v>
      </c>
      <c r="F259" s="33">
        <v>16688.002926115583</v>
      </c>
      <c r="G259" s="123">
        <v>166880.02926115584</v>
      </c>
    </row>
    <row r="260" spans="4:7" x14ac:dyDescent="0.3">
      <c r="D260" s="16">
        <v>949</v>
      </c>
      <c r="E260" s="123">
        <v>24172</v>
      </c>
      <c r="F260" s="33">
        <v>22103.145574250186</v>
      </c>
      <c r="G260" s="123">
        <v>221031.45574250186</v>
      </c>
    </row>
    <row r="261" spans="4:7" x14ac:dyDescent="0.3">
      <c r="D261" s="16" t="s">
        <v>28</v>
      </c>
      <c r="E261" s="123">
        <v>1551549</v>
      </c>
      <c r="F261" s="33">
        <v>3816688.0029261168</v>
      </c>
      <c r="G261" s="123">
        <v>38726989.802706659</v>
      </c>
    </row>
    <row r="262" spans="4:7" x14ac:dyDescent="0.3">
      <c r="D262"/>
      <c r="E262"/>
      <c r="F262"/>
      <c r="G262"/>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64"/>
  <sheetViews>
    <sheetView topLeftCell="A10" zoomScale="122" zoomScaleNormal="165" workbookViewId="0">
      <selection activeCell="J43" sqref="J4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hidden="1" x14ac:dyDescent="0.3">
      <c r="A6" s="1">
        <v>45916</v>
      </c>
      <c r="B6" t="s">
        <v>98</v>
      </c>
      <c r="C6" t="s">
        <v>170</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7236235</v>
      </c>
    </row>
    <row r="15" spans="1:14" hidden="1" x14ac:dyDescent="0.3">
      <c r="A15" s="1">
        <v>45919</v>
      </c>
      <c r="B15" t="s">
        <v>98</v>
      </c>
      <c r="C15" t="s">
        <v>361</v>
      </c>
      <c r="D15" s="11">
        <v>35</v>
      </c>
      <c r="E15" s="11">
        <v>765</v>
      </c>
      <c r="F15" s="11"/>
      <c r="G15" s="114">
        <f t="shared" si="2"/>
        <v>26775</v>
      </c>
      <c r="H15" s="11"/>
      <c r="I15" s="11">
        <f>(D15*E15)-Table3[[#This Row],[Paid]]</f>
        <v>26775</v>
      </c>
    </row>
    <row r="16" spans="1:14" hidden="1"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hidden="1" x14ac:dyDescent="0.3">
      <c r="A17" s="1">
        <v>45920</v>
      </c>
      <c r="B17" t="s">
        <v>98</v>
      </c>
      <c r="C17" t="s">
        <v>210</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98</v>
      </c>
      <c r="C23" t="s">
        <v>218</v>
      </c>
      <c r="D23" s="11">
        <v>140</v>
      </c>
      <c r="E23" s="11">
        <v>810</v>
      </c>
      <c r="F23" s="11"/>
      <c r="G23" s="114">
        <f>D23*E23</f>
        <v>113400</v>
      </c>
      <c r="H23" s="11"/>
      <c r="I23" s="11">
        <f>(D23*E23)-Table3[[#This Row],[Paid]]</f>
        <v>113400</v>
      </c>
    </row>
    <row r="24" spans="1:11" hidden="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hidden="1" x14ac:dyDescent="0.3">
      <c r="A26" s="1">
        <v>45923</v>
      </c>
      <c r="B26" t="s">
        <v>98</v>
      </c>
      <c r="C26" t="s">
        <v>234</v>
      </c>
      <c r="D26" s="11">
        <v>100</v>
      </c>
      <c r="E26" s="11">
        <v>765</v>
      </c>
      <c r="F26" s="11">
        <v>34500</v>
      </c>
      <c r="G26" s="114">
        <f t="shared" ref="G26:G30" si="3">D26*E26</f>
        <v>76500</v>
      </c>
      <c r="H26" s="11"/>
      <c r="I26" s="11">
        <f>(D26*E26)-Table3[[#This Row],[Paid]]</f>
        <v>76500</v>
      </c>
    </row>
    <row r="27" spans="1:11" hidden="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hidden="1" x14ac:dyDescent="0.3">
      <c r="A29" s="1">
        <v>45923</v>
      </c>
      <c r="B29" t="s">
        <v>98</v>
      </c>
      <c r="C29" t="s">
        <v>238</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hidden="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hidden="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159</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159</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159</v>
      </c>
      <c r="D35" s="11">
        <v>44</v>
      </c>
      <c r="E35" s="11">
        <v>580</v>
      </c>
      <c r="F35" s="11"/>
      <c r="G35" s="11">
        <f t="shared" ref="G35:G41" si="5">D35*E35</f>
        <v>25520</v>
      </c>
      <c r="H35" s="11"/>
      <c r="I35" s="11">
        <f>(D35*E35)-Table3[[#This Row],[Paid]]</f>
        <v>25520</v>
      </c>
    </row>
    <row r="36" spans="1:12" hidden="1" x14ac:dyDescent="0.3">
      <c r="A36" s="1">
        <v>45926</v>
      </c>
      <c r="B36" t="s">
        <v>98</v>
      </c>
      <c r="C36" t="s">
        <v>362</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hidden="1" x14ac:dyDescent="0.3">
      <c r="A37" s="1">
        <v>45926</v>
      </c>
      <c r="B37" t="s">
        <v>98</v>
      </c>
      <c r="C37" t="s">
        <v>258</v>
      </c>
      <c r="D37" s="11">
        <v>305</v>
      </c>
      <c r="E37" s="11">
        <v>810</v>
      </c>
      <c r="F37" s="11">
        <v>49400</v>
      </c>
      <c r="G37" s="114">
        <f t="shared" si="5"/>
        <v>247050</v>
      </c>
      <c r="H37" s="11"/>
      <c r="I37" s="11">
        <f>(D37*E37)-Table3[[#This Row],[Paid]]</f>
        <v>247050</v>
      </c>
    </row>
    <row r="38" spans="1:12" hidden="1" x14ac:dyDescent="0.3">
      <c r="A38" s="1">
        <v>45927</v>
      </c>
      <c r="B38" t="s">
        <v>98</v>
      </c>
      <c r="C38" t="s">
        <v>270</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hidden="1" x14ac:dyDescent="0.3">
      <c r="A39" s="1">
        <v>45927</v>
      </c>
      <c r="B39" t="s">
        <v>98</v>
      </c>
      <c r="C39" t="s">
        <v>270</v>
      </c>
      <c r="D39" s="11">
        <v>147</v>
      </c>
      <c r="E39" s="11">
        <v>810</v>
      </c>
      <c r="F39" s="11"/>
      <c r="G39" s="114">
        <f t="shared" si="5"/>
        <v>119070</v>
      </c>
      <c r="H39" s="11"/>
      <c r="I39" s="11">
        <f>(D39*E39)-Table3[[#This Row],[Paid]]</f>
        <v>119070</v>
      </c>
    </row>
    <row r="40" spans="1:12" hidden="1" x14ac:dyDescent="0.3">
      <c r="A40" s="1">
        <v>45928</v>
      </c>
      <c r="B40" t="s">
        <v>98</v>
      </c>
      <c r="C40" t="s">
        <v>275</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hidden="1" x14ac:dyDescent="0.3">
      <c r="A41" s="1">
        <v>45928</v>
      </c>
      <c r="B41" t="s">
        <v>98</v>
      </c>
      <c r="C41" t="s">
        <v>276</v>
      </c>
      <c r="D41" s="11">
        <v>241</v>
      </c>
      <c r="E41" s="11">
        <v>810</v>
      </c>
      <c r="F41" s="11">
        <v>40000</v>
      </c>
      <c r="G41" s="114">
        <f t="shared" si="5"/>
        <v>195210</v>
      </c>
      <c r="H41" s="11"/>
      <c r="I41" s="11">
        <f>(D41*E41)-Table3[[#This Row],[Paid]]</f>
        <v>195210</v>
      </c>
      <c r="L41" s="14"/>
    </row>
    <row r="42" spans="1:12" x14ac:dyDescent="0.3">
      <c r="A42" s="1">
        <v>45928</v>
      </c>
      <c r="B42" t="s">
        <v>159</v>
      </c>
      <c r="D42" s="11">
        <v>35</v>
      </c>
      <c r="E42" s="11">
        <v>580</v>
      </c>
      <c r="F42" s="11"/>
      <c r="G42" s="11">
        <f t="shared" ref="G42:G46" si="6">D42*E42</f>
        <v>20300</v>
      </c>
      <c r="H42" s="11"/>
      <c r="I42" s="11">
        <f>(D42*E42)-Table3[[#This Row],[Paid]]</f>
        <v>20300</v>
      </c>
      <c r="L42" s="14">
        <f>I2-Table3[[#Totals],[balance]]</f>
        <v>2290527</v>
      </c>
    </row>
    <row r="43" spans="1:12" x14ac:dyDescent="0.3">
      <c r="A43" s="1">
        <v>45928</v>
      </c>
      <c r="B43" t="s">
        <v>159</v>
      </c>
      <c r="D43" s="11">
        <v>42</v>
      </c>
      <c r="E43" s="11">
        <v>580</v>
      </c>
      <c r="F43" s="11"/>
      <c r="G43" s="11">
        <f t="shared" si="6"/>
        <v>24360</v>
      </c>
      <c r="H43" s="11"/>
      <c r="I43" s="11">
        <f>(D43*E43)-Table3[[#This Row],[Paid]]</f>
        <v>24360</v>
      </c>
    </row>
    <row r="44" spans="1:12" x14ac:dyDescent="0.3">
      <c r="A44" s="1">
        <v>45928</v>
      </c>
      <c r="B44" t="s">
        <v>159</v>
      </c>
      <c r="D44" s="11">
        <v>173</v>
      </c>
      <c r="E44" s="11">
        <v>580</v>
      </c>
      <c r="F44" s="11"/>
      <c r="G44" s="11">
        <f t="shared" si="6"/>
        <v>100340</v>
      </c>
      <c r="H44" s="11"/>
      <c r="I44" s="11">
        <f>(D44*E44)-Table3[[#This Row],[Paid]]</f>
        <v>100340</v>
      </c>
    </row>
    <row r="45" spans="1:12" x14ac:dyDescent="0.3">
      <c r="A45" s="1">
        <v>45928</v>
      </c>
      <c r="B45" t="s">
        <v>159</v>
      </c>
      <c r="D45" s="11">
        <v>49</v>
      </c>
      <c r="E45" s="11">
        <v>580</v>
      </c>
      <c r="F45" s="11"/>
      <c r="G45" s="11">
        <f t="shared" si="6"/>
        <v>28420</v>
      </c>
      <c r="H45" s="11"/>
      <c r="I45" s="11">
        <f>(D45*E45)-Table3[[#This Row],[Paid]]</f>
        <v>28420</v>
      </c>
    </row>
    <row r="46" spans="1:12" hidden="1" x14ac:dyDescent="0.3">
      <c r="A46" s="1">
        <v>45929</v>
      </c>
      <c r="B46" t="s">
        <v>98</v>
      </c>
      <c r="C46" t="s">
        <v>282</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hidden="1" x14ac:dyDescent="0.3">
      <c r="A47" s="1">
        <v>45930</v>
      </c>
      <c r="B47" t="s">
        <v>98</v>
      </c>
      <c r="C47" t="s">
        <v>293</v>
      </c>
      <c r="D47" s="11">
        <v>252</v>
      </c>
      <c r="E47" s="11">
        <v>810</v>
      </c>
      <c r="F47" s="11">
        <v>41060</v>
      </c>
      <c r="G47" s="11">
        <f>D47*E47</f>
        <v>204120</v>
      </c>
      <c r="H47" s="11">
        <f>SUMIFS(Table14[Debit], Table14[Date], Table3[[#This Row],[Date]], Table14[Party], Table3[[#This Row],[Party Name]])</f>
        <v>341390</v>
      </c>
      <c r="I47" s="11">
        <f>(D47*E47)-Table3[[#This Row],[Paid]]</f>
        <v>-137270</v>
      </c>
    </row>
    <row r="48" spans="1:12" hidden="1" x14ac:dyDescent="0.3">
      <c r="A48" s="1">
        <v>45931</v>
      </c>
      <c r="B48" t="s">
        <v>98</v>
      </c>
      <c r="C48" t="s">
        <v>300</v>
      </c>
      <c r="D48" s="11">
        <v>295</v>
      </c>
      <c r="E48" s="11">
        <v>765</v>
      </c>
      <c r="F48" s="11">
        <v>40000</v>
      </c>
      <c r="G48" s="11">
        <f>D48*E48</f>
        <v>225675</v>
      </c>
      <c r="H48" s="11">
        <f>SUMIFS(Table14[Debit], Table14[Date], Table3[[#This Row],[Date]], Table14[Party], Table3[[#This Row],[Party Name]])</f>
        <v>402560</v>
      </c>
      <c r="I48" s="11">
        <f>(D48*E48)-Table3[[#This Row],[Paid]]</f>
        <v>-176885</v>
      </c>
    </row>
    <row r="49" spans="1:9" hidden="1" x14ac:dyDescent="0.3">
      <c r="A49" s="1">
        <v>45931</v>
      </c>
      <c r="B49" t="s">
        <v>98</v>
      </c>
      <c r="C49" t="s">
        <v>301</v>
      </c>
      <c r="D49" s="11">
        <v>376</v>
      </c>
      <c r="E49" s="11">
        <v>810</v>
      </c>
      <c r="F49" s="11">
        <v>62410</v>
      </c>
      <c r="G49" s="11">
        <f>D49*E49</f>
        <v>304560</v>
      </c>
      <c r="H49" s="11"/>
      <c r="I49" s="11">
        <f>(D49*E49)-Table3[[#This Row],[Paid]]</f>
        <v>304560</v>
      </c>
    </row>
    <row r="50" spans="1:9" hidden="1" x14ac:dyDescent="0.3">
      <c r="A50" s="1">
        <v>45932</v>
      </c>
      <c r="B50" t="s">
        <v>98</v>
      </c>
      <c r="C50" t="s">
        <v>309</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hidden="1" x14ac:dyDescent="0.3">
      <c r="A51" s="1">
        <v>45932</v>
      </c>
      <c r="B51" t="s">
        <v>98</v>
      </c>
      <c r="C51" t="s">
        <v>308</v>
      </c>
      <c r="D51" s="11">
        <v>275</v>
      </c>
      <c r="E51" s="11">
        <v>810</v>
      </c>
      <c r="F51" s="11">
        <v>44420</v>
      </c>
      <c r="G51" s="11">
        <f t="shared" si="7"/>
        <v>222750</v>
      </c>
      <c r="H51" s="11"/>
      <c r="I51" s="11">
        <f>(D51*E51)-Table3[[#This Row],[Paid]]</f>
        <v>222750</v>
      </c>
    </row>
    <row r="52" spans="1:9" x14ac:dyDescent="0.3">
      <c r="A52" s="1">
        <v>45930</v>
      </c>
      <c r="B52" t="s">
        <v>159</v>
      </c>
      <c r="D52" s="11">
        <v>41</v>
      </c>
      <c r="E52" s="11">
        <v>580</v>
      </c>
      <c r="F52" s="11"/>
      <c r="G52" s="11">
        <f t="shared" si="7"/>
        <v>23780</v>
      </c>
      <c r="H52" s="11"/>
      <c r="I52" s="11">
        <f>(D52*E52)-Table3[[#This Row],[Paid]]</f>
        <v>23780</v>
      </c>
    </row>
    <row r="53" spans="1:9" hidden="1" x14ac:dyDescent="0.3">
      <c r="A53" s="1">
        <v>45930</v>
      </c>
      <c r="B53" t="s">
        <v>317</v>
      </c>
      <c r="C53">
        <v>3414</v>
      </c>
      <c r="D53" s="11">
        <v>285</v>
      </c>
      <c r="E53" s="11">
        <v>775</v>
      </c>
      <c r="F53" s="11"/>
      <c r="G53" s="11">
        <f t="shared" si="7"/>
        <v>220875</v>
      </c>
      <c r="H53" s="11"/>
      <c r="I53" s="11">
        <f>(D53*E53)-Table3[[#This Row],[Paid]]</f>
        <v>220875</v>
      </c>
    </row>
    <row r="54" spans="1:9" x14ac:dyDescent="0.3">
      <c r="A54" s="1">
        <v>45932</v>
      </c>
      <c r="B54" t="s">
        <v>159</v>
      </c>
      <c r="D54" s="11"/>
      <c r="E54" s="11"/>
      <c r="F54" s="11"/>
      <c r="G54" s="11">
        <f t="shared" si="7"/>
        <v>0</v>
      </c>
      <c r="H54" s="11">
        <f>SUMIFS(Table14[Debit], Table14[Date], Table3[[#This Row],[Date]], Table14[Party], Table3[[#This Row],[Party Name]])</f>
        <v>125000</v>
      </c>
      <c r="I54" s="11">
        <f>(D54*E54)-Table3[[#This Row],[Paid]]</f>
        <v>-125000</v>
      </c>
    </row>
    <row r="55" spans="1:9" hidden="1" x14ac:dyDescent="0.3">
      <c r="A55" s="1">
        <v>45933</v>
      </c>
      <c r="B55" t="s">
        <v>98</v>
      </c>
      <c r="C55" t="s">
        <v>320</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hidden="1" x14ac:dyDescent="0.3">
      <c r="A56" s="1">
        <v>45933</v>
      </c>
      <c r="B56" t="s">
        <v>98</v>
      </c>
      <c r="C56" t="s">
        <v>319</v>
      </c>
      <c r="D56" s="11">
        <v>443</v>
      </c>
      <c r="E56" s="11">
        <v>810</v>
      </c>
      <c r="F56" s="11">
        <v>92470</v>
      </c>
      <c r="G56" s="11">
        <f t="shared" si="7"/>
        <v>358830</v>
      </c>
      <c r="H56" s="11"/>
      <c r="I56" s="11">
        <f>(D56*E56)-Table3[[#This Row],[Paid]]</f>
        <v>358830</v>
      </c>
    </row>
    <row r="57" spans="1:9" hidden="1" x14ac:dyDescent="0.3">
      <c r="A57" s="1">
        <v>45934</v>
      </c>
      <c r="B57" t="s">
        <v>98</v>
      </c>
      <c r="C57" t="s">
        <v>336</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317</v>
      </c>
      <c r="C58" t="s">
        <v>355</v>
      </c>
      <c r="D58" s="11">
        <v>256</v>
      </c>
      <c r="E58" s="11">
        <v>775</v>
      </c>
      <c r="F58" s="11"/>
      <c r="G58" s="11">
        <f>D58*E58</f>
        <v>198400</v>
      </c>
      <c r="H58" s="11"/>
      <c r="I58" s="11">
        <f>(D58*E58)-Table3[[#This Row],[Paid]]</f>
        <v>198400</v>
      </c>
    </row>
    <row r="59" spans="1:9" hidden="1"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317</v>
      </c>
      <c r="D60" s="11"/>
      <c r="E60" s="11"/>
      <c r="F60" s="11"/>
      <c r="G60" s="11">
        <f>D60*E60</f>
        <v>0</v>
      </c>
      <c r="H60" s="11">
        <f>SUMIFS(Table14[Debit], Table14[Date], Table3[[#This Row],[Date]], Table14[Party], Table3[[#This Row],[Party Name]])</f>
        <v>219875</v>
      </c>
      <c r="I60" s="11">
        <f>(D60*E60)-Table3[[#This Row],[Paid]]</f>
        <v>-219875</v>
      </c>
    </row>
    <row r="61" spans="1:9" hidden="1" x14ac:dyDescent="0.3">
      <c r="A61" s="1">
        <v>45936</v>
      </c>
      <c r="B61" t="s">
        <v>98</v>
      </c>
      <c r="C61" t="s">
        <v>347</v>
      </c>
      <c r="D61" s="11">
        <v>292</v>
      </c>
      <c r="E61" s="11">
        <v>765</v>
      </c>
      <c r="F61" s="11">
        <v>30868</v>
      </c>
      <c r="G61" s="11">
        <f>D61*E61</f>
        <v>223380</v>
      </c>
      <c r="H61" s="11">
        <f>SUMIFS(Table14[Debit], Table14[Date], Table3[[#This Row],[Date]], Table14[Party], Table3[[#This Row],[Party Name]])</f>
        <v>141518</v>
      </c>
      <c r="I61" s="11">
        <f>(D61*E61)-Table3[[#This Row],[Paid]]</f>
        <v>81862</v>
      </c>
    </row>
    <row r="62" spans="1:9" hidden="1" x14ac:dyDescent="0.3">
      <c r="A62" s="1">
        <v>45936</v>
      </c>
      <c r="B62" t="s">
        <v>98</v>
      </c>
      <c r="C62" t="s">
        <v>348</v>
      </c>
      <c r="D62" s="11">
        <v>439</v>
      </c>
      <c r="E62" s="11">
        <v>810</v>
      </c>
      <c r="F62" s="11">
        <v>68150</v>
      </c>
      <c r="G62" s="11">
        <f t="shared" ref="G62:G65" si="8">D62*E62</f>
        <v>355590</v>
      </c>
      <c r="H62" s="11"/>
      <c r="I62" s="11">
        <f>(D62*E62)-Table3[[#This Row],[Paid]]</f>
        <v>355590</v>
      </c>
    </row>
    <row r="63" spans="1:9" hidden="1" x14ac:dyDescent="0.3">
      <c r="A63" s="1">
        <v>45936</v>
      </c>
      <c r="B63" t="s">
        <v>98</v>
      </c>
      <c r="C63" t="s">
        <v>345</v>
      </c>
      <c r="D63" s="11">
        <v>261</v>
      </c>
      <c r="E63" s="11">
        <v>810</v>
      </c>
      <c r="F63" s="11">
        <v>42500</v>
      </c>
      <c r="G63" s="11">
        <f t="shared" si="8"/>
        <v>211410</v>
      </c>
      <c r="H63" s="11"/>
      <c r="I63" s="11">
        <f>(D63*E63)-Table3[[#This Row],[Paid]]</f>
        <v>211410</v>
      </c>
    </row>
    <row r="64" spans="1:9" hidden="1"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363</v>
      </c>
      <c r="C65" t="s">
        <v>376</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317</v>
      </c>
      <c r="C66" t="s">
        <v>377</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371</v>
      </c>
      <c r="C67" t="s">
        <v>378</v>
      </c>
      <c r="D67" s="11"/>
      <c r="E67" s="11"/>
      <c r="F67" s="11"/>
      <c r="G67" s="11">
        <f t="shared" si="9"/>
        <v>0</v>
      </c>
      <c r="H67" s="11">
        <f>SUMIFS(Table14[Debit], Table14[Date], Table3[[#This Row],[Date]], Table14[Party], Table3[[#This Row],[Party Name]])</f>
        <v>50000</v>
      </c>
      <c r="I67" s="11">
        <f>(D67*E67)-Table3[[#This Row],[Paid]]</f>
        <v>-50000</v>
      </c>
    </row>
    <row r="68" spans="1:9" hidden="1"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hidden="1" x14ac:dyDescent="0.3">
      <c r="A69" s="1"/>
      <c r="D69" s="11"/>
      <c r="E69" s="11"/>
      <c r="F69" s="11"/>
      <c r="G69" s="11">
        <f t="shared" si="10"/>
        <v>0</v>
      </c>
      <c r="H69" s="11"/>
      <c r="I69" s="11">
        <f>(D69*E69)-Table3[[#This Row],[Paid]]</f>
        <v>0</v>
      </c>
    </row>
    <row r="70" spans="1:9" x14ac:dyDescent="0.3">
      <c r="A70" s="1" t="s">
        <v>102</v>
      </c>
      <c r="D70" s="14"/>
      <c r="E70" s="14"/>
      <c r="F70" s="14"/>
      <c r="G70" s="14">
        <f>SUBTOTAL(109,Table3[Total])</f>
        <v>595900</v>
      </c>
      <c r="H70" s="14">
        <f>SUBTOTAL(109,Table3[Paid])</f>
        <v>545010</v>
      </c>
      <c r="I70" s="14">
        <f>SUBTOTAL(109,Table3[balance])</f>
        <v>157620</v>
      </c>
    </row>
    <row r="87" spans="5:9" x14ac:dyDescent="0.3">
      <c r="E87" s="3" t="s">
        <v>2</v>
      </c>
      <c r="F87" t="s">
        <v>89</v>
      </c>
    </row>
    <row r="89" spans="5:9" x14ac:dyDescent="0.3">
      <c r="E89" s="3" t="s">
        <v>103</v>
      </c>
      <c r="F89" t="s">
        <v>104</v>
      </c>
      <c r="G89" t="s">
        <v>105</v>
      </c>
      <c r="H89" t="s">
        <v>106</v>
      </c>
      <c r="I89" t="s">
        <v>107</v>
      </c>
    </row>
    <row r="90" spans="5:9" x14ac:dyDescent="0.3">
      <c r="E90" s="27">
        <v>45916</v>
      </c>
      <c r="F90" s="14">
        <v>579</v>
      </c>
      <c r="G90" s="14">
        <v>448190</v>
      </c>
      <c r="H90" s="14">
        <v>361826</v>
      </c>
      <c r="I90" s="14">
        <v>2641241</v>
      </c>
    </row>
    <row r="91" spans="5:9" x14ac:dyDescent="0.3">
      <c r="E91" s="49" t="s">
        <v>108</v>
      </c>
      <c r="F91" s="14">
        <v>80</v>
      </c>
      <c r="G91" s="14">
        <v>44000</v>
      </c>
      <c r="H91" s="14">
        <v>0</v>
      </c>
      <c r="I91" s="14">
        <v>44000</v>
      </c>
    </row>
    <row r="92" spans="5:9" x14ac:dyDescent="0.3">
      <c r="E92" s="49" t="s">
        <v>99</v>
      </c>
      <c r="F92" s="14"/>
      <c r="G92" s="14">
        <v>0</v>
      </c>
      <c r="H92" s="14">
        <v>0</v>
      </c>
      <c r="I92" s="14">
        <v>2554877</v>
      </c>
    </row>
    <row r="93" spans="5:9" x14ac:dyDescent="0.3">
      <c r="E93" s="49" t="s">
        <v>360</v>
      </c>
      <c r="F93" s="14">
        <v>237</v>
      </c>
      <c r="G93" s="14">
        <v>191970</v>
      </c>
      <c r="H93" s="14">
        <v>361826</v>
      </c>
      <c r="I93" s="14">
        <v>-169856</v>
      </c>
    </row>
    <row r="94" spans="5:9" x14ac:dyDescent="0.3">
      <c r="E94" s="49" t="s">
        <v>170</v>
      </c>
      <c r="F94" s="14">
        <v>262</v>
      </c>
      <c r="G94" s="14">
        <v>212220</v>
      </c>
      <c r="H94" s="14"/>
      <c r="I94" s="14">
        <v>212220</v>
      </c>
    </row>
    <row r="95" spans="5:9" x14ac:dyDescent="0.3">
      <c r="E95" s="27">
        <v>45917</v>
      </c>
      <c r="F95" s="14">
        <v>261</v>
      </c>
      <c r="G95" s="14">
        <v>143550</v>
      </c>
      <c r="H95" s="14">
        <v>120000</v>
      </c>
      <c r="I95" s="14">
        <v>23550</v>
      </c>
    </row>
    <row r="96" spans="5:9" x14ac:dyDescent="0.3">
      <c r="E96" s="49" t="s">
        <v>108</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108</v>
      </c>
      <c r="F98" s="14">
        <v>32</v>
      </c>
      <c r="G98" s="14">
        <v>17600</v>
      </c>
      <c r="H98" s="14">
        <v>120000</v>
      </c>
      <c r="I98" s="14">
        <v>-102400</v>
      </c>
    </row>
    <row r="99" spans="5:9" x14ac:dyDescent="0.3">
      <c r="E99" s="49" t="s">
        <v>192</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361</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108</v>
      </c>
      <c r="F103" s="14">
        <v>84</v>
      </c>
      <c r="G103" s="14">
        <v>46200</v>
      </c>
      <c r="H103" s="14">
        <v>0</v>
      </c>
      <c r="I103" s="14">
        <v>46200</v>
      </c>
    </row>
    <row r="104" spans="5:9" x14ac:dyDescent="0.3">
      <c r="E104" s="49" t="s">
        <v>208</v>
      </c>
      <c r="F104" s="14">
        <v>262</v>
      </c>
      <c r="G104" s="14">
        <v>212220</v>
      </c>
      <c r="H104" s="14">
        <v>223385</v>
      </c>
      <c r="I104" s="14">
        <v>-11165</v>
      </c>
    </row>
    <row r="105" spans="5:9" x14ac:dyDescent="0.3">
      <c r="E105" s="49" t="s">
        <v>210</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108</v>
      </c>
      <c r="F107" s="14">
        <v>83</v>
      </c>
      <c r="G107" s="14">
        <v>45650</v>
      </c>
      <c r="H107" s="14">
        <v>0</v>
      </c>
      <c r="I107" s="14">
        <v>45650</v>
      </c>
    </row>
    <row r="108" spans="5:9" x14ac:dyDescent="0.3">
      <c r="E108" s="49" t="s">
        <v>218</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108</v>
      </c>
      <c r="F110" s="14"/>
      <c r="G110" s="14">
        <v>0</v>
      </c>
      <c r="H110" s="14">
        <v>150000</v>
      </c>
      <c r="I110" s="14">
        <v>-150000</v>
      </c>
    </row>
    <row r="111" spans="5:9" x14ac:dyDescent="0.3">
      <c r="E111" s="49" t="s">
        <v>222</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108</v>
      </c>
      <c r="F113" s="14">
        <v>90</v>
      </c>
      <c r="G113" s="14">
        <v>49500</v>
      </c>
      <c r="H113" s="14">
        <v>0</v>
      </c>
      <c r="I113" s="14">
        <v>49500</v>
      </c>
    </row>
    <row r="114" spans="5:9" x14ac:dyDescent="0.3">
      <c r="E114" s="49" t="s">
        <v>234</v>
      </c>
      <c r="F114" s="14">
        <v>204</v>
      </c>
      <c r="G114" s="14">
        <v>160740</v>
      </c>
      <c r="H114" s="14">
        <v>362400</v>
      </c>
      <c r="I114" s="14">
        <v>-201660</v>
      </c>
    </row>
    <row r="115" spans="5:9" x14ac:dyDescent="0.3">
      <c r="E115" s="49" t="s">
        <v>238</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108</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362</v>
      </c>
      <c r="F119" s="14">
        <v>253</v>
      </c>
      <c r="G119" s="14">
        <v>204930</v>
      </c>
      <c r="H119" s="14">
        <v>395600</v>
      </c>
      <c r="I119" s="14">
        <v>-190670</v>
      </c>
    </row>
    <row r="120" spans="5:9" x14ac:dyDescent="0.3">
      <c r="E120" s="49" t="s">
        <v>258</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270</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108</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108</v>
      </c>
      <c r="F126" s="14">
        <v>299</v>
      </c>
      <c r="G126" s="14">
        <v>173420</v>
      </c>
      <c r="H126" s="14"/>
      <c r="I126" s="14">
        <v>173420</v>
      </c>
    </row>
    <row r="127" spans="5:9" x14ac:dyDescent="0.3">
      <c r="E127" s="49" t="s">
        <v>275</v>
      </c>
      <c r="F127" s="14">
        <v>263</v>
      </c>
      <c r="G127" s="14">
        <v>213030</v>
      </c>
      <c r="H127" s="14">
        <v>67300</v>
      </c>
      <c r="I127" s="14">
        <v>145730</v>
      </c>
    </row>
    <row r="128" spans="5:9" x14ac:dyDescent="0.3">
      <c r="E128" s="49" t="s">
        <v>276</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282</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108</v>
      </c>
      <c r="F132" s="14">
        <v>41</v>
      </c>
      <c r="G132" s="14">
        <v>23780</v>
      </c>
      <c r="H132" s="14"/>
      <c r="I132" s="14">
        <v>23780</v>
      </c>
    </row>
    <row r="133" spans="5:9" x14ac:dyDescent="0.3">
      <c r="E133" s="49" t="s">
        <v>293</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300</v>
      </c>
      <c r="F136" s="14">
        <v>295</v>
      </c>
      <c r="G136" s="14">
        <v>225675</v>
      </c>
      <c r="H136" s="14">
        <v>402560</v>
      </c>
      <c r="I136" s="14">
        <v>-176885</v>
      </c>
    </row>
    <row r="137" spans="5:9" x14ac:dyDescent="0.3">
      <c r="E137" s="49" t="s">
        <v>301</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108</v>
      </c>
      <c r="F139" s="14"/>
      <c r="G139" s="14">
        <v>0</v>
      </c>
      <c r="H139" s="14">
        <v>125000</v>
      </c>
      <c r="I139" s="14">
        <v>-125000</v>
      </c>
    </row>
    <row r="140" spans="5:9" x14ac:dyDescent="0.3">
      <c r="E140" s="49" t="s">
        <v>309</v>
      </c>
      <c r="F140" s="14">
        <v>244</v>
      </c>
      <c r="G140" s="14">
        <v>197640</v>
      </c>
      <c r="H140" s="14">
        <v>384740</v>
      </c>
      <c r="I140" s="14">
        <v>-187100</v>
      </c>
    </row>
    <row r="141" spans="5:9" x14ac:dyDescent="0.3">
      <c r="E141" s="49" t="s">
        <v>308</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320</v>
      </c>
      <c r="F143" s="14">
        <v>210</v>
      </c>
      <c r="G143" s="14">
        <v>170100</v>
      </c>
      <c r="H143" s="14">
        <v>429370</v>
      </c>
      <c r="I143" s="14">
        <v>-259270</v>
      </c>
    </row>
    <row r="144" spans="5:9" x14ac:dyDescent="0.3">
      <c r="E144" s="49" t="s">
        <v>319</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336</v>
      </c>
      <c r="F146" s="14">
        <v>248</v>
      </c>
      <c r="G146" s="14">
        <v>200880</v>
      </c>
      <c r="H146" s="14">
        <v>41720</v>
      </c>
      <c r="I146" s="14">
        <v>159160</v>
      </c>
    </row>
    <row r="147" spans="5:9" x14ac:dyDescent="0.3">
      <c r="E147" s="49" t="s">
        <v>355</v>
      </c>
      <c r="F147" s="14">
        <v>256</v>
      </c>
      <c r="G147" s="14">
        <v>198400</v>
      </c>
      <c r="H147" s="14"/>
      <c r="I147" s="14">
        <v>198400</v>
      </c>
    </row>
    <row r="148" spans="5:9" x14ac:dyDescent="0.3">
      <c r="E148" s="27">
        <v>45935</v>
      </c>
      <c r="F148" s="14"/>
      <c r="G148" s="14">
        <v>0</v>
      </c>
      <c r="H148" s="14">
        <v>300900</v>
      </c>
      <c r="I148" s="14">
        <v>-300900</v>
      </c>
    </row>
    <row r="149" spans="5:9" x14ac:dyDescent="0.3">
      <c r="E149" s="49" t="s">
        <v>108</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108</v>
      </c>
      <c r="F151" s="14"/>
      <c r="G151" s="14">
        <v>0</v>
      </c>
      <c r="H151" s="14">
        <v>219875</v>
      </c>
      <c r="I151" s="14">
        <v>-219875</v>
      </c>
    </row>
    <row r="152" spans="5:9" x14ac:dyDescent="0.3">
      <c r="E152" s="49" t="s">
        <v>347</v>
      </c>
      <c r="F152" s="14">
        <v>292</v>
      </c>
      <c r="G152" s="14">
        <v>223380</v>
      </c>
      <c r="H152" s="14">
        <v>141518</v>
      </c>
      <c r="I152" s="14">
        <v>81862</v>
      </c>
    </row>
    <row r="153" spans="5:9" x14ac:dyDescent="0.3">
      <c r="E153" s="49" t="s">
        <v>348</v>
      </c>
      <c r="F153" s="14">
        <v>439</v>
      </c>
      <c r="G153" s="14">
        <v>355590</v>
      </c>
      <c r="H153" s="14"/>
      <c r="I153" s="14">
        <v>355590</v>
      </c>
    </row>
    <row r="154" spans="5:9" x14ac:dyDescent="0.3">
      <c r="E154" s="49" t="s">
        <v>345</v>
      </c>
      <c r="F154" s="14">
        <v>261</v>
      </c>
      <c r="G154" s="14">
        <v>211410</v>
      </c>
      <c r="H154" s="14"/>
      <c r="I154" s="14">
        <v>211410</v>
      </c>
    </row>
    <row r="155" spans="5:9" x14ac:dyDescent="0.3">
      <c r="E155" s="27">
        <v>45937</v>
      </c>
      <c r="F155" s="14"/>
      <c r="G155" s="14">
        <v>0</v>
      </c>
      <c r="H155" s="14">
        <v>452300</v>
      </c>
      <c r="I155" s="14">
        <v>-452300</v>
      </c>
    </row>
    <row r="156" spans="5:9" x14ac:dyDescent="0.3">
      <c r="E156" s="49" t="s">
        <v>108</v>
      </c>
      <c r="F156" s="14"/>
      <c r="G156" s="14">
        <v>0</v>
      </c>
      <c r="H156" s="14">
        <v>452300</v>
      </c>
      <c r="I156" s="14">
        <v>-452300</v>
      </c>
    </row>
    <row r="157" spans="5:9" x14ac:dyDescent="0.3">
      <c r="E157" s="27" t="s">
        <v>108</v>
      </c>
      <c r="F157" s="14"/>
      <c r="G157" s="14">
        <v>0</v>
      </c>
      <c r="H157" s="14"/>
      <c r="I157" s="14">
        <v>0</v>
      </c>
    </row>
    <row r="158" spans="5:9" x14ac:dyDescent="0.3">
      <c r="E158" s="49" t="s">
        <v>108</v>
      </c>
      <c r="F158" s="14"/>
      <c r="G158" s="14">
        <v>0</v>
      </c>
      <c r="H158" s="14"/>
      <c r="I158" s="14">
        <v>0</v>
      </c>
    </row>
    <row r="159" spans="5:9" x14ac:dyDescent="0.3">
      <c r="E159" s="27">
        <v>45938</v>
      </c>
      <c r="F159" s="14">
        <v>605</v>
      </c>
      <c r="G159" s="14">
        <v>465515</v>
      </c>
      <c r="H159" s="14">
        <v>609043</v>
      </c>
      <c r="I159" s="14">
        <v>-143528</v>
      </c>
    </row>
    <row r="160" spans="5:9" x14ac:dyDescent="0.3">
      <c r="E160" s="49" t="s">
        <v>108</v>
      </c>
      <c r="F160" s="14"/>
      <c r="G160" s="14">
        <v>0</v>
      </c>
      <c r="H160" s="14">
        <v>303003</v>
      </c>
      <c r="I160" s="14">
        <v>-303003</v>
      </c>
    </row>
    <row r="161" spans="5:9" x14ac:dyDescent="0.3">
      <c r="E161" s="49" t="s">
        <v>376</v>
      </c>
      <c r="F161" s="14">
        <v>336</v>
      </c>
      <c r="G161" s="14">
        <v>257040</v>
      </c>
      <c r="H161" s="14">
        <v>256040</v>
      </c>
      <c r="I161" s="14">
        <v>1000</v>
      </c>
    </row>
    <row r="162" spans="5:9" x14ac:dyDescent="0.3">
      <c r="E162" s="49" t="s">
        <v>377</v>
      </c>
      <c r="F162" s="14">
        <v>269</v>
      </c>
      <c r="G162" s="14">
        <v>208475</v>
      </c>
      <c r="H162" s="14">
        <v>0</v>
      </c>
      <c r="I162" s="14">
        <v>208475</v>
      </c>
    </row>
    <row r="163" spans="5:9" x14ac:dyDescent="0.3">
      <c r="E163" s="49" t="s">
        <v>378</v>
      </c>
      <c r="F163" s="14"/>
      <c r="G163" s="14">
        <v>0</v>
      </c>
      <c r="H163" s="14">
        <v>50000</v>
      </c>
      <c r="I163" s="14">
        <v>-50000</v>
      </c>
    </row>
    <row r="164" spans="5:9" x14ac:dyDescent="0.3">
      <c r="E164" s="27" t="s">
        <v>28</v>
      </c>
      <c r="F164" s="14">
        <v>9386</v>
      </c>
      <c r="G164" s="14">
        <v>7236235</v>
      </c>
      <c r="H164" s="14">
        <v>7192601</v>
      </c>
      <c r="I164" s="14">
        <v>2598511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48"/>
  <sheetViews>
    <sheetView topLeftCell="A298" zoomScale="132" workbookViewId="0">
      <selection activeCell="F347" sqref="F34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13448706</v>
      </c>
      <c r="M4" s="53" t="s">
        <v>112</v>
      </c>
      <c r="N4" s="59">
        <f>SUMIFS(Table14[Withdrawal],Table14[Party],"Cash",Table14[Mode],"Transfer")</f>
        <v>352000</v>
      </c>
    </row>
    <row r="5" spans="1:16" x14ac:dyDescent="0.3">
      <c r="A5" s="104">
        <v>45916</v>
      </c>
      <c r="B5" t="s">
        <v>98</v>
      </c>
      <c r="C5" s="112">
        <v>38800</v>
      </c>
      <c r="D5" s="11"/>
      <c r="E5" t="s">
        <v>168</v>
      </c>
      <c r="F5" s="52" t="s">
        <v>113</v>
      </c>
      <c r="J5" s="53" t="s">
        <v>70</v>
      </c>
      <c r="K5" s="54">
        <f>Table14[[#Totals],[Credit]]</f>
        <v>13523290</v>
      </c>
      <c r="M5" s="53" t="s">
        <v>113</v>
      </c>
      <c r="N5" s="54">
        <f>(SUMIFS(Table14[Credit],Table14[Mode],"Bank")-SUMIFS(Table14[Debit],Table14[Mode],"Bank")-SUMIFS(Table14[Withdrawal],Table14[Mode],"Transfer"))</f>
        <v>33942</v>
      </c>
      <c r="O5">
        <v>360000</v>
      </c>
    </row>
    <row r="6" spans="1:16" x14ac:dyDescent="0.3">
      <c r="A6" s="104">
        <v>45916</v>
      </c>
      <c r="B6" t="s">
        <v>27</v>
      </c>
      <c r="C6" s="11"/>
      <c r="D6" s="11">
        <v>100000</v>
      </c>
      <c r="F6" s="52" t="s">
        <v>114</v>
      </c>
      <c r="J6" s="60" t="s">
        <v>43</v>
      </c>
      <c r="K6" s="61">
        <f>(K5-K4)</f>
        <v>74584</v>
      </c>
      <c r="M6" s="53" t="s">
        <v>114</v>
      </c>
      <c r="N6" s="54">
        <f>((SUMIFS(Table14[Credit],Table14[Mode],"Cash")-SUMIFS(Table14[Debit],Table14[Mode],"Cash"))+SUMIFS(Table14[Withdrawal],Table14[Party],"Cash",Table14[Mode],"Transfer"))</f>
        <v>40642</v>
      </c>
      <c r="O6">
        <v>50000</v>
      </c>
    </row>
    <row r="7" spans="1:16" x14ac:dyDescent="0.3">
      <c r="A7" s="104">
        <v>45916</v>
      </c>
      <c r="B7" t="s">
        <v>9</v>
      </c>
      <c r="C7" s="11"/>
      <c r="D7" s="11">
        <v>100000</v>
      </c>
      <c r="F7" s="52" t="s">
        <v>114</v>
      </c>
      <c r="M7" s="56" t="s">
        <v>5</v>
      </c>
      <c r="N7" s="57">
        <f>SUM(N5:N6)</f>
        <v>74584</v>
      </c>
      <c r="O7" s="99">
        <f>SUM(O5,O6)</f>
        <v>410000</v>
      </c>
      <c r="P7" s="14">
        <f>Table18[[#Totals],[amount]]-Table18[[#Totals],[Actual]]</f>
        <v>-335416</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89000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3779560</v>
      </c>
      <c r="L166" s="14">
        <v>106500</v>
      </c>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859750</v>
      </c>
    </row>
    <row r="169" spans="1:12" x14ac:dyDescent="0.3">
      <c r="A169" s="104">
        <v>45927</v>
      </c>
      <c r="B169" t="s">
        <v>54</v>
      </c>
      <c r="C169" s="11">
        <v>19200</v>
      </c>
      <c r="D169" s="11"/>
      <c r="E169" t="s">
        <v>268</v>
      </c>
      <c r="F169" s="52" t="s">
        <v>113</v>
      </c>
      <c r="J169" s="4" t="s">
        <v>98</v>
      </c>
      <c r="K169" s="14"/>
      <c r="L169" s="14">
        <v>6121676</v>
      </c>
    </row>
    <row r="170" spans="1:12" x14ac:dyDescent="0.3">
      <c r="A170" s="104">
        <v>45927</v>
      </c>
      <c r="B170" t="s">
        <v>162</v>
      </c>
      <c r="C170" s="11"/>
      <c r="D170" s="11">
        <v>250000</v>
      </c>
      <c r="F170" s="52" t="s">
        <v>113</v>
      </c>
      <c r="J170" s="4" t="s">
        <v>50</v>
      </c>
      <c r="K170" s="14"/>
      <c r="L170" s="14">
        <v>27062</v>
      </c>
    </row>
    <row r="171" spans="1:12" x14ac:dyDescent="0.3">
      <c r="A171" s="104">
        <v>45927</v>
      </c>
      <c r="B171" t="s">
        <v>98</v>
      </c>
      <c r="C171" s="114">
        <v>301000</v>
      </c>
      <c r="D171" s="11"/>
      <c r="E171" t="s">
        <v>269</v>
      </c>
      <c r="F171" s="52" t="s">
        <v>113</v>
      </c>
      <c r="J171" s="4" t="s">
        <v>55</v>
      </c>
      <c r="K171" s="14"/>
      <c r="L171" s="14">
        <v>313646</v>
      </c>
    </row>
    <row r="172" spans="1:12" x14ac:dyDescent="0.3">
      <c r="A172" s="104">
        <v>45927</v>
      </c>
      <c r="B172" t="s">
        <v>98</v>
      </c>
      <c r="C172" s="114">
        <v>33500</v>
      </c>
      <c r="D172" s="11"/>
      <c r="E172" t="s">
        <v>270</v>
      </c>
      <c r="F172" s="52" t="s">
        <v>114</v>
      </c>
      <c r="J172" s="4" t="s">
        <v>119</v>
      </c>
      <c r="K172" s="14"/>
      <c r="L172" s="14">
        <v>113670</v>
      </c>
    </row>
    <row r="173" spans="1:12" x14ac:dyDescent="0.3">
      <c r="A173" s="104">
        <v>45927</v>
      </c>
      <c r="B173" t="s">
        <v>54</v>
      </c>
      <c r="C173" s="11">
        <v>3000</v>
      </c>
      <c r="D173" s="11"/>
      <c r="E173" t="s">
        <v>271</v>
      </c>
      <c r="F173" s="52" t="s">
        <v>114</v>
      </c>
      <c r="J173" s="4" t="s">
        <v>52</v>
      </c>
      <c r="K173" s="14"/>
      <c r="L173" s="14">
        <v>224000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269331</v>
      </c>
    </row>
    <row r="176" spans="1:12" x14ac:dyDescent="0.3">
      <c r="A176" s="104">
        <v>45927</v>
      </c>
      <c r="B176" t="s">
        <v>123</v>
      </c>
      <c r="C176" s="11">
        <v>20000</v>
      </c>
      <c r="D176" s="11"/>
      <c r="E176" t="s">
        <v>184</v>
      </c>
      <c r="F176" s="52" t="s">
        <v>114</v>
      </c>
      <c r="J176" s="4" t="s">
        <v>121</v>
      </c>
      <c r="K176" s="14">
        <v>53522</v>
      </c>
      <c r="L176" s="14">
        <v>96215</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25</v>
      </c>
      <c r="K180" s="14">
        <v>1451266</v>
      </c>
      <c r="L180" s="14"/>
    </row>
    <row r="181" spans="1:12" x14ac:dyDescent="0.3">
      <c r="A181" s="104">
        <v>45928</v>
      </c>
      <c r="B181" t="s">
        <v>26</v>
      </c>
      <c r="C181" s="11"/>
      <c r="D181" s="11">
        <v>200000</v>
      </c>
      <c r="F181" s="52" t="s">
        <v>113</v>
      </c>
      <c r="J181" s="4" t="s">
        <v>24</v>
      </c>
      <c r="K181" s="14">
        <v>4550000</v>
      </c>
      <c r="L181" s="14"/>
    </row>
    <row r="182" spans="1:12" x14ac:dyDescent="0.3">
      <c r="A182" s="104">
        <v>45928</v>
      </c>
      <c r="B182" t="s">
        <v>52</v>
      </c>
      <c r="C182" s="11"/>
      <c r="D182" s="11"/>
      <c r="E182" t="s">
        <v>277</v>
      </c>
      <c r="F182" s="52" t="s">
        <v>113</v>
      </c>
      <c r="J182" s="4" t="s">
        <v>27</v>
      </c>
      <c r="K182" s="14">
        <v>300000</v>
      </c>
      <c r="L182" s="14"/>
    </row>
    <row r="183" spans="1:12" x14ac:dyDescent="0.3">
      <c r="A183" s="104">
        <v>45928</v>
      </c>
      <c r="B183" t="s">
        <v>52</v>
      </c>
      <c r="C183" s="11">
        <v>20000</v>
      </c>
      <c r="D183" s="11"/>
      <c r="E183" t="s">
        <v>230</v>
      </c>
      <c r="F183" s="52" t="s">
        <v>113</v>
      </c>
      <c r="J183" s="4" t="s">
        <v>122</v>
      </c>
      <c r="K183" s="14"/>
      <c r="L183" s="14">
        <v>500000</v>
      </c>
    </row>
    <row r="184" spans="1:12" x14ac:dyDescent="0.3">
      <c r="A184" s="104">
        <v>45928</v>
      </c>
      <c r="B184" t="s">
        <v>21</v>
      </c>
      <c r="C184" s="47"/>
      <c r="D184" s="47">
        <v>20000</v>
      </c>
      <c r="E184" t="s">
        <v>230</v>
      </c>
      <c r="F184" s="52" t="s">
        <v>113</v>
      </c>
      <c r="J184" s="4" t="s">
        <v>35</v>
      </c>
      <c r="K184" s="14">
        <v>155000</v>
      </c>
      <c r="L184" s="14"/>
    </row>
    <row r="185" spans="1:12" x14ac:dyDescent="0.3">
      <c r="A185" s="104">
        <v>45928</v>
      </c>
      <c r="B185" t="s">
        <v>54</v>
      </c>
      <c r="C185" s="11">
        <v>7050</v>
      </c>
      <c r="D185" s="11"/>
      <c r="E185" t="s">
        <v>206</v>
      </c>
      <c r="F185" s="52" t="s">
        <v>113</v>
      </c>
      <c r="J185" s="4" t="s">
        <v>26</v>
      </c>
      <c r="K185" s="14">
        <v>400000</v>
      </c>
      <c r="L185" s="14"/>
    </row>
    <row r="186" spans="1:12" x14ac:dyDescent="0.3">
      <c r="A186" s="104">
        <v>45928</v>
      </c>
      <c r="B186" t="s">
        <v>54</v>
      </c>
      <c r="C186" s="11">
        <v>1000</v>
      </c>
      <c r="D186" s="11"/>
      <c r="E186" t="s">
        <v>278</v>
      </c>
      <c r="F186" s="52" t="s">
        <v>113</v>
      </c>
      <c r="J186" s="4" t="s">
        <v>159</v>
      </c>
      <c r="K186" s="14"/>
      <c r="L186" s="14">
        <v>615010</v>
      </c>
    </row>
    <row r="187" spans="1:12" x14ac:dyDescent="0.3">
      <c r="A187" s="104">
        <v>45928</v>
      </c>
      <c r="B187" t="s">
        <v>118</v>
      </c>
      <c r="C187" s="11">
        <v>1000</v>
      </c>
      <c r="D187" s="11"/>
      <c r="E187" t="s">
        <v>114</v>
      </c>
      <c r="F187" s="52" t="s">
        <v>114</v>
      </c>
      <c r="J187" s="4" t="s">
        <v>64</v>
      </c>
      <c r="K187" s="14">
        <v>106500</v>
      </c>
      <c r="L187" s="14">
        <v>624750</v>
      </c>
    </row>
    <row r="188" spans="1:12" x14ac:dyDescent="0.3">
      <c r="A188" s="104">
        <v>45928</v>
      </c>
      <c r="B188" t="s">
        <v>121</v>
      </c>
      <c r="C188" s="11">
        <v>5000</v>
      </c>
      <c r="D188" s="11"/>
      <c r="E188" t="s">
        <v>279</v>
      </c>
      <c r="F188" s="52" t="s">
        <v>114</v>
      </c>
      <c r="J188" s="4" t="s">
        <v>162</v>
      </c>
      <c r="K188" s="14">
        <v>1021620</v>
      </c>
      <c r="L188" s="14"/>
    </row>
    <row r="189" spans="1:12" x14ac:dyDescent="0.3">
      <c r="A189" s="104">
        <v>45928</v>
      </c>
      <c r="B189" t="s">
        <v>121</v>
      </c>
      <c r="C189" s="11">
        <v>2320</v>
      </c>
      <c r="D189" s="11"/>
      <c r="E189" t="s">
        <v>280</v>
      </c>
      <c r="F189" s="52" t="s">
        <v>114</v>
      </c>
      <c r="J189" s="4" t="s">
        <v>167</v>
      </c>
      <c r="K189" s="14">
        <v>-1229769</v>
      </c>
      <c r="L189" s="14"/>
    </row>
    <row r="190" spans="1:12" x14ac:dyDescent="0.3">
      <c r="A190" s="43">
        <v>45929</v>
      </c>
      <c r="B190" t="s">
        <v>162</v>
      </c>
      <c r="C190" s="47"/>
      <c r="D190" s="47">
        <v>200000</v>
      </c>
      <c r="F190" s="52" t="s">
        <v>113</v>
      </c>
      <c r="J190" s="4" t="s">
        <v>237</v>
      </c>
      <c r="K190" s="14"/>
      <c r="L190" s="14">
        <v>350000</v>
      </c>
    </row>
    <row r="191" spans="1:12" x14ac:dyDescent="0.3">
      <c r="A191" s="104">
        <v>45929</v>
      </c>
      <c r="B191" t="s">
        <v>98</v>
      </c>
      <c r="C191" s="11">
        <v>300002</v>
      </c>
      <c r="D191" s="11"/>
      <c r="E191" t="s">
        <v>281</v>
      </c>
      <c r="F191" s="52" t="s">
        <v>113</v>
      </c>
      <c r="J191" s="4" t="s">
        <v>243</v>
      </c>
      <c r="K191" s="14">
        <v>1370000</v>
      </c>
      <c r="L191" s="14"/>
    </row>
    <row r="192" spans="1:12" x14ac:dyDescent="0.3">
      <c r="A192" s="43">
        <v>45929</v>
      </c>
      <c r="B192" t="s">
        <v>98</v>
      </c>
      <c r="C192" s="11">
        <v>34700</v>
      </c>
      <c r="D192" s="11"/>
      <c r="E192" t="s">
        <v>282</v>
      </c>
      <c r="F192" s="52" t="s">
        <v>113</v>
      </c>
      <c r="J192" s="4" t="s">
        <v>317</v>
      </c>
      <c r="K192" s="14"/>
      <c r="L192" s="14">
        <v>417025</v>
      </c>
    </row>
    <row r="193" spans="1:12" x14ac:dyDescent="0.3">
      <c r="A193" s="104">
        <v>45929</v>
      </c>
      <c r="B193" t="s">
        <v>52</v>
      </c>
      <c r="C193" s="11"/>
      <c r="D193" s="11"/>
      <c r="E193" t="s">
        <v>283</v>
      </c>
      <c r="F193" s="52" t="s">
        <v>113</v>
      </c>
      <c r="J193" s="4" t="s">
        <v>363</v>
      </c>
      <c r="K193" s="14"/>
      <c r="L193" s="14">
        <v>256040</v>
      </c>
    </row>
    <row r="194" spans="1:12" x14ac:dyDescent="0.3">
      <c r="A194" s="43">
        <v>45929</v>
      </c>
      <c r="B194" t="s">
        <v>121</v>
      </c>
      <c r="C194" s="11">
        <v>3300</v>
      </c>
      <c r="D194" s="11"/>
      <c r="E194" t="s">
        <v>171</v>
      </c>
      <c r="F194" s="52" t="s">
        <v>114</v>
      </c>
      <c r="J194" s="4" t="s">
        <v>371</v>
      </c>
      <c r="K194" s="14"/>
      <c r="L194" s="14">
        <v>50000</v>
      </c>
    </row>
    <row r="195" spans="1:12" x14ac:dyDescent="0.3">
      <c r="A195" s="104">
        <v>45928</v>
      </c>
      <c r="B195" t="s">
        <v>121</v>
      </c>
      <c r="C195" s="47">
        <v>3300</v>
      </c>
      <c r="D195" s="47"/>
      <c r="E195" t="s">
        <v>171</v>
      </c>
      <c r="F195" s="52" t="s">
        <v>114</v>
      </c>
      <c r="J195" s="4" t="s">
        <v>383</v>
      </c>
      <c r="K195" s="14"/>
      <c r="L195" s="14">
        <v>500000</v>
      </c>
    </row>
    <row r="196" spans="1:12" x14ac:dyDescent="0.3">
      <c r="A196" s="43">
        <v>45929</v>
      </c>
      <c r="B196" t="s">
        <v>55</v>
      </c>
      <c r="C196" s="11">
        <v>8227</v>
      </c>
      <c r="D196" s="11"/>
      <c r="E196" t="s">
        <v>198</v>
      </c>
      <c r="F196" s="52" t="s">
        <v>113</v>
      </c>
      <c r="J196" s="4" t="s">
        <v>28</v>
      </c>
      <c r="K196" s="14">
        <v>13523290</v>
      </c>
      <c r="L196" s="14">
        <v>13448706</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54</v>
      </c>
      <c r="C222" s="11">
        <v>5349</v>
      </c>
      <c r="D222" s="11"/>
      <c r="E222" t="s">
        <v>350</v>
      </c>
      <c r="F222" s="52" t="s">
        <v>114</v>
      </c>
    </row>
    <row r="223" spans="1:6" x14ac:dyDescent="0.3">
      <c r="A223" s="104">
        <v>45931</v>
      </c>
      <c r="B223" t="s">
        <v>121</v>
      </c>
      <c r="C223" s="11">
        <v>6600</v>
      </c>
      <c r="D223" s="11"/>
      <c r="E223" t="s">
        <v>171</v>
      </c>
      <c r="F223" s="52" t="s">
        <v>113</v>
      </c>
    </row>
    <row r="224" spans="1:6" x14ac:dyDescent="0.3">
      <c r="A224" s="104">
        <v>45931</v>
      </c>
      <c r="B224" t="s">
        <v>54</v>
      </c>
      <c r="C224" s="11">
        <v>5100</v>
      </c>
      <c r="D224" s="11"/>
      <c r="E224" t="s">
        <v>158</v>
      </c>
      <c r="F224" s="52" t="s">
        <v>113</v>
      </c>
    </row>
    <row r="225" spans="1:7" x14ac:dyDescent="0.3">
      <c r="A225" s="104">
        <v>45931</v>
      </c>
      <c r="B225" t="s">
        <v>98</v>
      </c>
      <c r="C225" s="11">
        <v>300150</v>
      </c>
      <c r="D225" s="11"/>
      <c r="E225" t="s">
        <v>304</v>
      </c>
      <c r="F225" s="52" t="s">
        <v>113</v>
      </c>
    </row>
    <row r="226" spans="1:7" x14ac:dyDescent="0.3">
      <c r="A226" s="104">
        <v>45931</v>
      </c>
      <c r="B226" t="s">
        <v>23</v>
      </c>
      <c r="C226" s="11"/>
      <c r="D226" s="11">
        <f>38800+1500</f>
        <v>40300</v>
      </c>
      <c r="E226" t="s">
        <v>305</v>
      </c>
      <c r="F226" s="52" t="s">
        <v>113</v>
      </c>
    </row>
    <row r="227" spans="1:7" x14ac:dyDescent="0.3">
      <c r="A227" s="104">
        <v>45931</v>
      </c>
      <c r="B227" t="s">
        <v>54</v>
      </c>
      <c r="C227" s="11">
        <v>1500</v>
      </c>
      <c r="D227" s="11"/>
      <c r="E227" t="s">
        <v>318</v>
      </c>
      <c r="F227" s="52" t="s">
        <v>113</v>
      </c>
    </row>
    <row r="228" spans="1:7" x14ac:dyDescent="0.3">
      <c r="A228" s="104">
        <v>45931</v>
      </c>
      <c r="B228" t="s">
        <v>50</v>
      </c>
      <c r="C228" s="47">
        <v>4200</v>
      </c>
      <c r="D228" s="11"/>
      <c r="E228" t="s">
        <v>306</v>
      </c>
      <c r="F228" s="52" t="s">
        <v>113</v>
      </c>
    </row>
    <row r="229" spans="1:7" x14ac:dyDescent="0.3">
      <c r="A229" s="104">
        <v>45932</v>
      </c>
      <c r="B229" t="s">
        <v>307</v>
      </c>
      <c r="C229" s="47">
        <v>4500</v>
      </c>
      <c r="D229" s="47"/>
      <c r="F229" s="52" t="s">
        <v>114</v>
      </c>
    </row>
    <row r="230" spans="1:7" x14ac:dyDescent="0.3">
      <c r="A230" s="104">
        <v>45932</v>
      </c>
      <c r="B230" t="s">
        <v>114</v>
      </c>
      <c r="C230" s="11"/>
      <c r="D230" s="11"/>
      <c r="F230" s="52" t="s">
        <v>272</v>
      </c>
      <c r="G230">
        <v>50000</v>
      </c>
    </row>
    <row r="231" spans="1:7" x14ac:dyDescent="0.3">
      <c r="A231" s="104">
        <v>45932</v>
      </c>
      <c r="B231" t="s">
        <v>98</v>
      </c>
      <c r="C231" s="11">
        <v>44420</v>
      </c>
      <c r="D231" s="11"/>
      <c r="E231" t="s">
        <v>308</v>
      </c>
      <c r="F231" s="52" t="s">
        <v>113</v>
      </c>
    </row>
    <row r="232" spans="1:7" x14ac:dyDescent="0.3">
      <c r="A232" s="104">
        <v>45932</v>
      </c>
      <c r="B232" t="s">
        <v>98</v>
      </c>
      <c r="C232" s="11">
        <v>39200</v>
      </c>
      <c r="D232" s="11"/>
      <c r="E232" t="s">
        <v>309</v>
      </c>
      <c r="F232" s="52" t="s">
        <v>113</v>
      </c>
    </row>
    <row r="233" spans="1:7" x14ac:dyDescent="0.3">
      <c r="A233" s="104">
        <v>45932</v>
      </c>
      <c r="B233" t="s">
        <v>50</v>
      </c>
      <c r="C233" s="11">
        <v>535</v>
      </c>
      <c r="D233" s="11"/>
      <c r="E233" t="s">
        <v>310</v>
      </c>
      <c r="F233" s="52" t="s">
        <v>113</v>
      </c>
    </row>
    <row r="234" spans="1:7" x14ac:dyDescent="0.3">
      <c r="A234" s="104">
        <v>45932</v>
      </c>
      <c r="B234" t="s">
        <v>54</v>
      </c>
      <c r="C234" s="11">
        <v>1000</v>
      </c>
      <c r="D234" s="11"/>
      <c r="E234" t="s">
        <v>245</v>
      </c>
      <c r="F234" s="52" t="s">
        <v>114</v>
      </c>
    </row>
    <row r="235" spans="1:7" x14ac:dyDescent="0.3">
      <c r="A235" s="104">
        <v>45932</v>
      </c>
      <c r="B235" t="s">
        <v>9</v>
      </c>
      <c r="C235" s="11"/>
      <c r="D235" s="11">
        <v>73000</v>
      </c>
      <c r="E235" t="s">
        <v>311</v>
      </c>
      <c r="F235" s="52" t="s">
        <v>113</v>
      </c>
    </row>
    <row r="236" spans="1:7" x14ac:dyDescent="0.3">
      <c r="A236" s="104">
        <v>45932</v>
      </c>
      <c r="B236" t="s">
        <v>159</v>
      </c>
      <c r="C236" s="11">
        <v>125000</v>
      </c>
      <c r="D236" s="11"/>
      <c r="E236" t="s">
        <v>312</v>
      </c>
      <c r="F236" s="52" t="s">
        <v>113</v>
      </c>
    </row>
    <row r="237" spans="1:7" x14ac:dyDescent="0.3">
      <c r="A237" s="104">
        <v>45932</v>
      </c>
      <c r="B237" t="s">
        <v>119</v>
      </c>
      <c r="C237" s="11">
        <v>18000</v>
      </c>
      <c r="D237" s="11"/>
      <c r="E237" t="s">
        <v>231</v>
      </c>
      <c r="F237" s="52" t="s">
        <v>113</v>
      </c>
    </row>
    <row r="238" spans="1:7" x14ac:dyDescent="0.3">
      <c r="A238" s="104">
        <v>45932</v>
      </c>
      <c r="B238" t="s">
        <v>54</v>
      </c>
      <c r="C238" s="11">
        <v>1500</v>
      </c>
      <c r="D238" s="11"/>
      <c r="E238" t="s">
        <v>211</v>
      </c>
      <c r="F238" s="52" t="s">
        <v>114</v>
      </c>
    </row>
    <row r="239" spans="1:7" x14ac:dyDescent="0.3">
      <c r="A239" s="104">
        <v>45932</v>
      </c>
      <c r="B239" t="s">
        <v>98</v>
      </c>
      <c r="C239" s="47">
        <v>301120</v>
      </c>
      <c r="D239" s="47"/>
      <c r="E239" t="s">
        <v>201</v>
      </c>
      <c r="F239" s="52" t="s">
        <v>113</v>
      </c>
    </row>
    <row r="240" spans="1:7" x14ac:dyDescent="0.3">
      <c r="A240" s="104">
        <v>45932</v>
      </c>
      <c r="B240" t="s">
        <v>55</v>
      </c>
      <c r="C240" s="11">
        <v>15000</v>
      </c>
      <c r="D240" s="11"/>
      <c r="E240" t="s">
        <v>313</v>
      </c>
      <c r="F240" s="52" t="s">
        <v>113</v>
      </c>
    </row>
    <row r="241" spans="1:7" x14ac:dyDescent="0.3">
      <c r="A241" s="104">
        <v>45932</v>
      </c>
      <c r="B241" t="s">
        <v>21</v>
      </c>
      <c r="C241" s="11"/>
      <c r="D241" s="11">
        <v>15000</v>
      </c>
      <c r="E241" t="s">
        <v>313</v>
      </c>
      <c r="F241" s="52" t="s">
        <v>113</v>
      </c>
    </row>
    <row r="242" spans="1:7" x14ac:dyDescent="0.3">
      <c r="A242" s="104">
        <v>45932</v>
      </c>
      <c r="B242" t="s">
        <v>54</v>
      </c>
      <c r="C242" s="11">
        <v>5410</v>
      </c>
      <c r="D242" s="11"/>
      <c r="E242" t="s">
        <v>206</v>
      </c>
      <c r="F242" s="52" t="s">
        <v>113</v>
      </c>
    </row>
    <row r="243" spans="1:7" x14ac:dyDescent="0.3">
      <c r="A243" s="104">
        <v>45932</v>
      </c>
      <c r="B243" t="s">
        <v>21</v>
      </c>
      <c r="C243" s="11"/>
      <c r="D243" s="11">
        <v>5410</v>
      </c>
      <c r="E243" t="s">
        <v>206</v>
      </c>
      <c r="F243" s="52" t="s">
        <v>113</v>
      </c>
    </row>
    <row r="244" spans="1:7" x14ac:dyDescent="0.3">
      <c r="A244" s="104">
        <v>45933</v>
      </c>
      <c r="B244" t="s">
        <v>98</v>
      </c>
      <c r="C244" s="11">
        <v>92470</v>
      </c>
      <c r="D244" s="11"/>
      <c r="E244" t="s">
        <v>319</v>
      </c>
      <c r="F244" s="52" t="s">
        <v>113</v>
      </c>
    </row>
    <row r="245" spans="1:7" x14ac:dyDescent="0.3">
      <c r="A245" s="104">
        <v>45933</v>
      </c>
      <c r="B245" t="s">
        <v>98</v>
      </c>
      <c r="C245" s="11">
        <v>34500</v>
      </c>
      <c r="D245" s="11"/>
      <c r="E245" t="s">
        <v>320</v>
      </c>
      <c r="F245" s="52" t="s">
        <v>114</v>
      </c>
    </row>
    <row r="246" spans="1:7" x14ac:dyDescent="0.3">
      <c r="A246" s="104">
        <v>45933</v>
      </c>
      <c r="B246" t="s">
        <v>27</v>
      </c>
      <c r="C246" s="11"/>
      <c r="D246" s="11">
        <v>100000</v>
      </c>
      <c r="F246" s="52" t="s">
        <v>113</v>
      </c>
    </row>
    <row r="247" spans="1:7" x14ac:dyDescent="0.3">
      <c r="A247" s="104">
        <v>45933</v>
      </c>
      <c r="B247" t="s">
        <v>52</v>
      </c>
      <c r="C247" s="20"/>
      <c r="D247" s="11"/>
      <c r="E247" t="s">
        <v>321</v>
      </c>
      <c r="F247" s="52" t="s">
        <v>113</v>
      </c>
    </row>
    <row r="248" spans="1:7" x14ac:dyDescent="0.3">
      <c r="A248" s="104">
        <v>45933</v>
      </c>
      <c r="B248" t="s">
        <v>123</v>
      </c>
      <c r="C248" s="11">
        <v>2000</v>
      </c>
      <c r="D248" s="11"/>
      <c r="E248" t="s">
        <v>322</v>
      </c>
      <c r="F248" s="52" t="s">
        <v>114</v>
      </c>
    </row>
    <row r="249" spans="1:7" x14ac:dyDescent="0.3">
      <c r="A249" s="104">
        <v>45933</v>
      </c>
      <c r="B249" t="s">
        <v>98</v>
      </c>
      <c r="C249" s="20">
        <v>302400</v>
      </c>
      <c r="D249" s="11"/>
      <c r="E249" t="s">
        <v>323</v>
      </c>
      <c r="F249" s="52" t="s">
        <v>114</v>
      </c>
    </row>
    <row r="250" spans="1:7" x14ac:dyDescent="0.3">
      <c r="A250" s="104">
        <v>45933</v>
      </c>
      <c r="B250" t="s">
        <v>119</v>
      </c>
      <c r="C250" s="20">
        <v>16370</v>
      </c>
      <c r="D250" s="11"/>
      <c r="E250" t="s">
        <v>324</v>
      </c>
      <c r="F250" s="52" t="s">
        <v>113</v>
      </c>
    </row>
    <row r="251" spans="1:7" x14ac:dyDescent="0.3">
      <c r="A251" s="104">
        <v>45933</v>
      </c>
      <c r="B251" t="s">
        <v>123</v>
      </c>
      <c r="C251" s="20">
        <v>10000</v>
      </c>
      <c r="D251" s="11"/>
      <c r="E251" t="s">
        <v>185</v>
      </c>
      <c r="F251" s="52" t="s">
        <v>113</v>
      </c>
    </row>
    <row r="252" spans="1:7" x14ac:dyDescent="0.3">
      <c r="A252" s="104">
        <v>45933</v>
      </c>
      <c r="B252" t="s">
        <v>223</v>
      </c>
      <c r="C252" s="11">
        <v>3000</v>
      </c>
      <c r="D252" s="11"/>
      <c r="E252" t="s">
        <v>325</v>
      </c>
      <c r="F252" s="52" t="s">
        <v>113</v>
      </c>
    </row>
    <row r="253" spans="1:7" x14ac:dyDescent="0.3">
      <c r="A253" s="104">
        <v>45933</v>
      </c>
      <c r="B253" t="s">
        <v>114</v>
      </c>
      <c r="C253" s="47"/>
      <c r="D253" s="47"/>
      <c r="F253" s="52" t="s">
        <v>272</v>
      </c>
      <c r="G253">
        <v>55000</v>
      </c>
    </row>
    <row r="254" spans="1:7" x14ac:dyDescent="0.3">
      <c r="A254" s="104">
        <v>45933</v>
      </c>
      <c r="B254" t="s">
        <v>162</v>
      </c>
      <c r="C254" s="11"/>
      <c r="D254" s="11">
        <v>21620</v>
      </c>
      <c r="E254" t="s">
        <v>326</v>
      </c>
      <c r="F254" s="52" t="s">
        <v>113</v>
      </c>
    </row>
    <row r="255" spans="1:7" x14ac:dyDescent="0.3">
      <c r="A255" s="104">
        <v>45934</v>
      </c>
      <c r="B255" t="s">
        <v>55</v>
      </c>
      <c r="C255" s="11">
        <v>50000</v>
      </c>
      <c r="D255" s="11"/>
      <c r="E255" t="s">
        <v>233</v>
      </c>
      <c r="F255" s="52" t="s">
        <v>113</v>
      </c>
    </row>
    <row r="256" spans="1:7" x14ac:dyDescent="0.3">
      <c r="A256" s="104">
        <v>45934</v>
      </c>
      <c r="B256" t="s">
        <v>21</v>
      </c>
      <c r="C256" s="11"/>
      <c r="D256" s="11">
        <v>50000</v>
      </c>
      <c r="E256" t="s">
        <v>332</v>
      </c>
      <c r="F256" s="52" t="s">
        <v>113</v>
      </c>
    </row>
    <row r="257" spans="1:6" x14ac:dyDescent="0.3">
      <c r="A257" s="104">
        <v>45934</v>
      </c>
      <c r="B257" t="s">
        <v>64</v>
      </c>
      <c r="C257" s="11">
        <v>55500</v>
      </c>
      <c r="D257" s="11"/>
      <c r="E257" t="s">
        <v>64</v>
      </c>
      <c r="F257" s="52" t="s">
        <v>113</v>
      </c>
    </row>
    <row r="258" spans="1:6" x14ac:dyDescent="0.3">
      <c r="A258" s="104">
        <v>45934</v>
      </c>
      <c r="B258" t="s">
        <v>21</v>
      </c>
      <c r="C258" s="11"/>
      <c r="D258" s="11">
        <v>55000</v>
      </c>
      <c r="E258" t="s">
        <v>333</v>
      </c>
      <c r="F258" s="52" t="s">
        <v>113</v>
      </c>
    </row>
    <row r="259" spans="1:6" x14ac:dyDescent="0.3">
      <c r="A259" s="104">
        <v>45934</v>
      </c>
      <c r="B259" t="s">
        <v>54</v>
      </c>
      <c r="C259" s="11">
        <v>5280</v>
      </c>
      <c r="D259" s="11"/>
      <c r="E259" t="s">
        <v>206</v>
      </c>
      <c r="F259" s="52" t="s">
        <v>113</v>
      </c>
    </row>
    <row r="260" spans="1:6" x14ac:dyDescent="0.3">
      <c r="A260" s="104">
        <v>45934</v>
      </c>
      <c r="B260" t="s">
        <v>21</v>
      </c>
      <c r="C260" s="11"/>
      <c r="D260" s="11">
        <v>5280</v>
      </c>
      <c r="F260" s="52" t="s">
        <v>113</v>
      </c>
    </row>
    <row r="261" spans="1:6" x14ac:dyDescent="0.3">
      <c r="A261" s="104">
        <v>45934</v>
      </c>
      <c r="B261" t="s">
        <v>21</v>
      </c>
      <c r="C261" s="11"/>
      <c r="D261" s="11">
        <v>250000</v>
      </c>
      <c r="E261" t="s">
        <v>334</v>
      </c>
      <c r="F261" s="52" t="s">
        <v>113</v>
      </c>
    </row>
    <row r="262" spans="1:6" x14ac:dyDescent="0.3">
      <c r="A262" s="104">
        <v>45934</v>
      </c>
      <c r="B262" t="s">
        <v>237</v>
      </c>
      <c r="C262" s="11">
        <v>100000</v>
      </c>
      <c r="D262" s="11"/>
      <c r="E262" t="s">
        <v>335</v>
      </c>
      <c r="F262" s="52" t="s">
        <v>114</v>
      </c>
    </row>
    <row r="263" spans="1:6" x14ac:dyDescent="0.3">
      <c r="A263" s="104">
        <v>45934</v>
      </c>
      <c r="B263" t="s">
        <v>24</v>
      </c>
      <c r="C263" s="11"/>
      <c r="D263" s="11">
        <v>500000</v>
      </c>
      <c r="E263" t="s">
        <v>339</v>
      </c>
      <c r="F263" s="52" t="s">
        <v>114</v>
      </c>
    </row>
    <row r="264" spans="1:6" x14ac:dyDescent="0.3">
      <c r="A264" s="104">
        <v>45934</v>
      </c>
      <c r="B264" s="1" t="s">
        <v>54</v>
      </c>
      <c r="C264" s="20">
        <v>5150</v>
      </c>
      <c r="D264" s="11"/>
      <c r="E264" t="s">
        <v>206</v>
      </c>
      <c r="F264" s="52" t="s">
        <v>113</v>
      </c>
    </row>
    <row r="265" spans="1:6" x14ac:dyDescent="0.3">
      <c r="A265" s="104">
        <v>45934</v>
      </c>
      <c r="B265" t="s">
        <v>98</v>
      </c>
      <c r="C265" s="20">
        <v>41720</v>
      </c>
      <c r="D265" s="11"/>
      <c r="E265" t="s">
        <v>336</v>
      </c>
      <c r="F265" s="52" t="s">
        <v>114</v>
      </c>
    </row>
    <row r="266" spans="1:6" x14ac:dyDescent="0.3">
      <c r="A266" s="104">
        <v>45935</v>
      </c>
      <c r="B266" t="s">
        <v>98</v>
      </c>
      <c r="C266" s="20">
        <v>300900</v>
      </c>
      <c r="D266" s="11"/>
      <c r="E266" t="s">
        <v>337</v>
      </c>
      <c r="F266" s="52" t="s">
        <v>113</v>
      </c>
    </row>
    <row r="267" spans="1:6" x14ac:dyDescent="0.3">
      <c r="A267" s="104">
        <v>45935</v>
      </c>
      <c r="B267" t="s">
        <v>121</v>
      </c>
      <c r="C267" s="11">
        <v>8000</v>
      </c>
      <c r="D267" s="11"/>
      <c r="E267" t="s">
        <v>338</v>
      </c>
      <c r="F267" s="52" t="s">
        <v>113</v>
      </c>
    </row>
    <row r="268" spans="1:6" x14ac:dyDescent="0.3">
      <c r="A268" s="104">
        <v>45936</v>
      </c>
      <c r="B268" t="s">
        <v>125</v>
      </c>
      <c r="C268" s="11">
        <v>353250</v>
      </c>
      <c r="D268" s="11"/>
      <c r="E268" t="s">
        <v>61</v>
      </c>
      <c r="F268" s="52" t="s">
        <v>113</v>
      </c>
    </row>
    <row r="269" spans="1:6" x14ac:dyDescent="0.3">
      <c r="A269" s="104">
        <v>45936</v>
      </c>
      <c r="B269" t="s">
        <v>317</v>
      </c>
      <c r="C269" s="11">
        <v>219875</v>
      </c>
      <c r="D269" s="11"/>
      <c r="E269" t="s">
        <v>340</v>
      </c>
      <c r="F269" s="52" t="s">
        <v>113</v>
      </c>
    </row>
    <row r="270" spans="1:6" x14ac:dyDescent="0.3">
      <c r="A270" s="104">
        <v>45936</v>
      </c>
      <c r="B270" t="s">
        <v>21</v>
      </c>
      <c r="C270" s="11"/>
      <c r="D270" s="11">
        <v>219875</v>
      </c>
      <c r="E270" t="s">
        <v>349</v>
      </c>
      <c r="F270" s="52" t="s">
        <v>113</v>
      </c>
    </row>
    <row r="271" spans="1:6" x14ac:dyDescent="0.3">
      <c r="A271" s="104">
        <v>45936</v>
      </c>
      <c r="B271" t="s">
        <v>54</v>
      </c>
      <c r="C271" s="11">
        <v>4779</v>
      </c>
      <c r="D271" s="11"/>
      <c r="E271" t="s">
        <v>206</v>
      </c>
      <c r="F271" s="52" t="s">
        <v>113</v>
      </c>
    </row>
    <row r="272" spans="1:6" x14ac:dyDescent="0.3">
      <c r="A272" s="104">
        <v>45936</v>
      </c>
      <c r="B272" t="s">
        <v>21</v>
      </c>
      <c r="C272" s="11"/>
      <c r="D272" s="11">
        <v>4779</v>
      </c>
      <c r="F272" s="52" t="s">
        <v>113</v>
      </c>
    </row>
    <row r="273" spans="1:7" x14ac:dyDescent="0.3">
      <c r="A273" s="104">
        <v>45936</v>
      </c>
      <c r="B273" t="s">
        <v>98</v>
      </c>
      <c r="C273" s="11">
        <v>68150</v>
      </c>
      <c r="D273" s="11"/>
      <c r="E273" t="s">
        <v>348</v>
      </c>
      <c r="F273" s="52" t="s">
        <v>113</v>
      </c>
    </row>
    <row r="274" spans="1:7" x14ac:dyDescent="0.3">
      <c r="A274" s="104">
        <v>45934</v>
      </c>
      <c r="B274" t="s">
        <v>50</v>
      </c>
      <c r="C274" s="11">
        <v>600</v>
      </c>
      <c r="D274" s="11"/>
      <c r="E274" t="s">
        <v>341</v>
      </c>
      <c r="F274" s="52" t="s">
        <v>113</v>
      </c>
    </row>
    <row r="275" spans="1:7" x14ac:dyDescent="0.3">
      <c r="A275" s="104">
        <v>45936</v>
      </c>
      <c r="B275" t="s">
        <v>114</v>
      </c>
      <c r="C275" s="11"/>
      <c r="D275" s="11"/>
      <c r="F275" s="52" t="s">
        <v>272</v>
      </c>
      <c r="G275">
        <v>-25000</v>
      </c>
    </row>
    <row r="276" spans="1:7" x14ac:dyDescent="0.3">
      <c r="A276" s="104">
        <v>45936</v>
      </c>
      <c r="B276" t="s">
        <v>54</v>
      </c>
      <c r="C276" s="20">
        <v>1000</v>
      </c>
      <c r="D276" s="11"/>
      <c r="E276" t="s">
        <v>342</v>
      </c>
      <c r="F276" s="52" t="s">
        <v>113</v>
      </c>
    </row>
    <row r="277" spans="1:7" x14ac:dyDescent="0.3">
      <c r="A277" s="104">
        <v>45936</v>
      </c>
      <c r="B277" t="s">
        <v>98</v>
      </c>
      <c r="C277" s="11">
        <v>30868</v>
      </c>
      <c r="D277" s="11"/>
      <c r="E277" t="s">
        <v>347</v>
      </c>
      <c r="F277" s="52" t="s">
        <v>113</v>
      </c>
    </row>
    <row r="278" spans="1:7" x14ac:dyDescent="0.3">
      <c r="A278" s="104">
        <v>45936</v>
      </c>
      <c r="B278" t="s">
        <v>21</v>
      </c>
      <c r="C278" s="11"/>
      <c r="D278" s="11">
        <v>30868</v>
      </c>
      <c r="E278" t="s">
        <v>343</v>
      </c>
      <c r="F278" s="52" t="s">
        <v>113</v>
      </c>
    </row>
    <row r="279" spans="1:7" x14ac:dyDescent="0.3">
      <c r="A279" s="104">
        <v>45936</v>
      </c>
      <c r="B279" t="s">
        <v>54</v>
      </c>
      <c r="C279" s="11">
        <v>2515</v>
      </c>
      <c r="D279" s="11"/>
      <c r="E279" t="s">
        <v>344</v>
      </c>
      <c r="F279" s="52" t="s">
        <v>289</v>
      </c>
    </row>
    <row r="280" spans="1:7" x14ac:dyDescent="0.3">
      <c r="A280" s="104">
        <v>45936</v>
      </c>
      <c r="B280" t="s">
        <v>21</v>
      </c>
      <c r="C280" s="11"/>
      <c r="D280" s="11">
        <v>2515</v>
      </c>
      <c r="E280" t="s">
        <v>344</v>
      </c>
      <c r="F280" s="52" t="s">
        <v>289</v>
      </c>
    </row>
    <row r="281" spans="1:7" x14ac:dyDescent="0.3">
      <c r="A281" s="104">
        <v>45936</v>
      </c>
      <c r="B281" t="s">
        <v>98</v>
      </c>
      <c r="C281" s="20">
        <v>42500</v>
      </c>
      <c r="D281" s="11"/>
      <c r="E281" t="s">
        <v>345</v>
      </c>
      <c r="F281" s="52" t="s">
        <v>113</v>
      </c>
    </row>
    <row r="282" spans="1:7" x14ac:dyDescent="0.3">
      <c r="A282" s="104">
        <v>45936</v>
      </c>
      <c r="B282" t="s">
        <v>346</v>
      </c>
      <c r="C282" s="11"/>
      <c r="D282" s="11">
        <v>68150</v>
      </c>
      <c r="E282" t="s">
        <v>343</v>
      </c>
      <c r="F282" s="52" t="s">
        <v>289</v>
      </c>
    </row>
    <row r="283" spans="1:7" x14ac:dyDescent="0.3">
      <c r="A283" s="104">
        <v>45937</v>
      </c>
      <c r="B283" t="s">
        <v>54</v>
      </c>
      <c r="C283" s="11">
        <v>11800</v>
      </c>
      <c r="D283" s="11"/>
      <c r="E283" t="s">
        <v>350</v>
      </c>
      <c r="F283" s="52" t="s">
        <v>113</v>
      </c>
    </row>
    <row r="284" spans="1:7" x14ac:dyDescent="0.3">
      <c r="A284" s="104">
        <v>45937</v>
      </c>
      <c r="B284" t="s">
        <v>98</v>
      </c>
      <c r="C284" s="11">
        <v>302300</v>
      </c>
      <c r="D284" s="11"/>
      <c r="E284" t="s">
        <v>201</v>
      </c>
      <c r="F284" s="52" t="s">
        <v>113</v>
      </c>
    </row>
    <row r="285" spans="1:7" x14ac:dyDescent="0.3">
      <c r="A285" s="104">
        <v>45937</v>
      </c>
      <c r="B285" t="s">
        <v>21</v>
      </c>
      <c r="C285" s="47"/>
      <c r="D285" s="47">
        <v>300000</v>
      </c>
      <c r="E285" t="s">
        <v>351</v>
      </c>
      <c r="F285" s="52" t="s">
        <v>113</v>
      </c>
    </row>
    <row r="286" spans="1:7" x14ac:dyDescent="0.3">
      <c r="A286" s="104">
        <v>45937</v>
      </c>
      <c r="B286" t="s">
        <v>123</v>
      </c>
      <c r="C286" s="11">
        <v>5000</v>
      </c>
      <c r="D286" s="11"/>
      <c r="E286" t="s">
        <v>209</v>
      </c>
      <c r="F286" s="52" t="s">
        <v>114</v>
      </c>
    </row>
    <row r="287" spans="1:7" x14ac:dyDescent="0.3">
      <c r="A287" s="104">
        <v>45937</v>
      </c>
      <c r="B287" t="s">
        <v>123</v>
      </c>
      <c r="C287" s="11">
        <v>1000</v>
      </c>
      <c r="D287" s="11"/>
      <c r="E287" t="s">
        <v>352</v>
      </c>
      <c r="F287" s="52" t="s">
        <v>114</v>
      </c>
    </row>
    <row r="288" spans="1:7" x14ac:dyDescent="0.3">
      <c r="A288" s="104">
        <v>45937</v>
      </c>
      <c r="B288" t="s">
        <v>50</v>
      </c>
      <c r="C288" s="11"/>
      <c r="D288" s="11"/>
      <c r="E288" t="s">
        <v>325</v>
      </c>
      <c r="F288" s="52" t="s">
        <v>114</v>
      </c>
    </row>
    <row r="289" spans="1:7" x14ac:dyDescent="0.3">
      <c r="A289" s="104">
        <v>45937</v>
      </c>
      <c r="B289" t="s">
        <v>119</v>
      </c>
      <c r="C289" s="11">
        <v>10120</v>
      </c>
      <c r="D289" s="11"/>
      <c r="E289" t="s">
        <v>353</v>
      </c>
      <c r="F289" s="52" t="s">
        <v>113</v>
      </c>
    </row>
    <row r="290" spans="1:7" x14ac:dyDescent="0.3">
      <c r="A290" s="104">
        <v>45937</v>
      </c>
      <c r="B290" t="s">
        <v>25</v>
      </c>
      <c r="C290" s="11"/>
      <c r="D290" s="11">
        <v>498000</v>
      </c>
      <c r="E290">
        <v>54466</v>
      </c>
      <c r="F290" s="52" t="s">
        <v>113</v>
      </c>
    </row>
    <row r="291" spans="1:7" x14ac:dyDescent="0.3">
      <c r="A291" s="104">
        <v>45937</v>
      </c>
      <c r="B291" t="s">
        <v>98</v>
      </c>
      <c r="C291" s="11">
        <v>150000</v>
      </c>
      <c r="D291" s="11"/>
      <c r="E291" t="s">
        <v>354</v>
      </c>
      <c r="F291" s="52" t="s">
        <v>113</v>
      </c>
    </row>
    <row r="292" spans="1:7" x14ac:dyDescent="0.3">
      <c r="A292" s="104">
        <v>45937</v>
      </c>
      <c r="B292" t="s">
        <v>121</v>
      </c>
      <c r="C292" s="11"/>
      <c r="D292" s="11">
        <v>5000</v>
      </c>
      <c r="E292" t="s">
        <v>338</v>
      </c>
      <c r="F292" s="52" t="s">
        <v>114</v>
      </c>
    </row>
    <row r="293" spans="1:7" x14ac:dyDescent="0.3">
      <c r="A293" s="104">
        <v>45937</v>
      </c>
      <c r="B293" t="s">
        <v>121</v>
      </c>
      <c r="C293" s="11">
        <v>3500</v>
      </c>
      <c r="D293" s="11"/>
      <c r="E293" t="s">
        <v>359</v>
      </c>
      <c r="F293" s="52" t="s">
        <v>114</v>
      </c>
    </row>
    <row r="294" spans="1:7" x14ac:dyDescent="0.3">
      <c r="A294" s="104">
        <v>45937</v>
      </c>
      <c r="B294" t="s">
        <v>123</v>
      </c>
      <c r="C294" s="11">
        <v>4000</v>
      </c>
      <c r="D294" s="11"/>
      <c r="E294" t="s">
        <v>292</v>
      </c>
      <c r="F294" s="52" t="s">
        <v>113</v>
      </c>
    </row>
    <row r="295" spans="1:7" x14ac:dyDescent="0.3">
      <c r="A295" s="104">
        <v>45938</v>
      </c>
      <c r="B295" t="s">
        <v>363</v>
      </c>
      <c r="C295" s="11">
        <v>200000</v>
      </c>
      <c r="D295" s="11"/>
      <c r="E295" t="s">
        <v>191</v>
      </c>
      <c r="F295" s="52" t="s">
        <v>113</v>
      </c>
    </row>
    <row r="296" spans="1:7" x14ac:dyDescent="0.3">
      <c r="A296" s="104">
        <v>45938</v>
      </c>
      <c r="B296" t="s">
        <v>363</v>
      </c>
      <c r="C296" s="11">
        <v>56040</v>
      </c>
      <c r="D296" s="11"/>
      <c r="E296" t="s">
        <v>191</v>
      </c>
      <c r="F296" s="52" t="s">
        <v>113</v>
      </c>
    </row>
    <row r="297" spans="1:7" x14ac:dyDescent="0.3">
      <c r="A297" s="104">
        <v>45938</v>
      </c>
      <c r="B297" t="s">
        <v>54</v>
      </c>
      <c r="C297" s="11">
        <v>5416</v>
      </c>
      <c r="D297" s="11"/>
      <c r="E297" t="s">
        <v>203</v>
      </c>
      <c r="F297" s="52" t="s">
        <v>113</v>
      </c>
    </row>
    <row r="298" spans="1:7" x14ac:dyDescent="0.3">
      <c r="A298" s="104">
        <v>45938</v>
      </c>
      <c r="B298" t="s">
        <v>55</v>
      </c>
      <c r="C298" s="11">
        <v>8349</v>
      </c>
      <c r="D298" s="11"/>
      <c r="E298" t="s">
        <v>198</v>
      </c>
      <c r="F298" s="52" t="s">
        <v>113</v>
      </c>
    </row>
    <row r="299" spans="1:7" x14ac:dyDescent="0.3">
      <c r="A299" s="104">
        <v>45938</v>
      </c>
      <c r="B299" t="s">
        <v>287</v>
      </c>
      <c r="C299" s="11"/>
      <c r="D299" s="11"/>
      <c r="F299" s="52" t="s">
        <v>272</v>
      </c>
      <c r="G299">
        <v>60000</v>
      </c>
    </row>
    <row r="300" spans="1:7" x14ac:dyDescent="0.3">
      <c r="A300" s="104">
        <v>45938</v>
      </c>
      <c r="B300" t="s">
        <v>55</v>
      </c>
      <c r="C300" s="11">
        <v>13200</v>
      </c>
      <c r="D300" s="11"/>
      <c r="E300" t="s">
        <v>233</v>
      </c>
      <c r="F300" s="52" t="s">
        <v>113</v>
      </c>
    </row>
    <row r="301" spans="1:7" x14ac:dyDescent="0.3">
      <c r="A301" s="104">
        <v>45938</v>
      </c>
      <c r="B301" t="s">
        <v>21</v>
      </c>
      <c r="C301" s="11"/>
      <c r="D301" s="11">
        <v>13200</v>
      </c>
      <c r="E301" t="s">
        <v>233</v>
      </c>
      <c r="F301" s="52" t="s">
        <v>113</v>
      </c>
    </row>
    <row r="302" spans="1:7" x14ac:dyDescent="0.3">
      <c r="A302" s="104">
        <v>45938</v>
      </c>
      <c r="B302" t="s">
        <v>50</v>
      </c>
      <c r="C302" s="11">
        <v>800</v>
      </c>
      <c r="D302" s="11"/>
      <c r="E302" t="s">
        <v>169</v>
      </c>
      <c r="F302" s="52" t="s">
        <v>113</v>
      </c>
    </row>
    <row r="303" spans="1:7" x14ac:dyDescent="0.3">
      <c r="A303" s="104">
        <v>45938</v>
      </c>
      <c r="B303" t="s">
        <v>50</v>
      </c>
      <c r="C303" s="11">
        <v>11837</v>
      </c>
      <c r="D303" s="11"/>
      <c r="E303" t="s">
        <v>364</v>
      </c>
      <c r="F303" s="52" t="s">
        <v>114</v>
      </c>
    </row>
    <row r="304" spans="1:7" x14ac:dyDescent="0.3">
      <c r="A304" s="104">
        <v>45938</v>
      </c>
      <c r="B304" t="s">
        <v>123</v>
      </c>
      <c r="C304" s="11">
        <v>500</v>
      </c>
      <c r="D304" s="11"/>
      <c r="E304" t="s">
        <v>365</v>
      </c>
      <c r="F304" s="52" t="s">
        <v>114</v>
      </c>
    </row>
    <row r="305" spans="1:6" x14ac:dyDescent="0.3">
      <c r="A305" s="104">
        <v>45938</v>
      </c>
      <c r="B305" t="s">
        <v>123</v>
      </c>
      <c r="C305" s="47">
        <v>1500</v>
      </c>
      <c r="D305" s="47"/>
      <c r="E305" t="s">
        <v>389</v>
      </c>
      <c r="F305" s="52" t="s">
        <v>114</v>
      </c>
    </row>
    <row r="306" spans="1:6" x14ac:dyDescent="0.3">
      <c r="A306" s="104">
        <v>45938</v>
      </c>
      <c r="B306" t="s">
        <v>55</v>
      </c>
      <c r="C306" s="47">
        <v>26000</v>
      </c>
      <c r="D306" s="47"/>
      <c r="E306" t="s">
        <v>366</v>
      </c>
      <c r="F306" s="52" t="s">
        <v>113</v>
      </c>
    </row>
    <row r="307" spans="1:6" x14ac:dyDescent="0.3">
      <c r="A307" s="104">
        <v>45938</v>
      </c>
      <c r="B307" t="s">
        <v>21</v>
      </c>
      <c r="C307" s="11"/>
      <c r="D307" s="11">
        <v>26000</v>
      </c>
      <c r="E307" t="s">
        <v>367</v>
      </c>
      <c r="F307" s="52" t="s">
        <v>113</v>
      </c>
    </row>
    <row r="308" spans="1:6" x14ac:dyDescent="0.3">
      <c r="A308" s="104">
        <v>45938</v>
      </c>
      <c r="B308" t="s">
        <v>55</v>
      </c>
      <c r="C308" s="11">
        <v>6200</v>
      </c>
      <c r="D308" s="11"/>
      <c r="E308" t="s">
        <v>368</v>
      </c>
      <c r="F308" s="52" t="s">
        <v>113</v>
      </c>
    </row>
    <row r="309" spans="1:6" x14ac:dyDescent="0.3">
      <c r="A309" s="104">
        <v>45938</v>
      </c>
      <c r="B309" t="s">
        <v>21</v>
      </c>
      <c r="C309" s="11"/>
      <c r="D309" s="11">
        <v>6200</v>
      </c>
      <c r="E309" t="s">
        <v>369</v>
      </c>
      <c r="F309" s="52" t="s">
        <v>113</v>
      </c>
    </row>
    <row r="310" spans="1:6" x14ac:dyDescent="0.3">
      <c r="A310" s="104">
        <v>45938</v>
      </c>
      <c r="B310" t="s">
        <v>54</v>
      </c>
      <c r="C310" s="11">
        <v>3000</v>
      </c>
      <c r="D310" s="11"/>
      <c r="E310" t="s">
        <v>211</v>
      </c>
      <c r="F310" s="52" t="s">
        <v>114</v>
      </c>
    </row>
    <row r="311" spans="1:6" x14ac:dyDescent="0.3">
      <c r="A311" s="104">
        <v>45938</v>
      </c>
      <c r="B311" t="s">
        <v>98</v>
      </c>
      <c r="C311" s="11">
        <v>303003</v>
      </c>
      <c r="D311" s="11"/>
      <c r="E311" t="s">
        <v>201</v>
      </c>
      <c r="F311" s="52" t="s">
        <v>113</v>
      </c>
    </row>
    <row r="312" spans="1:6" x14ac:dyDescent="0.3">
      <c r="A312" s="104">
        <v>45938</v>
      </c>
      <c r="B312" t="s">
        <v>21</v>
      </c>
      <c r="C312" s="11"/>
      <c r="D312" s="11">
        <v>245000</v>
      </c>
      <c r="E312" t="s">
        <v>370</v>
      </c>
      <c r="F312" s="52" t="s">
        <v>113</v>
      </c>
    </row>
    <row r="313" spans="1:6" x14ac:dyDescent="0.3">
      <c r="A313" s="104">
        <v>45938</v>
      </c>
      <c r="B313" t="s">
        <v>27</v>
      </c>
      <c r="C313" s="11"/>
      <c r="D313" s="11">
        <v>100000</v>
      </c>
      <c r="F313" s="52" t="s">
        <v>113</v>
      </c>
    </row>
    <row r="314" spans="1:6" x14ac:dyDescent="0.3">
      <c r="A314" s="104">
        <v>45938</v>
      </c>
      <c r="B314" t="s">
        <v>371</v>
      </c>
      <c r="C314" s="11">
        <v>50000</v>
      </c>
      <c r="D314" s="11"/>
      <c r="E314" t="s">
        <v>372</v>
      </c>
      <c r="F314" s="52" t="s">
        <v>113</v>
      </c>
    </row>
    <row r="315" spans="1:6" x14ac:dyDescent="0.3">
      <c r="A315" s="104">
        <v>45938</v>
      </c>
      <c r="B315" t="s">
        <v>121</v>
      </c>
      <c r="C315" s="11">
        <v>15215</v>
      </c>
      <c r="D315" s="11"/>
      <c r="E315" t="s">
        <v>373</v>
      </c>
      <c r="F315" s="52" t="s">
        <v>113</v>
      </c>
    </row>
    <row r="316" spans="1:6" x14ac:dyDescent="0.3">
      <c r="A316" s="104">
        <v>45938</v>
      </c>
      <c r="B316" t="s">
        <v>50</v>
      </c>
      <c r="C316" s="11">
        <v>3000</v>
      </c>
      <c r="D316" s="11"/>
      <c r="E316" t="s">
        <v>374</v>
      </c>
      <c r="F316" s="52" t="s">
        <v>113</v>
      </c>
    </row>
    <row r="317" spans="1:6" x14ac:dyDescent="0.3">
      <c r="A317" s="104">
        <v>45938</v>
      </c>
      <c r="B317" t="s">
        <v>125</v>
      </c>
      <c r="C317" s="11">
        <v>8800</v>
      </c>
      <c r="D317" s="11"/>
      <c r="E317" t="s">
        <v>61</v>
      </c>
      <c r="F317" s="52" t="s">
        <v>113</v>
      </c>
    </row>
    <row r="318" spans="1:6" x14ac:dyDescent="0.3">
      <c r="A318" s="104">
        <v>45938</v>
      </c>
      <c r="B318" t="s">
        <v>50</v>
      </c>
      <c r="C318" s="11">
        <v>520</v>
      </c>
      <c r="D318" s="11"/>
      <c r="E318" t="s">
        <v>375</v>
      </c>
      <c r="F318" s="52" t="s">
        <v>113</v>
      </c>
    </row>
    <row r="319" spans="1:6" x14ac:dyDescent="0.3">
      <c r="A319" s="104">
        <v>45939</v>
      </c>
      <c r="B319" t="s">
        <v>25</v>
      </c>
      <c r="C319" s="11"/>
      <c r="D319" s="11">
        <v>553266</v>
      </c>
      <c r="E319" t="s">
        <v>379</v>
      </c>
      <c r="F319" s="52" t="s">
        <v>113</v>
      </c>
    </row>
    <row r="320" spans="1:6" x14ac:dyDescent="0.3">
      <c r="A320" s="104">
        <v>45939</v>
      </c>
      <c r="B320" t="s">
        <v>125</v>
      </c>
      <c r="C320" s="11">
        <v>80600</v>
      </c>
      <c r="D320" s="11"/>
      <c r="E320" t="s">
        <v>61</v>
      </c>
      <c r="F320" s="52" t="s">
        <v>113</v>
      </c>
    </row>
    <row r="321" spans="1:7" x14ac:dyDescent="0.3">
      <c r="A321" s="104">
        <v>45939</v>
      </c>
      <c r="B321" t="s">
        <v>21</v>
      </c>
      <c r="C321" s="11"/>
      <c r="D321" s="11">
        <v>1600</v>
      </c>
      <c r="E321" t="s">
        <v>380</v>
      </c>
      <c r="F321" s="52" t="s">
        <v>113</v>
      </c>
    </row>
    <row r="322" spans="1:7" x14ac:dyDescent="0.3">
      <c r="A322" s="104">
        <v>45939</v>
      </c>
      <c r="B322" t="s">
        <v>54</v>
      </c>
      <c r="C322" s="11">
        <v>1600</v>
      </c>
      <c r="D322" s="11"/>
      <c r="E322" t="s">
        <v>380</v>
      </c>
      <c r="F322" s="52" t="s">
        <v>113</v>
      </c>
    </row>
    <row r="323" spans="1:7" x14ac:dyDescent="0.3">
      <c r="A323" s="104">
        <v>45940</v>
      </c>
      <c r="B323" t="s">
        <v>243</v>
      </c>
      <c r="C323" s="47"/>
      <c r="D323" s="47">
        <v>250000</v>
      </c>
      <c r="E323" t="s">
        <v>381</v>
      </c>
      <c r="F323" s="52" t="s">
        <v>113</v>
      </c>
    </row>
    <row r="324" spans="1:7" x14ac:dyDescent="0.3">
      <c r="A324" s="104">
        <v>45940</v>
      </c>
      <c r="B324" t="s">
        <v>243</v>
      </c>
      <c r="C324" s="11"/>
      <c r="D324" s="11">
        <v>250000</v>
      </c>
      <c r="E324" t="s">
        <v>382</v>
      </c>
      <c r="F324" s="52" t="s">
        <v>113</v>
      </c>
    </row>
    <row r="325" spans="1:7" x14ac:dyDescent="0.3">
      <c r="A325" s="104">
        <v>45939</v>
      </c>
      <c r="B325" t="s">
        <v>383</v>
      </c>
      <c r="C325" s="11">
        <v>500000</v>
      </c>
      <c r="D325" s="11"/>
      <c r="E325" t="s">
        <v>384</v>
      </c>
      <c r="F325" s="52" t="s">
        <v>113</v>
      </c>
    </row>
    <row r="326" spans="1:7" x14ac:dyDescent="0.3">
      <c r="A326" s="104">
        <v>45939</v>
      </c>
      <c r="B326" t="s">
        <v>55</v>
      </c>
      <c r="C326" s="11">
        <v>9000</v>
      </c>
      <c r="D326" s="11"/>
      <c r="E326" t="s">
        <v>385</v>
      </c>
      <c r="F326" s="52" t="s">
        <v>113</v>
      </c>
    </row>
    <row r="327" spans="1:7" x14ac:dyDescent="0.3">
      <c r="A327" s="104">
        <v>45939</v>
      </c>
      <c r="B327" t="s">
        <v>317</v>
      </c>
      <c r="C327" s="11">
        <v>197150</v>
      </c>
      <c r="D327" s="11"/>
      <c r="E327" t="s">
        <v>386</v>
      </c>
      <c r="F327" s="52" t="s">
        <v>113</v>
      </c>
    </row>
    <row r="328" spans="1:7" x14ac:dyDescent="0.3">
      <c r="A328" s="104">
        <v>45939</v>
      </c>
      <c r="B328" t="s">
        <v>159</v>
      </c>
      <c r="C328" s="11">
        <v>70000</v>
      </c>
      <c r="D328" s="11"/>
      <c r="F328" s="52" t="s">
        <v>113</v>
      </c>
    </row>
    <row r="329" spans="1:7" x14ac:dyDescent="0.3">
      <c r="A329" s="104">
        <v>45939</v>
      </c>
      <c r="B329" t="s">
        <v>114</v>
      </c>
      <c r="C329" s="11"/>
      <c r="D329" s="11"/>
      <c r="F329" s="52" t="s">
        <v>272</v>
      </c>
      <c r="G329">
        <v>170000</v>
      </c>
    </row>
    <row r="330" spans="1:7" x14ac:dyDescent="0.3">
      <c r="A330" s="104">
        <v>45939</v>
      </c>
      <c r="B330" t="s">
        <v>54</v>
      </c>
      <c r="C330" s="11">
        <v>6440</v>
      </c>
      <c r="D330" s="11"/>
      <c r="F330" s="52" t="s">
        <v>113</v>
      </c>
    </row>
    <row r="331" spans="1:7" x14ac:dyDescent="0.3">
      <c r="A331" s="104">
        <v>45939</v>
      </c>
      <c r="B331" s="120" t="s">
        <v>123</v>
      </c>
      <c r="C331" s="47">
        <v>1500</v>
      </c>
      <c r="D331" s="47"/>
      <c r="E331" s="120" t="s">
        <v>387</v>
      </c>
      <c r="F331" s="121" t="s">
        <v>114</v>
      </c>
      <c r="G331" s="120"/>
    </row>
    <row r="332" spans="1:7" x14ac:dyDescent="0.3">
      <c r="A332" s="104">
        <v>45939</v>
      </c>
      <c r="B332" t="s">
        <v>123</v>
      </c>
      <c r="C332" s="11">
        <v>500</v>
      </c>
      <c r="D332" s="11"/>
      <c r="E332" t="s">
        <v>388</v>
      </c>
      <c r="F332" s="52" t="s">
        <v>114</v>
      </c>
    </row>
    <row r="333" spans="1:7" x14ac:dyDescent="0.3">
      <c r="A333" s="104">
        <v>45939</v>
      </c>
      <c r="B333" t="s">
        <v>121</v>
      </c>
      <c r="C333" s="11">
        <v>5300</v>
      </c>
      <c r="D333" s="11"/>
      <c r="E333" t="s">
        <v>390</v>
      </c>
      <c r="F333" s="52" t="s">
        <v>113</v>
      </c>
    </row>
    <row r="334" spans="1:7" x14ac:dyDescent="0.3">
      <c r="A334" s="104">
        <v>45939</v>
      </c>
      <c r="B334" t="s">
        <v>119</v>
      </c>
      <c r="C334" s="11">
        <v>20000</v>
      </c>
      <c r="D334" s="11"/>
      <c r="E334" t="s">
        <v>231</v>
      </c>
      <c r="F334" s="52" t="s">
        <v>113</v>
      </c>
    </row>
    <row r="335" spans="1:7" x14ac:dyDescent="0.3">
      <c r="A335" s="104">
        <v>45939</v>
      </c>
      <c r="B335" t="s">
        <v>52</v>
      </c>
      <c r="C335" s="11">
        <v>50000</v>
      </c>
      <c r="D335" s="11"/>
      <c r="E335" t="s">
        <v>292</v>
      </c>
      <c r="F335" s="52" t="s">
        <v>114</v>
      </c>
    </row>
    <row r="336" spans="1:7" x14ac:dyDescent="0.3">
      <c r="A336" s="104">
        <v>45939</v>
      </c>
      <c r="B336" t="s">
        <v>52</v>
      </c>
      <c r="C336" s="11">
        <v>80000</v>
      </c>
      <c r="D336" s="11"/>
      <c r="E336" t="s">
        <v>391</v>
      </c>
      <c r="F336" s="52" t="s">
        <v>114</v>
      </c>
    </row>
    <row r="337" spans="1:7" x14ac:dyDescent="0.3">
      <c r="A337" s="104">
        <v>45939</v>
      </c>
      <c r="B337" t="s">
        <v>52</v>
      </c>
      <c r="C337" s="11">
        <v>50000</v>
      </c>
      <c r="D337" s="11"/>
      <c r="E337" t="s">
        <v>392</v>
      </c>
      <c r="F337" s="52" t="s">
        <v>114</v>
      </c>
    </row>
    <row r="338" spans="1:7" x14ac:dyDescent="0.3">
      <c r="A338" s="119">
        <v>45939</v>
      </c>
      <c r="B338" s="120" t="s">
        <v>121</v>
      </c>
      <c r="C338" s="47">
        <v>3000</v>
      </c>
      <c r="D338" s="47"/>
      <c r="E338" s="120" t="s">
        <v>393</v>
      </c>
      <c r="F338" s="121" t="s">
        <v>113</v>
      </c>
      <c r="G338" s="120"/>
    </row>
    <row r="339" spans="1:7" x14ac:dyDescent="0.3">
      <c r="A339" s="119">
        <v>45939</v>
      </c>
      <c r="B339" s="120" t="s">
        <v>121</v>
      </c>
      <c r="C339" s="47">
        <v>2640</v>
      </c>
      <c r="D339" s="47"/>
      <c r="E339" s="120" t="s">
        <v>394</v>
      </c>
      <c r="F339" s="121" t="s">
        <v>113</v>
      </c>
      <c r="G339" s="120"/>
    </row>
    <row r="340" spans="1:7" x14ac:dyDescent="0.3">
      <c r="A340" s="119">
        <v>45939</v>
      </c>
      <c r="B340" s="120" t="s">
        <v>50</v>
      </c>
      <c r="C340" s="47">
        <v>140</v>
      </c>
      <c r="D340" s="47"/>
      <c r="E340" s="120" t="s">
        <v>395</v>
      </c>
      <c r="F340" s="121" t="s">
        <v>113</v>
      </c>
      <c r="G340" s="120"/>
    </row>
    <row r="341" spans="1:7" x14ac:dyDescent="0.3">
      <c r="A341" s="119">
        <v>45939</v>
      </c>
      <c r="B341" s="120" t="s">
        <v>114</v>
      </c>
      <c r="C341" s="47"/>
      <c r="D341" s="47"/>
      <c r="E341" s="120"/>
      <c r="F341" s="121" t="s">
        <v>272</v>
      </c>
      <c r="G341" s="120">
        <v>9000</v>
      </c>
    </row>
    <row r="342" spans="1:7" x14ac:dyDescent="0.3">
      <c r="A342" s="119">
        <v>45939</v>
      </c>
      <c r="B342" s="120" t="s">
        <v>50</v>
      </c>
      <c r="C342" s="47">
        <f>1050+400+260</f>
        <v>1710</v>
      </c>
      <c r="D342" s="47"/>
      <c r="E342" s="120"/>
      <c r="F342" s="121" t="s">
        <v>113</v>
      </c>
      <c r="G342" s="120"/>
    </row>
    <row r="343" spans="1:7" x14ac:dyDescent="0.3">
      <c r="A343" s="118">
        <v>45939</v>
      </c>
      <c r="B343" t="s">
        <v>21</v>
      </c>
      <c r="C343" s="11"/>
      <c r="D343" s="11">
        <v>1710</v>
      </c>
      <c r="F343" s="52" t="s">
        <v>113</v>
      </c>
    </row>
    <row r="344" spans="1:7" x14ac:dyDescent="0.3">
      <c r="A344" s="119">
        <v>45939</v>
      </c>
      <c r="B344" s="120" t="s">
        <v>55</v>
      </c>
      <c r="C344" s="47">
        <v>5940</v>
      </c>
      <c r="D344" s="47"/>
      <c r="E344" s="120"/>
      <c r="F344" s="121" t="s">
        <v>113</v>
      </c>
      <c r="G344" s="120"/>
    </row>
    <row r="345" spans="1:7" x14ac:dyDescent="0.3">
      <c r="A345" s="119">
        <v>45939</v>
      </c>
      <c r="B345" s="120" t="s">
        <v>21</v>
      </c>
      <c r="C345" s="47"/>
      <c r="D345" s="47">
        <v>5940</v>
      </c>
      <c r="E345" s="120"/>
      <c r="F345" s="121" t="s">
        <v>113</v>
      </c>
      <c r="G345" s="120"/>
    </row>
    <row r="346" spans="1:7" x14ac:dyDescent="0.3">
      <c r="A346" s="119">
        <v>45939</v>
      </c>
      <c r="B346" s="120" t="s">
        <v>64</v>
      </c>
      <c r="C346" s="47">
        <v>106500</v>
      </c>
      <c r="D346" s="47">
        <v>106500</v>
      </c>
      <c r="E346" s="120"/>
      <c r="F346" s="121" t="s">
        <v>113</v>
      </c>
      <c r="G346" s="120"/>
    </row>
    <row r="347" spans="1:7" x14ac:dyDescent="0.3">
      <c r="A347" s="119">
        <v>45939</v>
      </c>
      <c r="B347" s="120" t="s">
        <v>21</v>
      </c>
      <c r="C347" s="47">
        <v>106500</v>
      </c>
      <c r="D347" s="47">
        <v>106500</v>
      </c>
      <c r="E347" s="120" t="s">
        <v>64</v>
      </c>
      <c r="F347" s="121" t="s">
        <v>113</v>
      </c>
      <c r="G347" s="120"/>
    </row>
    <row r="348" spans="1:7" x14ac:dyDescent="0.3">
      <c r="A348" s="43"/>
      <c r="C348" s="14">
        <f>SUBTOTAL(109,Table14[Debit])</f>
        <v>13448706</v>
      </c>
      <c r="D348" s="14">
        <f>SUBTOTAL(109,Table14[Credit])</f>
        <v>13523290</v>
      </c>
      <c r="F348" s="62">
        <f>(Table14[[#Totals],[Credit]]-Table14[[#Totals],[Debit]])</f>
        <v>74584</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abSelected="1" zoomScale="93" zoomScaleNormal="210" workbookViewId="0">
      <selection activeCell="G18" sqref="G18"/>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3"/>
      <c r="M10" s="123">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3"/>
      <c r="M11" s="123">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3">
        <v>432125</v>
      </c>
      <c r="M12" s="123">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3">
        <v>432125</v>
      </c>
      <c r="M13" s="12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A15" s="1">
        <v>45939</v>
      </c>
      <c r="B15" t="s">
        <v>177</v>
      </c>
      <c r="C15">
        <v>2</v>
      </c>
      <c r="D15" s="123">
        <f>23000/25</f>
        <v>920</v>
      </c>
      <c r="E15">
        <f>Table8[[#This Row],[Boxes]]*Table8[[#This Row],[Rate]]*25</f>
        <v>46000</v>
      </c>
      <c r="F15" t="s">
        <v>101</v>
      </c>
      <c r="G15">
        <v>46000</v>
      </c>
      <c r="H15" s="123">
        <f>Table8[[#This Row],[Price]]-Table8[[#This Row],[Paid]]</f>
        <v>0</v>
      </c>
    </row>
    <row r="16" spans="1:14" x14ac:dyDescent="0.3">
      <c r="A16" s="1">
        <v>45939</v>
      </c>
      <c r="B16" t="s">
        <v>134</v>
      </c>
      <c r="C16">
        <v>1</v>
      </c>
      <c r="D16" s="123">
        <v>1120</v>
      </c>
      <c r="E16">
        <f>Table8[[#This Row],[Rate]]*25</f>
        <v>28000</v>
      </c>
      <c r="F16" t="s">
        <v>101</v>
      </c>
      <c r="G16">
        <v>28000</v>
      </c>
      <c r="H16" s="123">
        <f>Table8[[#This Row],[Price]]-Table8[[#This Row],[Paid]]</f>
        <v>0</v>
      </c>
    </row>
    <row r="17" spans="1:16" x14ac:dyDescent="0.3">
      <c r="A17" s="1">
        <v>45939</v>
      </c>
      <c r="B17" t="s">
        <v>155</v>
      </c>
      <c r="C17">
        <v>1</v>
      </c>
      <c r="D17" s="123">
        <v>1300</v>
      </c>
      <c r="E17">
        <f>Table8[[#This Row],[Rate]]*25</f>
        <v>32500</v>
      </c>
      <c r="F17" t="s">
        <v>101</v>
      </c>
      <c r="G17">
        <v>32500</v>
      </c>
      <c r="H17" s="123">
        <f>Table8[[#This Row],[Price]]-Table8[[#This Row],[Paid]]</f>
        <v>0</v>
      </c>
      <c r="L17" t="s">
        <v>181</v>
      </c>
    </row>
    <row r="18" spans="1:16" x14ac:dyDescent="0.3">
      <c r="E18">
        <f>SUBTOTAL(109,Table8[Price])</f>
        <v>885375</v>
      </c>
      <c r="H18">
        <f>SUBTOTAL(109,Table8[Balance])</f>
        <v>640125</v>
      </c>
      <c r="L18" t="s">
        <v>57</v>
      </c>
      <c r="M18" t="s">
        <v>174</v>
      </c>
      <c r="N18" t="s">
        <v>175</v>
      </c>
      <c r="O18" t="s">
        <v>4</v>
      </c>
      <c r="P18" t="s">
        <v>176</v>
      </c>
    </row>
    <row r="19" spans="1:16" x14ac:dyDescent="0.3">
      <c r="L19" t="s">
        <v>139</v>
      </c>
      <c r="M19">
        <v>1</v>
      </c>
      <c r="N19">
        <v>25</v>
      </c>
      <c r="O19">
        <v>1400</v>
      </c>
      <c r="P19">
        <v>35000</v>
      </c>
    </row>
    <row r="20" spans="1:16" x14ac:dyDescent="0.3">
      <c r="L20" t="s">
        <v>137</v>
      </c>
      <c r="M20">
        <v>1</v>
      </c>
      <c r="N20">
        <v>25</v>
      </c>
      <c r="O20">
        <v>1340</v>
      </c>
      <c r="P20">
        <v>33500</v>
      </c>
    </row>
    <row r="21" spans="1:16" x14ac:dyDescent="0.3">
      <c r="L21" t="s">
        <v>156</v>
      </c>
      <c r="M21">
        <v>2</v>
      </c>
      <c r="N21">
        <v>50</v>
      </c>
      <c r="O21">
        <v>1140</v>
      </c>
      <c r="P21">
        <v>57000</v>
      </c>
    </row>
    <row r="22" spans="1:16" x14ac:dyDescent="0.3">
      <c r="L22" t="s">
        <v>134</v>
      </c>
      <c r="M22">
        <v>1</v>
      </c>
      <c r="N22">
        <v>25</v>
      </c>
      <c r="O22">
        <v>1140</v>
      </c>
      <c r="P22">
        <v>28500</v>
      </c>
    </row>
    <row r="23" spans="1:16" x14ac:dyDescent="0.3">
      <c r="L23" t="s">
        <v>133</v>
      </c>
      <c r="M23">
        <v>2</v>
      </c>
      <c r="N23">
        <v>50</v>
      </c>
      <c r="O23">
        <v>1130</v>
      </c>
      <c r="P23">
        <v>56500</v>
      </c>
    </row>
    <row r="24" spans="1:16" x14ac:dyDescent="0.3">
      <c r="L24" t="s">
        <v>155</v>
      </c>
      <c r="M24">
        <v>1</v>
      </c>
      <c r="N24">
        <v>25</v>
      </c>
      <c r="O24">
        <v>1300</v>
      </c>
      <c r="P24">
        <v>32500</v>
      </c>
    </row>
    <row r="25" spans="1:16" x14ac:dyDescent="0.3">
      <c r="L25" t="s">
        <v>140</v>
      </c>
      <c r="M25">
        <v>1</v>
      </c>
      <c r="N25">
        <v>25</v>
      </c>
      <c r="O25">
        <v>1450</v>
      </c>
      <c r="P25">
        <v>36250</v>
      </c>
    </row>
    <row r="26" spans="1:16" x14ac:dyDescent="0.3">
      <c r="L26" t="s">
        <v>177</v>
      </c>
      <c r="N26">
        <v>6</v>
      </c>
      <c r="O26">
        <v>940</v>
      </c>
      <c r="P26">
        <v>5640</v>
      </c>
    </row>
    <row r="27" spans="1:16" x14ac:dyDescent="0.3">
      <c r="L27" t="s">
        <v>133</v>
      </c>
      <c r="N27">
        <v>8</v>
      </c>
      <c r="O27">
        <v>1130</v>
      </c>
      <c r="P27">
        <v>9040</v>
      </c>
    </row>
    <row r="28" spans="1:16" x14ac:dyDescent="0.3">
      <c r="L28" t="s">
        <v>155</v>
      </c>
      <c r="N28">
        <v>10</v>
      </c>
      <c r="O28">
        <v>1300</v>
      </c>
      <c r="P28">
        <v>13000</v>
      </c>
    </row>
    <row r="29" spans="1:16" x14ac:dyDescent="0.3">
      <c r="L29" t="s">
        <v>141</v>
      </c>
      <c r="N29">
        <v>9</v>
      </c>
      <c r="O29">
        <v>1650</v>
      </c>
      <c r="P29">
        <v>14850</v>
      </c>
    </row>
    <row r="30" spans="1:16" x14ac:dyDescent="0.3">
      <c r="L30" t="s">
        <v>137</v>
      </c>
      <c r="N30">
        <v>5</v>
      </c>
      <c r="O30">
        <v>1340</v>
      </c>
      <c r="P30">
        <v>6700</v>
      </c>
    </row>
    <row r="31" spans="1:16" x14ac:dyDescent="0.3">
      <c r="L31" t="s">
        <v>140</v>
      </c>
      <c r="N31">
        <v>20</v>
      </c>
      <c r="O31">
        <v>1450</v>
      </c>
      <c r="P31">
        <v>29000</v>
      </c>
    </row>
    <row r="32" spans="1: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4"/>
  <sheetViews>
    <sheetView workbookViewId="0">
      <selection activeCell="F13" sqref="F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124</v>
      </c>
      <c r="K5" s="123">
        <v>0</v>
      </c>
      <c r="L5" s="123">
        <v>0</v>
      </c>
      <c r="M5" s="123">
        <v>-5000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125</v>
      </c>
      <c r="K6" s="123">
        <v>459850</v>
      </c>
      <c r="L6" s="123">
        <v>779150</v>
      </c>
      <c r="M6" s="123">
        <v>-8800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215</v>
      </c>
      <c r="K7" s="123">
        <v>62500</v>
      </c>
      <c r="L7" s="123">
        <v>0</v>
      </c>
      <c r="M7" s="123">
        <v>62500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28</v>
      </c>
      <c r="K8" s="123">
        <v>522350</v>
      </c>
      <c r="L8" s="123">
        <v>779150</v>
      </c>
      <c r="M8" s="123">
        <v>48700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125</v>
      </c>
      <c r="C12" t="s">
        <v>61</v>
      </c>
      <c r="D12">
        <v>2</v>
      </c>
      <c r="F12">
        <f>Table2[[#This Row],[Quantity]]*250</f>
        <v>0</v>
      </c>
      <c r="G12">
        <f>SUMIFS(Table14[Debit], Table14[Date], Table2[[#This Row],[Date]], Table14[Party], Table2[[#This Row],[Party Name]],Table14[Description],Table2[[#This Row],[Item]])</f>
        <v>8800</v>
      </c>
      <c r="H12">
        <f>Table2[[#This Row],[Price]]-Table2[[#This Row],[Paid]]</f>
        <v>-8800</v>
      </c>
    </row>
    <row r="13" spans="1:13" x14ac:dyDescent="0.3">
      <c r="A13" s="1">
        <v>45939</v>
      </c>
      <c r="B13" s="1" t="s">
        <v>125</v>
      </c>
      <c r="C13" t="s">
        <v>61</v>
      </c>
      <c r="F13" s="123">
        <f>Table2[[#This Row],[Quantity]]*250</f>
        <v>0</v>
      </c>
      <c r="G13" s="123">
        <f>SUMIFS(Table14[Debit], Table14[Date], Table2[[#This Row],[Date]], Table14[Party], Table2[[#This Row],[Party Name]],Table14[Description],Table2[[#This Row],[Item]])</f>
        <v>80600</v>
      </c>
      <c r="H13" s="123">
        <f>Table2[[#This Row],[Price]]-Table2[[#This Row],[Paid]]</f>
        <v>-80600</v>
      </c>
    </row>
    <row r="14" spans="1:13" x14ac:dyDescent="0.3">
      <c r="A14" s="1"/>
      <c r="F14">
        <f>SUBTOTAL(109,Table2[Price])</f>
        <v>522350</v>
      </c>
      <c r="G14">
        <f>SUBTOTAL(109,Table2[Paid])</f>
        <v>859750</v>
      </c>
      <c r="H14">
        <f>SUBTOTAL(109,Table2[Balance])</f>
        <v>-31900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H30" sqref="H3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389</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292</v>
      </c>
    </row>
    <row r="26" spans="2:10" x14ac:dyDescent="0.3">
      <c r="B26" s="1">
        <v>45939</v>
      </c>
      <c r="C26" s="20">
        <f>SUMIFS(Table14[Debit], Table14[Date], Table11[[#This Row],[Date]], Table14[Party],"Salary ", Table14[Description],Table11[[#This Row],[Column1]])</f>
        <v>0</v>
      </c>
      <c r="H26" s="1">
        <v>45938</v>
      </c>
      <c r="I26">
        <f>SUMIFS(Table14[Debit], Table14[Date], Table16[[#This Row],[Date]], Table14[Party], "Advance Salary", Table14[Description], Table16[[#This Row],[Person]] )</f>
        <v>1500</v>
      </c>
      <c r="J26" t="s">
        <v>389</v>
      </c>
    </row>
    <row r="27" spans="2:10" x14ac:dyDescent="0.3">
      <c r="B27" s="1">
        <v>45940</v>
      </c>
      <c r="C27" s="20">
        <f>SUMIFS(Table14[Debit], Table14[Date], Table11[[#This Row],[Date]], Table14[Party],"Salary ", Table14[Description],Table11[[#This Row],[Column1]])</f>
        <v>0</v>
      </c>
      <c r="H27" s="1">
        <v>45938</v>
      </c>
      <c r="I27">
        <f>SUMIFS(Table14[Debit], Table14[Date], Table16[[#This Row],[Date]], Table14[Party], "Advance Salary", Table14[Description], Table16[[#This Row],[Person]] )</f>
        <v>500</v>
      </c>
      <c r="J27" t="s">
        <v>396</v>
      </c>
    </row>
    <row r="28" spans="2:10" x14ac:dyDescent="0.3">
      <c r="B28" s="1">
        <v>45941</v>
      </c>
      <c r="C28" s="20">
        <f>SUMIFS(Table14[Debit], Table14[Date], Table11[[#This Row],[Date]], Table14[Party],"Salary ", Table14[Description],Table11[[#This Row],[Column1]])</f>
        <v>0</v>
      </c>
      <c r="H28" s="1">
        <v>45939</v>
      </c>
      <c r="I28">
        <f>SUMIFS(Table14[Debit], Table14[Date], Table16[[#This Row],[Date]], Table14[Party], "Advance Salary", Table14[Description], Table16[[#This Row],[Person]] )</f>
        <v>1500</v>
      </c>
      <c r="J28" t="s">
        <v>387</v>
      </c>
    </row>
    <row r="29" spans="2:10" x14ac:dyDescent="0.3">
      <c r="B29" s="1">
        <v>45942</v>
      </c>
      <c r="C29" s="20">
        <f>SUMIFS(Table14[Debit], Table14[Date], Table11[[#This Row],[Date]], Table14[Party],"Salary ", Table14[Description],Table11[[#This Row],[Column1]])</f>
        <v>0</v>
      </c>
      <c r="H29" s="1">
        <v>45939</v>
      </c>
      <c r="I29">
        <f>SUMIFS(Table14[Debit], Table14[Date], Table16[[#This Row],[Date]], Table14[Party], "Advance Salary", Table14[Description], Table16[[#This Row],[Person]] )</f>
        <v>500</v>
      </c>
      <c r="J29" t="s">
        <v>388</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69000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1526841.0197512801</v>
      </c>
      <c r="C2" s="37">
        <f>GETPIVOTDATA("Sum of Tiyaar/gaz",$A$3)</f>
        <v>1551549</v>
      </c>
      <c r="D2" s="36">
        <f>((B2*48)+((C2/1.0936)*10))/C2</f>
        <v>56.379724729612931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397</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24172</v>
      </c>
      <c r="D71" s="33">
        <f t="shared" si="25"/>
        <v>110.18994935224647</v>
      </c>
      <c r="E71" s="11">
        <f t="shared" si="26"/>
        <v>55647.835999999996</v>
      </c>
      <c r="F71" s="11">
        <f t="shared" si="27"/>
        <v>24172</v>
      </c>
      <c r="G71" s="86">
        <f t="shared" si="28"/>
        <v>56.562551686645996</v>
      </c>
      <c r="H71" s="33">
        <f t="shared" si="29"/>
        <v>22103.145574250186</v>
      </c>
      <c r="I71" s="33">
        <f t="shared" si="30"/>
        <v>110.18994935224647</v>
      </c>
    </row>
    <row r="72" spans="1:9" x14ac:dyDescent="0.3">
      <c r="A72" s="16" t="s">
        <v>28</v>
      </c>
      <c r="B72" s="35">
        <v>100795</v>
      </c>
      <c r="C72" s="35">
        <v>1551549</v>
      </c>
      <c r="D72" s="33">
        <f t="shared" si="25"/>
        <v>12.262388475288095</v>
      </c>
      <c r="E72" s="11">
        <f t="shared" si="26"/>
        <v>110229.412</v>
      </c>
      <c r="F72" s="11">
        <f t="shared" si="27"/>
        <v>1551549</v>
      </c>
      <c r="G72" s="86">
        <f t="shared" si="28"/>
        <v>-1307.5635276000564</v>
      </c>
      <c r="H72" s="33">
        <f t="shared" si="29"/>
        <v>1418753.657644477</v>
      </c>
      <c r="I72" s="33">
        <f t="shared" si="30"/>
        <v>12.262388475288095</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53749</v>
      </c>
    </row>
    <row r="26" spans="2:10" x14ac:dyDescent="0.3">
      <c r="B26" s="1">
        <v>45939</v>
      </c>
      <c r="C26" t="s">
        <v>119</v>
      </c>
      <c r="D26">
        <f>SUMIFS(Table14[Debit], Table14[Date], Table5[[#This Row],[Date]], Table14[Party], "Rashan")</f>
        <v>20000</v>
      </c>
      <c r="H26" s="1">
        <v>45939</v>
      </c>
      <c r="J26">
        <f>SUMIFS(Table14[Debit], Table14[Date], Table15[[#This Row],[Date]], Table14[Party], "Parts")</f>
        <v>14940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10938343</v>
      </c>
      <c r="C2" s="109">
        <f>Billing!X5</f>
        <v>3583308.4264813494</v>
      </c>
    </row>
    <row r="3" spans="1:3" ht="18" x14ac:dyDescent="0.35">
      <c r="A3" s="89" t="str">
        <f>Billing!O6</f>
        <v>Ejaz Sahab</v>
      </c>
      <c r="B3" s="14">
        <f>Billing!W6</f>
        <v>859904</v>
      </c>
      <c r="C3" s="109">
        <f>Billing!X6</f>
        <v>624463.22750548646</v>
      </c>
    </row>
    <row r="4" spans="1:3" ht="18" x14ac:dyDescent="0.35">
      <c r="A4" s="89" t="str">
        <f>Billing!O7</f>
        <v>Arshad</v>
      </c>
      <c r="B4" s="14">
        <f>Billing!W7</f>
        <v>1906701</v>
      </c>
      <c r="C4" s="110">
        <f>Billing!X7</f>
        <v>221131.84564740304</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3751266</v>
      </c>
      <c r="C7" s="109">
        <f>Billing!X10</f>
        <v>62916.5164594003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2025-10-10T00:51:31Z</dcterms:modified>
  <cp:category/>
  <cp:contentStatus/>
</cp:coreProperties>
</file>