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2812" documentId="8_{04F26ED9-7C3F-46BE-B42F-003E2A3A444E}" xr6:coauthVersionLast="47" xr6:coauthVersionMax="47" xr10:uidLastSave="{AE2B8F3C-A645-4CEA-8F42-7C323BA4838F}"/>
  <bookViews>
    <workbookView xWindow="-108" yWindow="-108" windowWidth="23256" windowHeight="12456" firstSheet="5" activeTab="6"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8" i="6" l="1"/>
  <c r="I48" i="6"/>
  <c r="H47" i="6"/>
  <c r="I47" i="6" s="1"/>
  <c r="G47" i="6"/>
  <c r="A14" i="21"/>
  <c r="B44" i="9" a="1"/>
  <c r="B44" i="9" s="1"/>
  <c r="I71" i="1"/>
  <c r="J71" i="1" a="1"/>
  <c r="J71" i="1" s="1"/>
  <c r="I72" i="1"/>
  <c r="J72" i="1" s="1" a="1"/>
  <c r="J72" i="1" s="1"/>
  <c r="I73" i="1"/>
  <c r="J73" i="1" s="1" a="1"/>
  <c r="J73" i="1" s="1"/>
  <c r="I74" i="1"/>
  <c r="J74" i="1" s="1" a="1"/>
  <c r="J74" i="1" s="1"/>
  <c r="I75" i="1"/>
  <c r="J75" i="1" s="1" a="1"/>
  <c r="J75" i="1" s="1"/>
  <c r="I76" i="1"/>
  <c r="J76" i="1" s="1" a="1"/>
  <c r="J76" i="1" s="1"/>
  <c r="I77" i="1"/>
  <c r="J77" i="1" a="1"/>
  <c r="J77" i="1" s="1"/>
  <c r="I78" i="1"/>
  <c r="J78" i="1" s="1" a="1"/>
  <c r="J78" i="1" s="1"/>
  <c r="I79" i="1"/>
  <c r="J79" i="1" s="1" a="1"/>
  <c r="J79" i="1" s="1"/>
  <c r="I80" i="1"/>
  <c r="J80" i="1" s="1" a="1"/>
  <c r="J80" i="1" s="1"/>
  <c r="I81" i="1"/>
  <c r="J81" i="1" s="1" a="1"/>
  <c r="J81" i="1" s="1"/>
  <c r="I82" i="1"/>
  <c r="J82" i="1" s="1" a="1"/>
  <c r="J82" i="1" s="1"/>
  <c r="I83" i="1"/>
  <c r="J83" i="1" a="1"/>
  <c r="J83" i="1" s="1"/>
  <c r="H46" i="6"/>
  <c r="I46" i="6" s="1"/>
  <c r="G46" i="6"/>
  <c r="I63" i="1" l="1"/>
  <c r="J63" i="1" s="1" a="1"/>
  <c r="J63" i="1" s="1"/>
  <c r="I64" i="1"/>
  <c r="J64" i="1" s="1" a="1"/>
  <c r="J64" i="1" s="1"/>
  <c r="I65" i="1"/>
  <c r="J65" i="1" s="1" a="1"/>
  <c r="J65" i="1" s="1"/>
  <c r="I66" i="1"/>
  <c r="J66" i="1" s="1" a="1"/>
  <c r="J66" i="1" s="1"/>
  <c r="I67" i="1"/>
  <c r="J67" i="1" s="1" a="1"/>
  <c r="J67" i="1" s="1"/>
  <c r="I68" i="1"/>
  <c r="J68" i="1" s="1" a="1"/>
  <c r="J68" i="1" s="1"/>
  <c r="I69" i="1"/>
  <c r="J69" i="1" s="1" a="1"/>
  <c r="J69" i="1" s="1"/>
  <c r="I70" i="1"/>
  <c r="J70" i="1" s="1" a="1"/>
  <c r="J70" i="1" s="1"/>
  <c r="H45" i="6"/>
  <c r="I45" i="6" s="1"/>
  <c r="G41" i="6"/>
  <c r="G42" i="6"/>
  <c r="G43" i="6"/>
  <c r="G44" i="6"/>
  <c r="G45" i="6"/>
  <c r="I41" i="6"/>
  <c r="I42" i="6"/>
  <c r="I43" i="6"/>
  <c r="I44" i="6"/>
  <c r="G6" i="6"/>
  <c r="H39" i="6"/>
  <c r="I39" i="6" s="1"/>
  <c r="I40" i="6"/>
  <c r="G39" i="6"/>
  <c r="H31" i="6"/>
  <c r="I31" i="6" s="1"/>
  <c r="G31" i="6"/>
  <c r="G40" i="6"/>
  <c r="I13" i="1"/>
  <c r="J13" i="1" s="1" a="1"/>
  <c r="J13" i="1" s="1"/>
  <c r="D3" i="17"/>
  <c r="E8" i="7"/>
  <c r="E9" i="7"/>
  <c r="E10" i="7"/>
  <c r="E11" i="7"/>
  <c r="E12" i="7"/>
  <c r="H12" i="7"/>
  <c r="E13" i="7"/>
  <c r="H13" i="7"/>
  <c r="E14" i="7"/>
  <c r="H14" i="7"/>
  <c r="E7" i="7"/>
  <c r="H7" i="7"/>
  <c r="H8" i="7"/>
  <c r="H9" i="7"/>
  <c r="H10" i="7"/>
  <c r="H11" i="7"/>
  <c r="I57" i="1"/>
  <c r="J57" i="1" s="1" a="1"/>
  <c r="J57" i="1" s="1"/>
  <c r="I58" i="1"/>
  <c r="J58" i="1" s="1" a="1"/>
  <c r="J58" i="1" s="1"/>
  <c r="I59" i="1"/>
  <c r="J59" i="1" s="1" a="1"/>
  <c r="J59" i="1" s="1"/>
  <c r="I60" i="1"/>
  <c r="J60" i="1" s="1" a="1"/>
  <c r="J60" i="1" s="1"/>
  <c r="I61" i="1"/>
  <c r="J61" i="1" s="1" a="1"/>
  <c r="J61" i="1" s="1"/>
  <c r="I62" i="1"/>
  <c r="J62" i="1" s="1" a="1"/>
  <c r="J62" i="1" s="1"/>
  <c r="H37" i="6"/>
  <c r="I37" i="6" s="1"/>
  <c r="G38" i="6"/>
  <c r="I38" i="6"/>
  <c r="G37" i="6"/>
  <c r="G36" i="6"/>
  <c r="I36" i="6"/>
  <c r="G34" i="6"/>
  <c r="I34" i="6"/>
  <c r="G10" i="15"/>
  <c r="H10" i="15" s="1"/>
  <c r="F10" i="15"/>
  <c r="G5" i="15"/>
  <c r="G6" i="15"/>
  <c r="G7" i="15"/>
  <c r="H7" i="15" s="1"/>
  <c r="F7" i="15"/>
  <c r="G8" i="15"/>
  <c r="H8" i="15" s="1"/>
  <c r="F8" i="15"/>
  <c r="G9" i="15"/>
  <c r="H9" i="15" s="1"/>
  <c r="G11" i="15"/>
  <c r="H11" i="15" s="1"/>
  <c r="G12" i="15"/>
  <c r="H12" i="15" s="1"/>
  <c r="F12" i="15"/>
  <c r="H6" i="7"/>
  <c r="I52" i="1"/>
  <c r="J52" i="1" s="1" a="1"/>
  <c r="J52" i="1" s="1"/>
  <c r="I53" i="1"/>
  <c r="J53" i="1" s="1" a="1"/>
  <c r="J53" i="1" s="1"/>
  <c r="I54" i="1"/>
  <c r="J54" i="1" s="1" a="1"/>
  <c r="J54" i="1" s="1"/>
  <c r="I55" i="1"/>
  <c r="J55" i="1" s="1" a="1"/>
  <c r="J55" i="1" s="1"/>
  <c r="I56" i="1"/>
  <c r="J56" i="1" s="1" a="1"/>
  <c r="J56" i="1" s="1"/>
  <c r="H35" i="6"/>
  <c r="I35" i="6" s="1"/>
  <c r="G35" i="6"/>
  <c r="G5" i="7"/>
  <c r="H5" i="7" s="1"/>
  <c r="H15" i="7" s="1"/>
  <c r="H3" i="7"/>
  <c r="H4" i="7"/>
  <c r="D145" i="17"/>
  <c r="I51" i="1"/>
  <c r="J51" i="1" s="1" a="1"/>
  <c r="J51" i="1" s="1"/>
  <c r="H33" i="6"/>
  <c r="I33" i="6" s="1"/>
  <c r="H32" i="6"/>
  <c r="I32" i="6" s="1"/>
  <c r="G32" i="6"/>
  <c r="G33" i="6"/>
  <c r="I42" i="1"/>
  <c r="J42" i="1" s="1" a="1"/>
  <c r="J42" i="1" s="1"/>
  <c r="I43" i="1"/>
  <c r="J43" i="1" s="1" a="1"/>
  <c r="J43" i="1" s="1"/>
  <c r="I44" i="1"/>
  <c r="J44" i="1" s="1" a="1"/>
  <c r="J44" i="1" s="1"/>
  <c r="I45" i="1"/>
  <c r="J45" i="1" s="1" a="1"/>
  <c r="J45" i="1" s="1"/>
  <c r="I46" i="1"/>
  <c r="J46" i="1" s="1" a="1"/>
  <c r="J46" i="1" s="1"/>
  <c r="I47" i="1"/>
  <c r="J47" i="1" s="1" a="1"/>
  <c r="J47" i="1" s="1"/>
  <c r="I48" i="1"/>
  <c r="J48" i="1" s="1" a="1"/>
  <c r="J48" i="1" s="1"/>
  <c r="I49" i="1"/>
  <c r="J49" i="1" s="1" a="1"/>
  <c r="J49" i="1" s="1"/>
  <c r="I50" i="1"/>
  <c r="J50" i="1" s="1" a="1"/>
  <c r="J50" i="1" s="1"/>
  <c r="C10" i="12"/>
  <c r="C11" i="12"/>
  <c r="C9" i="12"/>
  <c r="D98" i="17"/>
  <c r="I39" i="1"/>
  <c r="J39" i="1" s="1" a="1"/>
  <c r="J39" i="1" s="1"/>
  <c r="I40" i="1"/>
  <c r="J40" i="1" s="1" a="1"/>
  <c r="J40" i="1" s="1"/>
  <c r="I41" i="1"/>
  <c r="J41" i="1" s="1" a="1"/>
  <c r="J41" i="1" s="1"/>
  <c r="H28" i="6"/>
  <c r="I28" i="6" s="1"/>
  <c r="H27" i="6"/>
  <c r="I27" i="6" s="1"/>
  <c r="G26" i="6"/>
  <c r="G27" i="6"/>
  <c r="G28" i="6"/>
  <c r="G29" i="6"/>
  <c r="G30" i="6"/>
  <c r="I26" i="6"/>
  <c r="I29" i="6"/>
  <c r="I30" i="6"/>
  <c r="I35" i="1"/>
  <c r="J35" i="1" s="1" a="1"/>
  <c r="J35" i="1" s="1"/>
  <c r="I36" i="1"/>
  <c r="J36" i="1" s="1" a="1"/>
  <c r="J36" i="1" s="1"/>
  <c r="I37" i="1"/>
  <c r="J37" i="1" s="1" a="1"/>
  <c r="J37" i="1" s="1"/>
  <c r="I38" i="1"/>
  <c r="J38" i="1" s="1" a="1"/>
  <c r="J38" i="1" s="1"/>
  <c r="H25" i="6"/>
  <c r="I25" i="6" s="1"/>
  <c r="G25" i="6"/>
  <c r="I23" i="6"/>
  <c r="H24" i="6"/>
  <c r="I24" i="6" s="1"/>
  <c r="H20" i="6"/>
  <c r="I20" i="6" s="1"/>
  <c r="H21" i="6"/>
  <c r="I21" i="6" s="1"/>
  <c r="H22" i="6"/>
  <c r="I22" i="6" s="1"/>
  <c r="G24" i="6"/>
  <c r="G23" i="6"/>
  <c r="G22" i="6"/>
  <c r="H19" i="6"/>
  <c r="I19" i="6" s="1"/>
  <c r="D71" i="17"/>
  <c r="I28" i="1"/>
  <c r="J28" i="1" s="1" a="1"/>
  <c r="J28" i="1" s="1"/>
  <c r="I29" i="1"/>
  <c r="J29" i="1" s="1" a="1"/>
  <c r="J29" i="1" s="1"/>
  <c r="I30" i="1"/>
  <c r="J30" i="1" s="1" a="1"/>
  <c r="J30" i="1" s="1"/>
  <c r="I31" i="1"/>
  <c r="J31" i="1" s="1" a="1"/>
  <c r="J31" i="1" s="1"/>
  <c r="I32" i="1"/>
  <c r="J32" i="1" s="1" a="1"/>
  <c r="J32" i="1" s="1"/>
  <c r="I33" i="1"/>
  <c r="J33" i="1" s="1" a="1"/>
  <c r="J33" i="1" s="1"/>
  <c r="I34" i="1"/>
  <c r="J34" i="1" s="1" a="1"/>
  <c r="J34" i="1" s="1"/>
  <c r="I25" i="1"/>
  <c r="J25" i="1" s="1" a="1"/>
  <c r="J25" i="1" s="1"/>
  <c r="I26" i="1"/>
  <c r="J26" i="1" s="1" a="1"/>
  <c r="J26" i="1" s="1"/>
  <c r="I27" i="1"/>
  <c r="J27" i="1" s="1" a="1"/>
  <c r="J27" i="1" s="1"/>
  <c r="F5" i="15"/>
  <c r="F6" i="15"/>
  <c r="H18" i="6"/>
  <c r="I18" i="6" s="1"/>
  <c r="H16" i="6"/>
  <c r="I16" i="6" s="1"/>
  <c r="D61" i="17"/>
  <c r="D54" i="17"/>
  <c r="H14" i="6"/>
  <c r="I14" i="6" s="1"/>
  <c r="D44" i="17"/>
  <c r="I16" i="1"/>
  <c r="J16" i="1" s="1" a="1"/>
  <c r="J16" i="1" s="1"/>
  <c r="I17" i="1"/>
  <c r="J17" i="1" s="1" a="1"/>
  <c r="J17" i="1" s="1"/>
  <c r="I18" i="1"/>
  <c r="J18" i="1" s="1" a="1"/>
  <c r="J18" i="1" s="1"/>
  <c r="I19" i="1"/>
  <c r="J19" i="1" s="1" a="1"/>
  <c r="J19" i="1" s="1"/>
  <c r="I20" i="1"/>
  <c r="J20" i="1" s="1" a="1"/>
  <c r="J20" i="1" s="1"/>
  <c r="I21" i="1"/>
  <c r="J21" i="1" s="1" a="1"/>
  <c r="J21" i="1" s="1"/>
  <c r="I22" i="1"/>
  <c r="J22" i="1" s="1" a="1"/>
  <c r="J22" i="1" s="1"/>
  <c r="I23" i="1"/>
  <c r="J23" i="1" s="1" a="1"/>
  <c r="J23" i="1" s="1"/>
  <c r="I24" i="1"/>
  <c r="J24" i="1" s="1" a="1"/>
  <c r="J24" i="1" s="1"/>
  <c r="I15" i="1"/>
  <c r="J15" i="1" s="1" a="1"/>
  <c r="J15" i="1" s="1"/>
  <c r="H7" i="6"/>
  <c r="I7" i="6" s="1"/>
  <c r="H8" i="6"/>
  <c r="I8" i="6" s="1"/>
  <c r="H9" i="6"/>
  <c r="I9" i="6" s="1"/>
  <c r="H10" i="6"/>
  <c r="I10" i="6" s="1"/>
  <c r="H11" i="6"/>
  <c r="I11" i="6" s="1"/>
  <c r="H12" i="6"/>
  <c r="I12" i="6" s="1"/>
  <c r="H13" i="6"/>
  <c r="I13" i="6" s="1"/>
  <c r="H5" i="6"/>
  <c r="I5" i="6" s="1"/>
  <c r="G21" i="6"/>
  <c r="G20" i="6"/>
  <c r="G19" i="6"/>
  <c r="G18" i="6"/>
  <c r="G17" i="6"/>
  <c r="I17" i="6"/>
  <c r="G16" i="6"/>
  <c r="G15" i="6"/>
  <c r="I15" i="6"/>
  <c r="G14" i="6"/>
  <c r="G12" i="6"/>
  <c r="G13" i="6"/>
  <c r="G11" i="6"/>
  <c r="G10" i="6"/>
  <c r="C6" i="8"/>
  <c r="G9" i="6"/>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6" i="6"/>
  <c r="G8" i="6"/>
  <c r="G5" i="6"/>
  <c r="G7" i="6"/>
  <c r="G4" i="6"/>
  <c r="O5" i="9" a="1"/>
  <c r="E56" i="2"/>
  <c r="F56" i="2"/>
  <c r="H56" i="2"/>
  <c r="I56" i="2"/>
  <c r="D56" i="2"/>
  <c r="G56" i="2"/>
  <c r="E57" i="2"/>
  <c r="F57" i="2"/>
  <c r="G57" i="2"/>
  <c r="E58" i="2"/>
  <c r="F58" i="2"/>
  <c r="G58" i="2"/>
  <c r="E59" i="2"/>
  <c r="F59" i="2"/>
  <c r="G59" i="2"/>
  <c r="E60" i="2"/>
  <c r="F60" i="2"/>
  <c r="G60" i="2"/>
  <c r="E61" i="2"/>
  <c r="F61" i="2"/>
  <c r="G61" i="2"/>
  <c r="E62" i="2"/>
  <c r="F62" i="2"/>
  <c r="G62" i="2"/>
  <c r="E63" i="2"/>
  <c r="F63" i="2"/>
  <c r="G63" i="2"/>
  <c r="H63" i="2"/>
  <c r="I63" i="2"/>
  <c r="D63" i="2"/>
  <c r="E64" i="2"/>
  <c r="F64" i="2"/>
  <c r="G64" i="2"/>
  <c r="H64" i="2"/>
  <c r="I64" i="2"/>
  <c r="D64" i="2"/>
  <c r="E65" i="2"/>
  <c r="F65" i="2"/>
  <c r="G65" i="2"/>
  <c r="H65" i="2"/>
  <c r="I65" i="2"/>
  <c r="D65" i="2"/>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H45" i="2" s="1"/>
  <c r="I45" i="2" s="1"/>
  <c r="D45" i="2" s="1"/>
  <c r="E46" i="2"/>
  <c r="F46" i="2"/>
  <c r="H46" i="2"/>
  <c r="I46" i="2"/>
  <c r="D46" i="2"/>
  <c r="E47" i="2"/>
  <c r="G47" i="2"/>
  <c r="F47" i="2"/>
  <c r="E48" i="2"/>
  <c r="F48" i="2"/>
  <c r="H48" i="2"/>
  <c r="I48" i="2"/>
  <c r="D48" i="2"/>
  <c r="E49" i="2"/>
  <c r="F49" i="2"/>
  <c r="H49" i="2"/>
  <c r="I49" i="2"/>
  <c r="D49" i="2"/>
  <c r="E50" i="2"/>
  <c r="F50" i="2"/>
  <c r="G50" i="2"/>
  <c r="E51" i="2"/>
  <c r="F51" i="2"/>
  <c r="H51" i="2"/>
  <c r="I51" i="2"/>
  <c r="D51" i="2"/>
  <c r="E52" i="2"/>
  <c r="G52" i="2"/>
  <c r="F52" i="2"/>
  <c r="H52" i="2"/>
  <c r="I52" i="2"/>
  <c r="D52" i="2"/>
  <c r="E53" i="2"/>
  <c r="F53" i="2"/>
  <c r="E54" i="2"/>
  <c r="F54" i="2"/>
  <c r="E55" i="2"/>
  <c r="F55" i="2"/>
  <c r="H55" i="2"/>
  <c r="I55" i="2"/>
  <c r="D55" i="2"/>
  <c r="C17" i="12"/>
  <c r="C18" i="12"/>
  <c r="C3" i="12"/>
  <c r="C4" i="12"/>
  <c r="C5" i="12"/>
  <c r="C6" i="12"/>
  <c r="C7" i="12"/>
  <c r="C8" i="12"/>
  <c r="C12" i="12"/>
  <c r="C13" i="12"/>
  <c r="C14" i="12"/>
  <c r="C15" i="12"/>
  <c r="C19" i="12"/>
  <c r="C20" i="12"/>
  <c r="C21" i="12"/>
  <c r="C22" i="12"/>
  <c r="C23" i="12"/>
  <c r="C24" i="12"/>
  <c r="C25" i="12"/>
  <c r="C26" i="12"/>
  <c r="C27" i="12"/>
  <c r="C28" i="12"/>
  <c r="C29" i="12"/>
  <c r="C30" i="12"/>
  <c r="C31" i="12"/>
  <c r="C32" i="12"/>
  <c r="C33" i="12"/>
  <c r="C34" i="12"/>
  <c r="C35" i="12"/>
  <c r="C36" i="12"/>
  <c r="B26" i="9" a="1"/>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G33" i="2" s="1"/>
  <c r="H60" i="1" s="1"/>
  <c r="E34" i="2"/>
  <c r="F34" i="2"/>
  <c r="G34" i="2" s="1"/>
  <c r="E35" i="2"/>
  <c r="F35" i="2"/>
  <c r="G35" i="2" s="1"/>
  <c r="H67" i="1" s="1"/>
  <c r="H35" i="2"/>
  <c r="I35" i="2"/>
  <c r="D35" i="2" s="1"/>
  <c r="E36" i="2"/>
  <c r="F36" i="2"/>
  <c r="H36" i="2"/>
  <c r="I36" i="2" s="1"/>
  <c r="D36" i="2" s="1"/>
  <c r="E37" i="2"/>
  <c r="F37" i="2"/>
  <c r="G37" i="2" s="1"/>
  <c r="H68" i="1" s="1"/>
  <c r="E39" i="2"/>
  <c r="F39" i="2"/>
  <c r="G39" i="2" s="1"/>
  <c r="H71" i="1" s="1"/>
  <c r="E40" i="2"/>
  <c r="F40" i="2"/>
  <c r="H40" i="2" s="1"/>
  <c r="I40" i="2" s="1"/>
  <c r="D40" i="2" s="1"/>
  <c r="E41" i="2"/>
  <c r="F41" i="2"/>
  <c r="G41" i="2" s="1"/>
  <c r="E42" i="2"/>
  <c r="F42" i="2"/>
  <c r="G42" i="2" s="1"/>
  <c r="E43" i="2"/>
  <c r="F43" i="2"/>
  <c r="H43" i="2" s="1"/>
  <c r="I43" i="2" s="1"/>
  <c r="D43" i="2" s="1"/>
  <c r="E44" i="2"/>
  <c r="F44" i="2"/>
  <c r="H44" i="2" s="1"/>
  <c r="I44" i="2" s="1"/>
  <c r="D44" i="2" s="1"/>
  <c r="G44" i="2"/>
  <c r="F38" i="2"/>
  <c r="H38" i="2" s="1"/>
  <c r="I38" i="2" s="1"/>
  <c r="D38" i="2" s="1"/>
  <c r="E38" i="2"/>
  <c r="G38" i="2"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G21" i="2" s="1"/>
  <c r="H44" i="1" s="1"/>
  <c r="H21" i="2"/>
  <c r="I21" i="2"/>
  <c r="D21" i="2" s="1"/>
  <c r="F22" i="2"/>
  <c r="H22" i="2" s="1"/>
  <c r="I22" i="2" s="1"/>
  <c r="D22" i="2" s="1"/>
  <c r="F23" i="2"/>
  <c r="F24" i="2"/>
  <c r="H24" i="2" s="1"/>
  <c r="I24" i="2" s="1"/>
  <c r="D24" i="2" s="1"/>
  <c r="F25" i="2"/>
  <c r="H25" i="2"/>
  <c r="I25" i="2" s="1"/>
  <c r="D25" i="2" s="1"/>
  <c r="F26" i="2"/>
  <c r="H26" i="2"/>
  <c r="I26" i="2" s="1"/>
  <c r="D26" i="2" s="1"/>
  <c r="F27" i="2"/>
  <c r="G27" i="2" s="1"/>
  <c r="F28" i="2"/>
  <c r="H28" i="2"/>
  <c r="I28" i="2" s="1"/>
  <c r="D28" i="2" s="1"/>
  <c r="G28" i="2"/>
  <c r="H52" i="1" s="1"/>
  <c r="F29" i="2"/>
  <c r="G29" i="2" s="1"/>
  <c r="H54" i="1" s="1"/>
  <c r="F30" i="2"/>
  <c r="H30" i="2"/>
  <c r="I30" i="2" s="1"/>
  <c r="D30" i="2" s="1"/>
  <c r="F31" i="2"/>
  <c r="H31" i="2"/>
  <c r="I31" i="2"/>
  <c r="D31" i="2"/>
  <c r="F32" i="2"/>
  <c r="G32" i="2" s="1"/>
  <c r="H58" i="1" s="1"/>
  <c r="H32" i="2"/>
  <c r="I32" i="2" s="1"/>
  <c r="D32" i="2" s="1"/>
  <c r="E22" i="2"/>
  <c r="E23" i="2"/>
  <c r="E24" i="2"/>
  <c r="G24" i="2"/>
  <c r="H49" i="1" s="1"/>
  <c r="E25" i="2"/>
  <c r="E26" i="2"/>
  <c r="E27" i="2"/>
  <c r="E28" i="2"/>
  <c r="E29" i="2"/>
  <c r="E30" i="2"/>
  <c r="E31" i="2"/>
  <c r="G31" i="2" s="1"/>
  <c r="H56" i="1" s="1"/>
  <c r="E32" i="2"/>
  <c r="E20" i="2"/>
  <c r="E21" i="2"/>
  <c r="N4" i="17"/>
  <c r="F20" i="2"/>
  <c r="G20" i="2" s="1"/>
  <c r="E15" i="2"/>
  <c r="E16" i="2"/>
  <c r="E17" i="2"/>
  <c r="E18" i="2"/>
  <c r="E19" i="2"/>
  <c r="E7" i="2"/>
  <c r="E8" i="2"/>
  <c r="E9" i="2"/>
  <c r="E10" i="2"/>
  <c r="E11" i="2"/>
  <c r="E12" i="2"/>
  <c r="E13" i="2"/>
  <c r="E14" i="2"/>
  <c r="E5" i="2"/>
  <c r="E6" i="2"/>
  <c r="E4" i="2"/>
  <c r="F13" i="2"/>
  <c r="G13" i="2" s="1"/>
  <c r="F14" i="2"/>
  <c r="G14" i="2" s="1"/>
  <c r="F15" i="2"/>
  <c r="G15" i="2" s="1"/>
  <c r="H15" i="2"/>
  <c r="I15" i="2" s="1"/>
  <c r="D15" i="2" s="1"/>
  <c r="F16" i="2"/>
  <c r="H16" i="2" s="1"/>
  <c r="I16" i="2" s="1"/>
  <c r="D16" i="2" s="1"/>
  <c r="F17" i="2"/>
  <c r="G17" i="2" s="1"/>
  <c r="H37" i="1" s="1"/>
  <c r="H17" i="2"/>
  <c r="I17" i="2" s="1"/>
  <c r="D17" i="2" s="1"/>
  <c r="F18" i="2"/>
  <c r="H18" i="2"/>
  <c r="I18" i="2" s="1"/>
  <c r="D18" i="2" s="1"/>
  <c r="F19" i="2"/>
  <c r="H19" i="2" s="1"/>
  <c r="I19" i="2" s="1"/>
  <c r="D19" i="2" s="1"/>
  <c r="C8" i="8"/>
  <c r="F11" i="2"/>
  <c r="H11" i="2"/>
  <c r="I11" i="2" s="1"/>
  <c r="F10" i="2"/>
  <c r="F6" i="2"/>
  <c r="H6" i="2" s="1"/>
  <c r="I6" i="2" s="1"/>
  <c r="D6" i="2" s="1"/>
  <c r="F7" i="2"/>
  <c r="H7" i="2"/>
  <c r="I7" i="2" s="1"/>
  <c r="D7" i="2" s="1"/>
  <c r="F8" i="2"/>
  <c r="F9" i="2"/>
  <c r="H9" i="2" s="1"/>
  <c r="I9" i="2" s="1"/>
  <c r="D9" i="2" s="1"/>
  <c r="N3" i="7"/>
  <c r="N5" i="7"/>
  <c r="E6" i="11"/>
  <c r="D6" i="11"/>
  <c r="F12" i="2"/>
  <c r="H12" i="2" s="1"/>
  <c r="I12" i="2" s="1"/>
  <c r="D12" i="2" s="1"/>
  <c r="F5" i="2"/>
  <c r="H5" i="2" s="1"/>
  <c r="I5" i="2" s="1"/>
  <c r="D5" i="2" s="1"/>
  <c r="G5" i="2"/>
  <c r="F3" i="2"/>
  <c r="F4" i="2"/>
  <c r="G4" i="2" s="1"/>
  <c r="F13" i="15"/>
  <c r="G55" i="2"/>
  <c r="H47" i="2"/>
  <c r="I47" i="2"/>
  <c r="D47" i="2"/>
  <c r="C7" i="8"/>
  <c r="G54" i="2"/>
  <c r="G49" i="2"/>
  <c r="H57" i="2"/>
  <c r="I57" i="2"/>
  <c r="D57" i="2"/>
  <c r="G53" i="2"/>
  <c r="C16" i="12"/>
  <c r="H54" i="2"/>
  <c r="I54" i="2"/>
  <c r="D54" i="2"/>
  <c r="H53" i="2"/>
  <c r="I53" i="2"/>
  <c r="D53" i="2"/>
  <c r="J15" i="14"/>
  <c r="H61" i="2"/>
  <c r="I61" i="2"/>
  <c r="D61" i="2"/>
  <c r="G48" i="2"/>
  <c r="H59" i="2"/>
  <c r="I59" i="2"/>
  <c r="D59" i="2"/>
  <c r="C229" i="17"/>
  <c r="K4" i="17" s="1"/>
  <c r="C16" i="10"/>
  <c r="H62" i="2"/>
  <c r="I62" i="2"/>
  <c r="D62" i="2"/>
  <c r="H60" i="2"/>
  <c r="I60" i="2"/>
  <c r="D60" i="2"/>
  <c r="H58" i="2"/>
  <c r="I58" i="2"/>
  <c r="D58" i="2"/>
  <c r="G51" i="2"/>
  <c r="G46" i="2"/>
  <c r="H50" i="2"/>
  <c r="I50" i="2"/>
  <c r="D50" i="2"/>
  <c r="B2" i="2"/>
  <c r="I9" i="1"/>
  <c r="J9" i="1" s="1" a="1"/>
  <c r="J9" i="1" s="1"/>
  <c r="I11" i="1"/>
  <c r="J11" i="1" s="1" a="1"/>
  <c r="J11" i="1" s="1"/>
  <c r="H7" i="1"/>
  <c r="H3" i="1"/>
  <c r="H8" i="1"/>
  <c r="H12" i="1"/>
  <c r="H2" i="1"/>
  <c r="H6" i="1"/>
  <c r="H13" i="1"/>
  <c r="H11" i="1"/>
  <c r="H5" i="1"/>
  <c r="H4" i="1"/>
  <c r="H14" i="1"/>
  <c r="H9" i="1"/>
  <c r="H10" i="1"/>
  <c r="E15" i="7"/>
  <c r="C5" i="8"/>
  <c r="N6" i="17"/>
  <c r="I8" i="1"/>
  <c r="J8" i="1" s="1" a="1"/>
  <c r="J8" i="1" s="1"/>
  <c r="I2" i="1"/>
  <c r="J2" i="1" s="1" a="1"/>
  <c r="J2" i="1" s="1"/>
  <c r="I10" i="1"/>
  <c r="J10" i="1" s="1" a="1"/>
  <c r="J10" i="1" s="1"/>
  <c r="I4" i="1"/>
  <c r="J4" i="1" s="1" a="1"/>
  <c r="J4" i="1" s="1"/>
  <c r="I6" i="1"/>
  <c r="J6" i="1" s="1" a="1"/>
  <c r="J6" i="1" s="1"/>
  <c r="I3" i="1"/>
  <c r="J3" i="1" s="1" a="1"/>
  <c r="J3" i="1" s="1"/>
  <c r="I5" i="1"/>
  <c r="J5" i="1" s="1" a="1"/>
  <c r="J5" i="1" s="1"/>
  <c r="I7" i="1"/>
  <c r="J7" i="1" s="1" a="1"/>
  <c r="J7" i="1" s="1"/>
  <c r="I14" i="1"/>
  <c r="J14" i="1" s="1" a="1"/>
  <c r="J14" i="1" s="1"/>
  <c r="I12" i="1"/>
  <c r="J12" i="1" s="1" a="1"/>
  <c r="J12" i="1" s="1"/>
  <c r="D2" i="17"/>
  <c r="C2" i="2"/>
  <c r="G22" i="2" l="1"/>
  <c r="H45" i="1" s="1"/>
  <c r="G10" i="2"/>
  <c r="H21" i="1" s="1"/>
  <c r="G43" i="2"/>
  <c r="G11" i="2"/>
  <c r="G7" i="2"/>
  <c r="H18" i="1" s="1"/>
  <c r="G6" i="2"/>
  <c r="G8" i="2"/>
  <c r="H19" i="1" s="1"/>
  <c r="G23" i="2"/>
  <c r="H46" i="1" s="1"/>
  <c r="H47" i="1"/>
  <c r="H4" i="2"/>
  <c r="I4" i="2" s="1"/>
  <c r="D4" i="2" s="1"/>
  <c r="H20" i="2"/>
  <c r="I20" i="2" s="1"/>
  <c r="D20" i="2" s="1"/>
  <c r="G25" i="2"/>
  <c r="H48" i="1" s="1"/>
  <c r="G30" i="2"/>
  <c r="G40" i="2"/>
  <c r="G49" i="6"/>
  <c r="A8" i="20"/>
  <c r="A3" i="21"/>
  <c r="B3" i="21" s="1"/>
  <c r="A4" i="21"/>
  <c r="B4" i="21" s="1"/>
  <c r="A5" i="21"/>
  <c r="B5" i="21" s="1"/>
  <c r="A6" i="21"/>
  <c r="B6" i="21" s="1"/>
  <c r="A7" i="21"/>
  <c r="B7" i="21" s="1"/>
  <c r="A8" i="21"/>
  <c r="B8" i="21" s="1"/>
  <c r="A9" i="21"/>
  <c r="B9" i="21" s="1"/>
  <c r="A10" i="21"/>
  <c r="B10" i="21" s="1"/>
  <c r="A11" i="21"/>
  <c r="B11" i="21" s="1"/>
  <c r="A12" i="21"/>
  <c r="B12" i="21" s="1"/>
  <c r="A13" i="21"/>
  <c r="B13" i="21" s="1"/>
  <c r="H42" i="1"/>
  <c r="H30" i="1"/>
  <c r="H35" i="1"/>
  <c r="H22" i="1"/>
  <c r="H28" i="1"/>
  <c r="H32" i="1"/>
  <c r="H24" i="1"/>
  <c r="H33" i="1"/>
  <c r="H64" i="1"/>
  <c r="H55" i="1"/>
  <c r="H14" i="2"/>
  <c r="I14" i="2" s="1"/>
  <c r="D14" i="2" s="1"/>
  <c r="H29" i="2"/>
  <c r="I29" i="2" s="1"/>
  <c r="D29" i="2" s="1"/>
  <c r="H23" i="2"/>
  <c r="I23" i="2" s="1"/>
  <c r="D23" i="2" s="1"/>
  <c r="H41" i="2"/>
  <c r="I41" i="2" s="1"/>
  <c r="D41" i="2" s="1"/>
  <c r="H33" i="2"/>
  <c r="I33" i="2" s="1"/>
  <c r="D33" i="2" s="1"/>
  <c r="H13" i="2"/>
  <c r="I13" i="2" s="1"/>
  <c r="D13" i="2" s="1"/>
  <c r="G36" i="2"/>
  <c r="H66" i="1" s="1"/>
  <c r="G19" i="2"/>
  <c r="H59" i="1" s="1"/>
  <c r="H10" i="2"/>
  <c r="I10" i="2" s="1"/>
  <c r="D10" i="2" s="1"/>
  <c r="G18" i="2"/>
  <c r="H38" i="1" s="1"/>
  <c r="H39" i="2"/>
  <c r="I39" i="2" s="1"/>
  <c r="D39" i="2" s="1"/>
  <c r="G26" i="2"/>
  <c r="H50" i="1" s="1"/>
  <c r="B16" i="9"/>
  <c r="J38" i="9"/>
  <c r="T17" i="9" a="1"/>
  <c r="T17" i="9" s="1"/>
  <c r="H38" i="9" a="1"/>
  <c r="H38" i="9" s="1"/>
  <c r="U17" i="9" a="1"/>
  <c r="U17" i="9" s="1"/>
  <c r="G38" i="9" a="1"/>
  <c r="G38" i="9" s="1"/>
  <c r="I38" i="9" s="1"/>
  <c r="S17" i="9" a="1"/>
  <c r="S17" i="9" s="1"/>
  <c r="W17" i="9"/>
  <c r="B14" i="20" s="1"/>
  <c r="R17" i="9" a="1"/>
  <c r="R17" i="9" s="1"/>
  <c r="Q17" i="9" a="1"/>
  <c r="Q17" i="9" s="1"/>
  <c r="P17" i="9" a="1"/>
  <c r="P17" i="9" s="1"/>
  <c r="H79" i="1"/>
  <c r="H76" i="1"/>
  <c r="H80" i="1"/>
  <c r="H75" i="1"/>
  <c r="H63" i="1"/>
  <c r="H62" i="1"/>
  <c r="H27" i="1"/>
  <c r="H29" i="1"/>
  <c r="H26" i="1"/>
  <c r="H34" i="1"/>
  <c r="H17" i="1"/>
  <c r="H16" i="1"/>
  <c r="H61" i="1"/>
  <c r="H41" i="1"/>
  <c r="H69" i="1"/>
  <c r="H70" i="1"/>
  <c r="H51" i="1"/>
  <c r="H53" i="1"/>
  <c r="G12" i="2"/>
  <c r="H23" i="1" s="1"/>
  <c r="H8" i="2"/>
  <c r="I8" i="2" s="1"/>
  <c r="D8" i="2" s="1"/>
  <c r="G45" i="2"/>
  <c r="H72" i="1"/>
  <c r="H31" i="1"/>
  <c r="H25" i="1"/>
  <c r="G9" i="2"/>
  <c r="H20" i="1" s="1"/>
  <c r="H65" i="1"/>
  <c r="H42" i="2"/>
  <c r="I42" i="2" s="1"/>
  <c r="D42" i="2" s="1"/>
  <c r="G16" i="2"/>
  <c r="H36" i="1" s="1"/>
  <c r="H37" i="2"/>
  <c r="I37" i="2" s="1"/>
  <c r="D37" i="2" s="1"/>
  <c r="H27" i="2"/>
  <c r="I27" i="2" s="1"/>
  <c r="D27" i="2" s="1"/>
  <c r="H78" i="1"/>
  <c r="H83" i="1"/>
  <c r="H82" i="1"/>
  <c r="H73" i="1"/>
  <c r="H74" i="1"/>
  <c r="H57" i="1"/>
  <c r="H77" i="1"/>
  <c r="H81" i="1"/>
  <c r="H34" i="2"/>
  <c r="I34" i="2" s="1"/>
  <c r="D34" i="2" s="1"/>
  <c r="C16" i="9"/>
  <c r="E16" i="9"/>
  <c r="A14" i="20"/>
  <c r="V18" i="9"/>
  <c r="X18" i="9" s="1"/>
  <c r="V19" i="9"/>
  <c r="X19" i="9" s="1"/>
  <c r="U16" i="9" a="1"/>
  <c r="U16" i="9" s="1"/>
  <c r="E51" i="9"/>
  <c r="R12" i="9" s="1" a="1"/>
  <c r="R12" i="9" s="1"/>
  <c r="R16" i="9" a="1"/>
  <c r="R16" i="9" s="1"/>
  <c r="B15" i="9"/>
  <c r="H50" i="9"/>
  <c r="U11" i="9" s="1" a="1"/>
  <c r="U11" i="9" s="1"/>
  <c r="D50" i="9"/>
  <c r="Q11" i="9" s="1" a="1"/>
  <c r="Q11" i="9" s="1"/>
  <c r="E50" i="9"/>
  <c r="R11" i="9" s="1" a="1"/>
  <c r="R11" i="9" s="1"/>
  <c r="E49" i="9"/>
  <c r="R10" i="9" s="1" a="1"/>
  <c r="R10" i="9" s="1"/>
  <c r="G45" i="9"/>
  <c r="T6" i="9" s="1" a="1"/>
  <c r="T6" i="9" s="1"/>
  <c r="F48" i="9"/>
  <c r="S9" i="9" s="1" a="1"/>
  <c r="S9" i="9" s="1"/>
  <c r="G51" i="9"/>
  <c r="T12" i="9" s="1" a="1"/>
  <c r="T12" i="9" s="1"/>
  <c r="G47" i="9"/>
  <c r="T8" i="9" s="1" a="1"/>
  <c r="T8" i="9" s="1"/>
  <c r="F50" i="9"/>
  <c r="S11" i="9" s="1" a="1"/>
  <c r="S11" i="9" s="1"/>
  <c r="J46" i="9"/>
  <c r="W7" i="9" s="1"/>
  <c r="C54" i="9"/>
  <c r="P15" i="9" s="1" a="1"/>
  <c r="P15" i="9" s="1"/>
  <c r="C53" i="9"/>
  <c r="P14" i="9" s="1" a="1"/>
  <c r="P14" i="9" s="1"/>
  <c r="H31" i="9" a="1"/>
  <c r="H31" i="9" s="1"/>
  <c r="B6" i="9"/>
  <c r="H53" i="9"/>
  <c r="U14" i="9" s="1" a="1"/>
  <c r="U14" i="9" s="1"/>
  <c r="D46" i="9"/>
  <c r="Q7" i="9" s="1" a="1"/>
  <c r="Q7" i="9" s="1"/>
  <c r="J35" i="9"/>
  <c r="C46" i="9"/>
  <c r="P7" i="9" s="1" a="1"/>
  <c r="P7" i="9" s="1"/>
  <c r="G27" i="9" a="1"/>
  <c r="G27" i="9" s="1"/>
  <c r="H32" i="9" a="1"/>
  <c r="H32" i="9" s="1"/>
  <c r="H37" i="9" a="1"/>
  <c r="H37" i="9" s="1"/>
  <c r="C49" i="9"/>
  <c r="P10" i="9" s="1" a="1"/>
  <c r="P10" i="9" s="1"/>
  <c r="C48" i="9"/>
  <c r="P9" i="9" s="1" a="1"/>
  <c r="P9" i="9" s="1"/>
  <c r="C47" i="9"/>
  <c r="P8" i="9" s="1" a="1"/>
  <c r="P8" i="9" s="1"/>
  <c r="J30" i="9"/>
  <c r="J31" i="9"/>
  <c r="J51" i="9"/>
  <c r="W12" i="9" s="1"/>
  <c r="B9" i="20" s="1"/>
  <c r="G36" i="9" a="1"/>
  <c r="G36" i="9" s="1"/>
  <c r="J50" i="9"/>
  <c r="W11" i="9" s="1"/>
  <c r="B8" i="20" s="1"/>
  <c r="B9" i="9"/>
  <c r="G46" i="9"/>
  <c r="T7" i="9" s="1" a="1"/>
  <c r="T7" i="9" s="1"/>
  <c r="E46" i="9"/>
  <c r="R7" i="9" s="1" a="1"/>
  <c r="R7" i="9" s="1"/>
  <c r="A10" i="20"/>
  <c r="H47" i="9"/>
  <c r="U8" i="9" s="1" a="1"/>
  <c r="U8" i="9" s="1"/>
  <c r="E54" i="9"/>
  <c r="R15" i="9" s="1" a="1"/>
  <c r="R15" i="9" s="1"/>
  <c r="A4" i="20"/>
  <c r="D53" i="9"/>
  <c r="Q14" i="9" s="1" a="1"/>
  <c r="Q14" i="9" s="1"/>
  <c r="J32" i="9"/>
  <c r="G30" i="9" a="1"/>
  <c r="G30" i="9" s="1"/>
  <c r="C51" i="9"/>
  <c r="P12" i="9" s="1" a="1"/>
  <c r="P12" i="9" s="1"/>
  <c r="G52" i="9"/>
  <c r="T13" i="9" s="1" a="1"/>
  <c r="T13" i="9" s="1"/>
  <c r="A5" i="20"/>
  <c r="F47" i="9"/>
  <c r="S8" i="9" s="1" a="1"/>
  <c r="S8" i="9" s="1"/>
  <c r="F51" i="9"/>
  <c r="S12" i="9" s="1" a="1"/>
  <c r="S12" i="9" s="1"/>
  <c r="B7" i="9"/>
  <c r="H52" i="9"/>
  <c r="U13" i="9" s="1" a="1"/>
  <c r="U13" i="9" s="1"/>
  <c r="J34" i="9"/>
  <c r="F54" i="9"/>
  <c r="S15" i="9" s="1" a="1"/>
  <c r="S15" i="9" s="1"/>
  <c r="H30" i="9" a="1"/>
  <c r="H30" i="9" s="1"/>
  <c r="H49" i="9"/>
  <c r="U10" i="9" s="1" a="1"/>
  <c r="U10" i="9" s="1"/>
  <c r="B14" i="9"/>
  <c r="H29" i="9" a="1"/>
  <c r="H29" i="9" s="1"/>
  <c r="H36" i="9" a="1"/>
  <c r="H36" i="9" s="1"/>
  <c r="G29" i="9" a="1"/>
  <c r="G29" i="9" s="1"/>
  <c r="A3" i="20"/>
  <c r="B26" i="9"/>
  <c r="J36" i="9"/>
  <c r="H28" i="9" a="1"/>
  <c r="H28" i="9" s="1"/>
  <c r="A11" i="20"/>
  <c r="G49" i="9"/>
  <c r="T10" i="9" s="1" a="1"/>
  <c r="T10" i="9" s="1"/>
  <c r="E53" i="9"/>
  <c r="R14" i="9" s="1" a="1"/>
  <c r="R14" i="9" s="1"/>
  <c r="F53" i="9"/>
  <c r="S14" i="9" s="1" a="1"/>
  <c r="S14" i="9" s="1"/>
  <c r="J47" i="9"/>
  <c r="W8" i="9" s="1"/>
  <c r="B5" i="20" s="1"/>
  <c r="A12" i="20"/>
  <c r="A6" i="20"/>
  <c r="G33" i="9" a="1"/>
  <c r="G33" i="9" s="1"/>
  <c r="F46" i="9"/>
  <c r="S7" i="9" s="1" a="1"/>
  <c r="S7" i="9" s="1"/>
  <c r="H54" i="9"/>
  <c r="U15" i="9" s="1" a="1"/>
  <c r="U15" i="9" s="1"/>
  <c r="G34" i="9" a="1"/>
  <c r="G34" i="9" s="1"/>
  <c r="B12" i="9"/>
  <c r="B11" i="9"/>
  <c r="J27" i="9"/>
  <c r="D54" i="9"/>
  <c r="Q15" i="9" s="1" a="1"/>
  <c r="Q15" i="9" s="1"/>
  <c r="D49" i="9"/>
  <c r="Q10" i="9" s="1" a="1"/>
  <c r="Q10" i="9" s="1"/>
  <c r="H34" i="9" a="1"/>
  <c r="H34" i="9" s="1"/>
  <c r="J53" i="9"/>
  <c r="W14" i="9" s="1"/>
  <c r="B11" i="20" s="1"/>
  <c r="H35" i="9" a="1"/>
  <c r="H35" i="9" s="1"/>
  <c r="H48" i="9"/>
  <c r="U9" i="9" s="1" a="1"/>
  <c r="U9" i="9" s="1"/>
  <c r="B13" i="9"/>
  <c r="G48" i="9"/>
  <c r="T9" i="9" s="1" a="1"/>
  <c r="T9" i="9" s="1"/>
  <c r="J52" i="9"/>
  <c r="W13" i="9" s="1"/>
  <c r="B10" i="20" s="1"/>
  <c r="A9" i="20"/>
  <c r="G50" i="9"/>
  <c r="C50" i="9"/>
  <c r="P11" i="9" s="1" a="1"/>
  <c r="P11" i="9" s="1"/>
  <c r="F49" i="9"/>
  <c r="S10" i="9" s="1" a="1"/>
  <c r="S10" i="9" s="1"/>
  <c r="G35" i="9" a="1"/>
  <c r="G35" i="9" s="1"/>
  <c r="J49" i="9"/>
  <c r="W10" i="9" s="1"/>
  <c r="B7" i="20" s="1"/>
  <c r="O5" i="9"/>
  <c r="G37" i="9" a="1"/>
  <c r="G37" i="9" s="1"/>
  <c r="D47" i="9"/>
  <c r="Q8" i="9" s="1" a="1"/>
  <c r="Q8" i="9" s="1"/>
  <c r="T16" i="9" a="1"/>
  <c r="T16" i="9" s="1"/>
  <c r="C52" i="9"/>
  <c r="P13" i="9" s="1" a="1"/>
  <c r="P13" i="9" s="1"/>
  <c r="F52" i="9"/>
  <c r="S13" i="9" s="1" a="1"/>
  <c r="S13" i="9" s="1"/>
  <c r="Q16" i="9" a="1"/>
  <c r="Q16" i="9" s="1"/>
  <c r="P16" i="9" a="1"/>
  <c r="P16" i="9" s="1"/>
  <c r="H46" i="9"/>
  <c r="U7" i="9" s="1" a="1"/>
  <c r="U7" i="9" s="1"/>
  <c r="J33" i="9"/>
  <c r="H27" i="9" a="1"/>
  <c r="H27" i="9" s="1"/>
  <c r="J29" i="9"/>
  <c r="D48" i="9"/>
  <c r="Q9" i="9" s="1" a="1"/>
  <c r="Q9" i="9" s="1"/>
  <c r="E47" i="9"/>
  <c r="R8" i="9" s="1" a="1"/>
  <c r="R8" i="9" s="1"/>
  <c r="J28" i="9"/>
  <c r="G31" i="9" a="1"/>
  <c r="G31" i="9" s="1"/>
  <c r="G32" i="9" a="1"/>
  <c r="G32" i="9" s="1"/>
  <c r="H33" i="9" a="1"/>
  <c r="H33" i="9" s="1"/>
  <c r="D51" i="9"/>
  <c r="Q12" i="9" s="1" a="1"/>
  <c r="Q12" i="9" s="1"/>
  <c r="J45" i="9"/>
  <c r="W6" i="9" s="1"/>
  <c r="B3" i="20" s="1"/>
  <c r="S16" i="9" a="1"/>
  <c r="S16" i="9" s="1"/>
  <c r="B5" i="9"/>
  <c r="B10" i="9"/>
  <c r="G54" i="9"/>
  <c r="T15" i="9" s="1" a="1"/>
  <c r="T15" i="9" s="1"/>
  <c r="E45" i="9"/>
  <c r="R6" i="9" s="1" a="1"/>
  <c r="R6" i="9" s="1"/>
  <c r="E52" i="9"/>
  <c r="R13" i="9" s="1" a="1"/>
  <c r="R13" i="9" s="1"/>
  <c r="D45" i="9"/>
  <c r="Q6" i="9" s="1" a="1"/>
  <c r="Q6" i="9" s="1"/>
  <c r="F45" i="9"/>
  <c r="S6" i="9" s="1" a="1"/>
  <c r="S6" i="9" s="1"/>
  <c r="J48" i="9"/>
  <c r="W9" i="9" s="1"/>
  <c r="B6" i="20" s="1"/>
  <c r="G53" i="9"/>
  <c r="T14" i="9" s="1" a="1"/>
  <c r="T14" i="9" s="1"/>
  <c r="E48" i="9"/>
  <c r="R9" i="9" s="1" a="1"/>
  <c r="R9" i="9" s="1"/>
  <c r="W16" i="9"/>
  <c r="B13" i="20" s="1"/>
  <c r="D52" i="9"/>
  <c r="Q13" i="9" s="1" a="1"/>
  <c r="Q13" i="9" s="1"/>
  <c r="H51" i="9"/>
  <c r="U12" i="9" s="1" a="1"/>
  <c r="U12" i="9" s="1"/>
  <c r="H45" i="9"/>
  <c r="U6" i="9" s="1" a="1"/>
  <c r="U6" i="9" s="1"/>
  <c r="J54" i="9"/>
  <c r="W15" i="9" s="1"/>
  <c r="B12" i="20" s="1"/>
  <c r="G28" i="9" a="1"/>
  <c r="G28" i="9" s="1"/>
  <c r="B8" i="9"/>
  <c r="J37" i="9"/>
  <c r="C45" i="9"/>
  <c r="P6" i="9" s="1" a="1"/>
  <c r="P6" i="9" s="1"/>
  <c r="A7" i="20"/>
  <c r="A13" i="20"/>
  <c r="N14" i="6"/>
  <c r="C4" i="8" s="1"/>
  <c r="I84" i="1" a="1"/>
  <c r="I84" i="1" s="1"/>
  <c r="H13" i="15"/>
  <c r="E35" i="18"/>
  <c r="D35" i="14"/>
  <c r="C10" i="8" s="1"/>
  <c r="I35" i="12"/>
  <c r="D229" i="17"/>
  <c r="F229" i="17" s="1"/>
  <c r="G13" i="15"/>
  <c r="J35" i="14"/>
  <c r="C12" i="8" s="1"/>
  <c r="H49" i="6"/>
  <c r="D35" i="18"/>
  <c r="C37" i="12"/>
  <c r="I49" i="6"/>
  <c r="L41" i="6" s="1"/>
  <c r="C12" i="10"/>
  <c r="N5" i="17"/>
  <c r="N7" i="17" s="1"/>
  <c r="C19" i="10" s="1"/>
  <c r="D2" i="2"/>
  <c r="K84" i="1"/>
  <c r="J84" i="1" a="1"/>
  <c r="J84" i="1" s="1"/>
  <c r="H43" i="1" l="1"/>
  <c r="H39" i="1"/>
  <c r="J26" i="9"/>
  <c r="J44" i="9"/>
  <c r="A2" i="21"/>
  <c r="B2" i="21" s="1"/>
  <c r="A2" i="20"/>
  <c r="K38" i="9"/>
  <c r="H40" i="1"/>
  <c r="V17" i="9"/>
  <c r="X17" i="9" s="1"/>
  <c r="I28" i="9"/>
  <c r="I29" i="9"/>
  <c r="K29" i="9" s="1"/>
  <c r="D14" i="19" a="1"/>
  <c r="D14" i="19" s="1"/>
  <c r="D12" i="19" a="1"/>
  <c r="D12" i="19" s="1"/>
  <c r="V12" i="9"/>
  <c r="X12" i="9" s="1"/>
  <c r="C9" i="20" s="1"/>
  <c r="I37" i="9"/>
  <c r="K37" i="9" s="1"/>
  <c r="B4" i="20"/>
  <c r="E18" i="19" a="1"/>
  <c r="E18" i="19" s="1"/>
  <c r="V7" i="9"/>
  <c r="X7" i="9" s="1"/>
  <c r="E20" i="19" s="1" a="1"/>
  <c r="E20" i="19" s="1"/>
  <c r="V13" i="9"/>
  <c r="X13" i="9" s="1"/>
  <c r="C10" i="20" s="1"/>
  <c r="I48" i="9"/>
  <c r="K48" i="9" s="1"/>
  <c r="I35" i="9"/>
  <c r="K35" i="9" s="1"/>
  <c r="I53" i="9"/>
  <c r="K53" i="9" s="1"/>
  <c r="I31" i="9"/>
  <c r="K31" i="9" s="1"/>
  <c r="I50" i="9"/>
  <c r="K50" i="9" s="1"/>
  <c r="I32" i="9"/>
  <c r="K32" i="9" s="1"/>
  <c r="V15" i="9"/>
  <c r="X15" i="9" s="1"/>
  <c r="C12" i="20" s="1"/>
  <c r="V16" i="9"/>
  <c r="X16" i="9" s="1"/>
  <c r="C13" i="20" s="1"/>
  <c r="I30" i="9"/>
  <c r="K30" i="9" s="1"/>
  <c r="D10" i="19" a="1"/>
  <c r="D10" i="19" s="1"/>
  <c r="V6" i="9"/>
  <c r="X6" i="9" s="1"/>
  <c r="C3" i="20" s="1"/>
  <c r="V14" i="9"/>
  <c r="X14" i="9" s="1"/>
  <c r="C11" i="20" s="1"/>
  <c r="I51" i="9"/>
  <c r="K51" i="9" s="1"/>
  <c r="E5" i="9"/>
  <c r="C5" i="9"/>
  <c r="C12" i="9"/>
  <c r="E12" i="9"/>
  <c r="E14" i="9"/>
  <c r="C14" i="9"/>
  <c r="I46" i="9"/>
  <c r="K46" i="9" s="1"/>
  <c r="E6" i="9"/>
  <c r="C6" i="9"/>
  <c r="I34" i="9"/>
  <c r="K34" i="9" s="1"/>
  <c r="I52" i="9"/>
  <c r="K52" i="9" s="1"/>
  <c r="C9" i="9"/>
  <c r="E9" i="9" a="1"/>
  <c r="E9" i="9" s="1"/>
  <c r="I45" i="9"/>
  <c r="K45" i="9" s="1"/>
  <c r="E10" i="9"/>
  <c r="C10" i="9"/>
  <c r="E11" i="9"/>
  <c r="C11" i="9"/>
  <c r="E8" i="9"/>
  <c r="C8" i="9"/>
  <c r="C13" i="9"/>
  <c r="E13" i="9"/>
  <c r="I49" i="9"/>
  <c r="K49" i="9" s="1"/>
  <c r="I36" i="9"/>
  <c r="K36" i="9" s="1"/>
  <c r="E15" i="9"/>
  <c r="C15" i="9"/>
  <c r="V10" i="9"/>
  <c r="X10" i="9" s="1"/>
  <c r="C7" i="20" s="1"/>
  <c r="I54" i="9"/>
  <c r="K54" i="9" s="1"/>
  <c r="T11" i="9" a="1"/>
  <c r="T11" i="9" s="1"/>
  <c r="V11" i="9" s="1"/>
  <c r="X11" i="9" s="1"/>
  <c r="C8" i="20" s="1"/>
  <c r="I33" i="9"/>
  <c r="K33" i="9" s="1"/>
  <c r="V9" i="9"/>
  <c r="X9" i="9" s="1"/>
  <c r="C6" i="20" s="1"/>
  <c r="V8" i="9"/>
  <c r="X8" i="9" s="1"/>
  <c r="C5" i="20" s="1"/>
  <c r="D44" i="9"/>
  <c r="Q5" i="9" s="1" a="1"/>
  <c r="Q5" i="9" s="1"/>
  <c r="F44" i="9"/>
  <c r="S5" i="9" s="1" a="1"/>
  <c r="S5" i="9" s="1"/>
  <c r="D26" i="9" a="1"/>
  <c r="D26" i="9" s="1"/>
  <c r="E44" i="9"/>
  <c r="R5" i="9" s="1" a="1"/>
  <c r="R5" i="9" s="1"/>
  <c r="C12" i="19" a="1"/>
  <c r="C12" i="19" s="1"/>
  <c r="F26" i="9" a="1"/>
  <c r="F26" i="9" s="1"/>
  <c r="E26" i="9" a="1"/>
  <c r="E26" i="9" s="1"/>
  <c r="G44" i="9"/>
  <c r="W5" i="9"/>
  <c r="B2" i="20" s="1"/>
  <c r="C44" i="9"/>
  <c r="P5" i="9" s="1" a="1"/>
  <c r="P5" i="9" s="1"/>
  <c r="G26" i="9" a="1"/>
  <c r="G26" i="9" s="1"/>
  <c r="C26" i="9" a="1"/>
  <c r="C26" i="9" s="1"/>
  <c r="H44" i="9"/>
  <c r="U5" i="9" s="1" a="1"/>
  <c r="U5" i="9" s="1"/>
  <c r="B4" i="9"/>
  <c r="C14" i="19" a="1"/>
  <c r="C14" i="19" s="1"/>
  <c r="H26" i="9" a="1"/>
  <c r="H26" i="9" s="1"/>
  <c r="I27" i="9"/>
  <c r="K27" i="9" s="1"/>
  <c r="I47" i="9"/>
  <c r="K47" i="9" s="1"/>
  <c r="K28" i="9"/>
  <c r="E7" i="9"/>
  <c r="C7" i="9"/>
  <c r="D8" i="19" a="1"/>
  <c r="D8" i="19" s="1"/>
  <c r="F35" i="18"/>
  <c r="C9" i="8"/>
  <c r="C11" i="8"/>
  <c r="K5" i="17"/>
  <c r="K6" i="17" s="1"/>
  <c r="P7" i="17"/>
  <c r="E14" i="19" l="1"/>
  <c r="E12" i="19"/>
  <c r="C4" i="20"/>
  <c r="I26" i="9"/>
  <c r="C20" i="9"/>
  <c r="C4" i="9"/>
  <c r="E4" i="9"/>
  <c r="I44" i="9"/>
  <c r="K44" i="9" s="1"/>
  <c r="T5" i="9" a="1"/>
  <c r="T5" i="9" s="1"/>
  <c r="V5" i="9" s="1"/>
  <c r="X5" i="9" s="1"/>
  <c r="C2" i="20" s="1"/>
  <c r="C14" i="8"/>
  <c r="C4" i="10" s="1"/>
  <c r="C15" i="10" s="1"/>
  <c r="C17" i="10" s="1"/>
  <c r="E16" i="19" l="1"/>
  <c r="C22" i="9"/>
  <c r="C3" i="10" s="1"/>
  <c r="C11" i="10" s="1"/>
  <c r="C13" i="10" s="1"/>
  <c r="C21" i="10" s="1"/>
  <c r="K26" i="9"/>
  <c r="C5" i="10" l="1"/>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<sst xmlns="http://schemas.openxmlformats.org/spreadsheetml/2006/main" count="1300" uniqueCount="308">
  <si>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</si>
  <si>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</si>
  <si>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</si>
  <si>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</si>
  <si>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</si>
  <si>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</si>
  <si>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</si>
  <si>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</si>
  <si>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</si>
  <si>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</si>
  <si>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</si>
  <si>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</si>
  <si>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</si>
  <si>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</si>
  <si>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</si>
  <si>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</si>
  <si>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</si>
  <si>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</si>
  <si>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</si>
  <si>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</si>
  <si>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</si>
  <si>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</si>
  <si>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</si>
  <si>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</si>
  <si>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</si>
  <si>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</si>
  <si>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</si>
  <si>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</si>
  <si>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</si>
  <si>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</si>
  <si>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</si>
  <si>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</si>
  <si>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</si>
  <si>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</si>
  <si>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</si>
  <si>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</si>
  <si>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</si>
  <si>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</si>
  <si>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</si>
  <si>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</si>
  <si>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</si>
  <si>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</si>
  <si>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</si>
  <si>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</si>
  <si>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</si>
  <si>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</si>
  <si>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</si>
  <si>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</si>
  <si>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</si>
  <si>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</si>
  <si>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</si>
  <si>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</si>
  <si>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</si>
  <si>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</si>
  <si>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</si>
  <si>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</si>
  <si>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</si>
  <si>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</si>
  <si>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</si>
  <si>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</si>
  <si>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</si>
  <si>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</si>
  <si>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</si>
  <si>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</si>
  <si>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</si>
  <si>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</si>
  <si>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</si>
  <si>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</si>
  <si>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</si>
  <si>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</si>
  <si>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</si>
  <si>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</si>
  <si>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</si>
  <si>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</si>
  <si>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</si>
  <si>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</si>
  <si>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</si>
  <si>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</si>
  <si>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</si>
  <si>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</si>
  <si>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</si>
  <si>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</si>
  <si>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</si>
  <si>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</si>
  <si>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</si>
  <si>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</si>
  <si>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</si>
  <si>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</si>
  <si>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</si>
  <si>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</si>
  <si>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</si>
  <si>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</si>
  <si>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</si>
  <si>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</si>
  <si>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</si>
  <si>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</si>
  <si>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</si>
  <si>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</si>
  <si>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</si>
  <si>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</si>
  <si>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</si>
  <si>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</si>
  <si>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</si>
  <si>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</si>
  <si>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</si>
  <si>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</si>
  <si>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</si>
  <si>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</si>
  <si>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</si>
  <si>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</si>
  <si>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</si>
  <si>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</si>
  <si>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</si>
  <si>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</si>
  <si>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</si>
  <si>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</si>
  <si>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</si>
  <si>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</si>
  <si>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Omer</t>
  </si>
  <si>
    <t>Rashan</t>
  </si>
  <si>
    <t>H3R</t>
  </si>
  <si>
    <t>Dasti</t>
  </si>
  <si>
    <t>Unicolour</t>
  </si>
  <si>
    <t>Advance Salary</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</si>
  <si>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</si>
  <si>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</si>
  <si>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</si>
  <si>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</si>
  <si>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</si>
  <si>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</si>
  <si>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</si>
  <si>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</si>
  <si>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</si>
  <si>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</si>
  <si>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</si>
  <si>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</si>
  <si>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</si>
  <si>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</si>
  <si>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</si>
  <si>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</si>
  <si>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</si>
  <si>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</si>
  <si>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</si>
  <si>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</si>
  <si>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</si>
  <si>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</si>
  <si>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</si>
  <si>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</si>
  <si>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</si>
  <si>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</si>
  <si>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</si>
  <si>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</si>
  <si>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</si>
  <si>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</si>
  <si>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</si>
  <si>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Yellow 4G</t>
  </si>
  <si>
    <t>Scarlet B</t>
  </si>
  <si>
    <t>Ashraf Zia</t>
  </si>
  <si>
    <t>workshop</t>
  </si>
  <si>
    <t>Rafaqat</t>
  </si>
  <si>
    <t>gazana</t>
  </si>
  <si>
    <t>sum</t>
  </si>
  <si>
    <t>Azam</t>
  </si>
  <si>
    <t>Blue GSL</t>
  </si>
  <si>
    <t>August Closing CF</t>
  </si>
  <si>
    <t>Billing (Previous)</t>
  </si>
  <si>
    <t>Billing September</t>
  </si>
  <si>
    <t>Closing August CF</t>
  </si>
  <si>
    <t>MII 112</t>
  </si>
  <si>
    <t>Package Khalid Sahab</t>
  </si>
  <si>
    <t>GAS 1435</t>
  </si>
  <si>
    <t>Mazdoor</t>
  </si>
  <si>
    <t>Kamran (10k)</t>
  </si>
  <si>
    <t>Khalid Sahab (40k)</t>
  </si>
  <si>
    <t>boxes</t>
  </si>
  <si>
    <t>kgs</t>
  </si>
  <si>
    <t>total</t>
  </si>
  <si>
    <t>Black</t>
  </si>
  <si>
    <t>Red FB</t>
  </si>
  <si>
    <t>Yellow GG</t>
  </si>
  <si>
    <t>T blue</t>
  </si>
  <si>
    <t>LAST Month Stock</t>
  </si>
  <si>
    <t>August closing CF</t>
  </si>
  <si>
    <t>300 mann stock of Aug added</t>
  </si>
  <si>
    <t>Afzaal Hussein</t>
  </si>
  <si>
    <t>Naeem Electric</t>
  </si>
  <si>
    <t>grocceries+fruit</t>
  </si>
  <si>
    <t>cash-&gt;Taha//+1500 jc</t>
  </si>
  <si>
    <t>33 bori starch. 100kg PVA</t>
  </si>
  <si>
    <t>Last month stock added</t>
  </si>
  <si>
    <t>One Tag</t>
  </si>
  <si>
    <t>wood</t>
  </si>
  <si>
    <t>SGJ 4646</t>
  </si>
  <si>
    <t xml:space="preserve">mazda </t>
  </si>
  <si>
    <t>Gas 1196</t>
  </si>
  <si>
    <t>20k-engine oil</t>
  </si>
  <si>
    <t xml:space="preserve">1mil </t>
  </si>
  <si>
    <t>BP26</t>
  </si>
  <si>
    <t>Diesel</t>
  </si>
  <si>
    <t>cobra spray</t>
  </si>
  <si>
    <t>5 days</t>
  </si>
  <si>
    <t>BAHL</t>
  </si>
  <si>
    <t>dyes rent</t>
  </si>
  <si>
    <t>petrol</t>
  </si>
  <si>
    <t>NP9</t>
  </si>
  <si>
    <t>NP9+Rubine B</t>
  </si>
  <si>
    <t>LPG</t>
  </si>
  <si>
    <t>ghar</t>
  </si>
  <si>
    <t>LES 4366</t>
  </si>
  <si>
    <t>Master Arshad</t>
  </si>
  <si>
    <t>CAF 442</t>
  </si>
  <si>
    <t>kora Transport</t>
  </si>
  <si>
    <t>Tanveer sb advance</t>
  </si>
  <si>
    <t>Master Tanveer</t>
  </si>
  <si>
    <t>puncture</t>
  </si>
  <si>
    <t>AS Traders</t>
  </si>
  <si>
    <t>PVA</t>
  </si>
  <si>
    <t>bearings</t>
  </si>
  <si>
    <t>LRO 6613</t>
  </si>
  <si>
    <t>Meezan</t>
  </si>
  <si>
    <t>misc</t>
  </si>
  <si>
    <t>qadeer balance</t>
  </si>
  <si>
    <t>LES 4095</t>
  </si>
  <si>
    <t>Temp</t>
  </si>
  <si>
    <t>Elec bill last month</t>
  </si>
  <si>
    <t>Unloading</t>
  </si>
  <si>
    <t>pheray</t>
  </si>
  <si>
    <t xml:space="preserve">Dyes </t>
  </si>
  <si>
    <t>belt</t>
  </si>
  <si>
    <t>Gazanfar</t>
  </si>
  <si>
    <t>Qadeer Driver</t>
  </si>
  <si>
    <t>Atta</t>
  </si>
  <si>
    <t>1715+1717</t>
  </si>
  <si>
    <t>clips</t>
  </si>
  <si>
    <t>E 3229</t>
  </si>
  <si>
    <t>Chain</t>
  </si>
  <si>
    <t>hawala</t>
  </si>
  <si>
    <t>Chain Acc</t>
  </si>
  <si>
    <t>RB 162</t>
  </si>
  <si>
    <t>market karaya</t>
  </si>
  <si>
    <t>Kamran</t>
  </si>
  <si>
    <t>Azam Operator</t>
  </si>
  <si>
    <t>TID:449458</t>
  </si>
  <si>
    <t>Badshah Fabrics</t>
  </si>
  <si>
    <t>(65000// 41028 last month balance--cleared)</t>
  </si>
  <si>
    <t>toll</t>
  </si>
  <si>
    <t>TID:857197</t>
  </si>
  <si>
    <t>stenter</t>
  </si>
  <si>
    <t>stationary</t>
  </si>
  <si>
    <t>TID:116150</t>
  </si>
  <si>
    <t>TID:833481</t>
  </si>
  <si>
    <t>elfy</t>
  </si>
  <si>
    <t>1735+1732</t>
  </si>
  <si>
    <t>1731+1733</t>
  </si>
  <si>
    <t>1754+1758</t>
  </si>
  <si>
    <t>1737+1738+1740</t>
  </si>
  <si>
    <t>karaya</t>
  </si>
  <si>
    <t>Shehzad kamoki karaya</t>
  </si>
  <si>
    <t>RPT 5560</t>
  </si>
  <si>
    <t>LXPB 141</t>
  </si>
  <si>
    <t>driver kharcha</t>
  </si>
  <si>
    <t>Naeem Driver</t>
  </si>
  <si>
    <t>general</t>
  </si>
  <si>
    <t>TID:802246</t>
  </si>
  <si>
    <t>Sabir Chakki</t>
  </si>
  <si>
    <t>Khalid Sahab Arzi</t>
  </si>
  <si>
    <t>Cash//BSC</t>
  </si>
  <si>
    <t>Starch-45</t>
  </si>
  <si>
    <t>Tyre</t>
  </si>
  <si>
    <t>TID:461593</t>
  </si>
  <si>
    <t>TW 685</t>
  </si>
  <si>
    <t>Mubasshir Kharcha</t>
  </si>
  <si>
    <t>transfer</t>
  </si>
  <si>
    <t>Ashfaq Sahab</t>
  </si>
  <si>
    <t>Orange H3R</t>
  </si>
  <si>
    <t>TAF 571</t>
  </si>
  <si>
    <t>TKQ 160</t>
  </si>
  <si>
    <t>Munawar Bajwa</t>
  </si>
  <si>
    <t>Petrol//bike</t>
  </si>
  <si>
    <t>Hooria//ainak</t>
  </si>
  <si>
    <t>Medicine+300 food</t>
  </si>
  <si>
    <t>TID:566054</t>
  </si>
  <si>
    <t>KBI 112</t>
  </si>
  <si>
    <t>Baloch</t>
  </si>
  <si>
    <t>1741+1739</t>
  </si>
  <si>
    <t>one tag</t>
  </si>
  <si>
    <t>TID:130460</t>
  </si>
  <si>
    <t>cash</t>
  </si>
  <si>
    <t>transport</t>
  </si>
  <si>
    <t>bank</t>
  </si>
  <si>
    <t>Sufi balance uncleared</t>
  </si>
  <si>
    <t>TID:155112</t>
  </si>
  <si>
    <t>tandoor</t>
  </si>
  <si>
    <t>Khalid Sahab</t>
  </si>
  <si>
    <t>LES 5974</t>
  </si>
  <si>
    <t>899-a</t>
  </si>
  <si>
    <t>899-b</t>
  </si>
  <si>
    <t>899-c</t>
  </si>
  <si>
    <t>900-a</t>
  </si>
  <si>
    <t>900-b</t>
  </si>
  <si>
    <t>Party Names</t>
  </si>
  <si>
    <t>LES 8168</t>
  </si>
  <si>
    <t>TAD 074</t>
  </si>
  <si>
    <t>garrari</t>
  </si>
  <si>
    <t>Mobile oil</t>
  </si>
  <si>
    <t>TID:329171</t>
  </si>
  <si>
    <t>2 palia</t>
  </si>
  <si>
    <t>bank charges x2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</si>
</sst>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3">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rgb="FF92D050"/>
        <bgColor indexed="64"/>
      </patternFill>
    </fill>
    <fill>
      <patternFill patternType="solid">
        <fgColor theme="6" tint="0.39997558519241921"/>
        <bgColor indexed="64"/>
      </patternFill>
    </fill>
    <fill>
      <patternFill patternType="solid">
        <fgColor rgb="FF00B050"/>
        <bgColor indexed="64"/>
      </patternFill>
    </fill>
    <fill>
      <patternFill patternType="solid">
        <fgColor theme="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8">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64" fontId="1" fillId="8" borderId="1" xfId="1" applyNumberFormat="1" applyFont="1" applyFill="1" applyBorder="1"/>
    <xf numFmtId="0" fontId="0" fillId="0" borderId="3" xfId="0" applyBorder="1"/>
    <xf numFmtId="0" fontId="0" fillId="0" borderId="24" xfId="0" applyBorder="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14" fontId="0" fillId="0" borderId="7" xfId="0" applyNumberFormat="1" applyBorder="1"/>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164" fontId="9" fillId="7" borderId="0" xfId="0" applyNumberFormat="1" applyFont="1" applyFill="1"/>
    <xf numFmtId="164" fontId="9" fillId="9" borderId="0" xfId="0" applyNumberFormat="1" applyFont="1" applyFill="1"/>
    <xf numFmtId="0" fontId="0" fillId="10" borderId="0" xfId="0" applyFill="1"/>
    <xf numFmtId="164" fontId="0" fillId="11" borderId="0" xfId="1" applyNumberFormat="1" applyFont="1" applyFill="1"/>
    <xf numFmtId="164" fontId="0" fillId="11" borderId="0" xfId="1" applyNumberFormat="1" applyFont="1" applyFill="1" applyBorder="1"/>
    <xf numFmtId="164" fontId="0" fillId="12" borderId="0" xfId="1" applyNumberFormat="1" applyFont="1" applyFill="1"/>
    <xf numFmtId="164" fontId="0" fillId="12" borderId="0" xfId="1" applyNumberFormat="1" applyFont="1" applyFill="1" applyBorder="1"/>
    <xf numFmtId="0" fontId="0" fillId="0" borderId="0" xfId="1" applyNumberFormat="1" applyFont="1" applyAlignment="1">
      <alignment horizontal="right"/>
    </xf>
    <xf numFmtId="165" fontId="0" fillId="9" borderId="0" xfId="0" applyNumberFormat="1" applyFill="1"/>
  </cellXfs>
  <cellStyles count="2">
    <cellStyle name="Comma" xfId="1" builtinId="3"/>
    <cellStyle name="Normal" xfId="0" builtinId="0"/>
  </cellStyles>
  <dxfs count="127">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906942</xdr:colOff>
      <xdr:row>110</xdr:row>
      <xdr:rowOff>2672</xdr:rowOff>
    </xdr:from>
    <xdr:to>
      <xdr:col>15</xdr:col>
      <xdr:colOff>1099298</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682796</xdr:colOff>
      <xdr:row>124</xdr:row>
      <xdr:rowOff>55551</xdr:rowOff>
    </xdr:from>
    <xdr:to>
      <xdr:col>2</xdr:col>
      <xdr:colOff>318013</xdr:colOff>
      <xdr:row>132</xdr:row>
      <xdr:rowOff>113951</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82796" y="23015252"/>
              <a:ext cx="1871367" cy="15396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398066</xdr:colOff>
      <xdr:row>13</xdr:row>
      <xdr:rowOff>154588</xdr:rowOff>
    </xdr:from>
    <xdr:to>
      <xdr:col>15</xdr:col>
      <xdr:colOff>220425</xdr:colOff>
      <xdr:row>21</xdr:row>
      <xdr:rowOff>77441</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1532290" y="2535838"/>
              <a:ext cx="1797543" cy="137666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653967</xdr:colOff>
      <xdr:row>7</xdr:row>
      <xdr:rowOff>43181</xdr:rowOff>
    </xdr:from>
    <xdr:to>
      <xdr:col>13</xdr:col>
      <xdr:colOff>523567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352256</xdr:colOff>
      <xdr:row>12</xdr:row>
      <xdr:rowOff>138748</xdr:rowOff>
    </xdr:from>
    <xdr:to>
      <xdr:col>14</xdr:col>
      <xdr:colOff>659309</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August.xlsx" TargetMode="External"/><Relationship Id="rId1" Type="http://schemas.openxmlformats.org/officeDocument/2006/relationships/externalLinkPath" Target="Factory_Khata_Augu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1189821</v>
          </cell>
          <cell r="Q5">
            <v>1087985.5523043161</v>
          </cell>
          <cell r="R5">
            <v>1073433.6137527432</v>
          </cell>
          <cell r="S5">
            <v>14551.938551572788</v>
          </cell>
          <cell r="T5">
            <v>10734336.137527434</v>
          </cell>
          <cell r="U5">
            <v>174623.26261887344</v>
          </cell>
          <cell r="W5">
            <v>7158783</v>
          </cell>
        </row>
        <row r="6">
          <cell r="O6" t="str">
            <v>Ejaz Sahab</v>
          </cell>
          <cell r="P6">
            <v>94039</v>
          </cell>
          <cell r="Q6">
            <v>85990.30724213607</v>
          </cell>
          <cell r="R6">
            <v>85990.30724213607</v>
          </cell>
          <cell r="S6">
            <v>0</v>
          </cell>
          <cell r="T6">
            <v>859903.07242136064</v>
          </cell>
          <cell r="U6">
            <v>0</v>
          </cell>
          <cell r="W6">
            <v>612354</v>
          </cell>
        </row>
        <row r="7">
          <cell r="O7" t="str">
            <v>Arshad</v>
          </cell>
          <cell r="P7">
            <v>157108</v>
          </cell>
          <cell r="Q7">
            <v>143661.30212143381</v>
          </cell>
          <cell r="R7">
            <v>143661.30212143381</v>
          </cell>
          <cell r="S7">
            <v>0</v>
          </cell>
          <cell r="T7">
            <v>1436613.021214338</v>
          </cell>
          <cell r="U7">
            <v>0</v>
          </cell>
          <cell r="W7">
            <v>754210</v>
          </cell>
        </row>
        <row r="8">
          <cell r="O8" t="str">
            <v>Shehzad Kamoki</v>
          </cell>
          <cell r="P8">
            <v>119695</v>
          </cell>
          <cell r="Q8">
            <v>109450.43891733725</v>
          </cell>
          <cell r="R8">
            <v>109450.43891733725</v>
          </cell>
          <cell r="S8">
            <v>0</v>
          </cell>
          <cell r="T8">
            <v>1126095.508632041</v>
          </cell>
          <cell r="U8">
            <v>0</v>
          </cell>
          <cell r="W8">
            <v>1125940</v>
          </cell>
        </row>
        <row r="9">
          <cell r="O9" t="str">
            <v>Sufi Nawaz Sahab</v>
          </cell>
          <cell r="P9">
            <v>631359</v>
          </cell>
          <cell r="Q9">
            <v>577321.68983174837</v>
          </cell>
          <cell r="R9">
            <v>359403.80395025609</v>
          </cell>
          <cell r="S9">
            <v>217917.88588149232</v>
          </cell>
          <cell r="T9">
            <v>3234634.2355523049</v>
          </cell>
          <cell r="U9">
            <v>2615014.6305779079</v>
          </cell>
          <cell r="W9">
            <v>4079100</v>
          </cell>
        </row>
        <row r="10">
          <cell r="O10" t="str">
            <v>Sajad Khan</v>
          </cell>
          <cell r="P10">
            <v>274556</v>
          </cell>
          <cell r="Q10">
            <v>251057.05925384053</v>
          </cell>
          <cell r="R10">
            <v>251057.05925384053</v>
          </cell>
          <cell r="S10">
            <v>0</v>
          </cell>
          <cell r="T10">
            <v>2510570.5925384052</v>
          </cell>
          <cell r="U10">
            <v>0</v>
          </cell>
          <cell r="W10">
            <v>2300000</v>
          </cell>
        </row>
        <row r="11">
          <cell r="O11" t="str">
            <v>Raaz Fabrics</v>
          </cell>
          <cell r="P11">
            <v>49849</v>
          </cell>
          <cell r="Q11">
            <v>45582.479882955377</v>
          </cell>
          <cell r="R11">
            <v>45582.479882955377</v>
          </cell>
          <cell r="S11">
            <v>0</v>
          </cell>
          <cell r="T11">
            <v>455824.79882955377</v>
          </cell>
          <cell r="U11">
            <v>0</v>
          </cell>
          <cell r="W11">
            <v>200000</v>
          </cell>
        </row>
        <row r="12">
          <cell r="O12" t="str">
            <v>Hafiz Qureshi</v>
          </cell>
          <cell r="P12">
            <v>21807</v>
          </cell>
          <cell r="Q12">
            <v>19940.563277249454</v>
          </cell>
          <cell r="R12">
            <v>19940.563277249454</v>
          </cell>
          <cell r="S12">
            <v>0</v>
          </cell>
          <cell r="T12">
            <v>199405.63277249454</v>
          </cell>
          <cell r="U12">
            <v>0</v>
          </cell>
          <cell r="W12">
            <v>100000</v>
          </cell>
        </row>
        <row r="13">
          <cell r="O13" t="str">
            <v>Ubaidullah</v>
          </cell>
          <cell r="P13">
            <v>32293</v>
          </cell>
          <cell r="Q13">
            <v>29529.078273591811</v>
          </cell>
          <cell r="R13">
            <v>29529.078273591811</v>
          </cell>
          <cell r="S13">
            <v>0</v>
          </cell>
          <cell r="T13">
            <v>295290.78273591812</v>
          </cell>
          <cell r="U13">
            <v>0</v>
          </cell>
          <cell r="W13">
            <v>296150</v>
          </cell>
        </row>
        <row r="14">
          <cell r="O14" t="str">
            <v>Ashraf Zia</v>
          </cell>
          <cell r="P14">
            <v>23305</v>
          </cell>
          <cell r="Q14">
            <v>21310.35113386979</v>
          </cell>
          <cell r="R14">
            <v>21310.35113386979</v>
          </cell>
          <cell r="S14">
            <v>0</v>
          </cell>
          <cell r="T14">
            <v>255724.21360643749</v>
          </cell>
          <cell r="U14">
            <v>0</v>
          </cell>
          <cell r="W14">
            <v>0</v>
          </cell>
        </row>
        <row r="15">
          <cell r="O15" t="str">
            <v>Azam</v>
          </cell>
          <cell r="P15">
            <v>28549</v>
          </cell>
          <cell r="Q15">
            <v>26105.523043160207</v>
          </cell>
          <cell r="R15">
            <v>26105.523043160207</v>
          </cell>
          <cell r="S15">
            <v>0</v>
          </cell>
          <cell r="T15">
            <v>261055.23043160207</v>
          </cell>
          <cell r="U15">
            <v>0</v>
          </cell>
          <cell r="W15">
            <v>200000</v>
          </cell>
        </row>
        <row r="16">
          <cell r="O16">
            <v>0</v>
          </cell>
          <cell r="P16">
            <v>0</v>
          </cell>
          <cell r="Q16">
            <v>0</v>
          </cell>
          <cell r="R16">
            <v>0</v>
          </cell>
          <cell r="S16">
            <v>0</v>
          </cell>
          <cell r="T16">
            <v>0</v>
          </cell>
          <cell r="U16">
            <v>0</v>
          </cell>
          <cell r="W16">
            <v>0</v>
          </cell>
        </row>
        <row r="17">
          <cell r="O17"/>
          <cell r="P17">
            <v>0</v>
          </cell>
          <cell r="Q17">
            <v>0</v>
          </cell>
          <cell r="R17">
            <v>0</v>
          </cell>
          <cell r="S17">
            <v>0</v>
          </cell>
          <cell r="T17">
            <v>0</v>
          </cell>
          <cell r="U17">
            <v>0</v>
          </cell>
          <cell r="W17">
            <v>0</v>
          </cell>
        </row>
        <row r="18">
          <cell r="P18">
            <v>0</v>
          </cell>
          <cell r="Q18">
            <v>0</v>
          </cell>
          <cell r="R18">
            <v>0</v>
          </cell>
          <cell r="S18">
            <v>0</v>
          </cell>
          <cell r="T18">
            <v>0</v>
          </cell>
          <cell r="U18">
            <v>0</v>
          </cell>
          <cell r="W18">
            <v>0</v>
          </cell>
        </row>
        <row r="19">
          <cell r="P19">
            <v>0</v>
          </cell>
          <cell r="Q19">
            <v>0</v>
          </cell>
          <cell r="R19">
            <v>0</v>
          </cell>
          <cell r="S19">
            <v>0</v>
          </cell>
          <cell r="T19">
            <v>0</v>
          </cell>
          <cell r="U19">
            <v>0</v>
          </cell>
          <cell r="W19">
            <v>0</v>
          </cell>
        </row>
        <row r="21">
          <cell r="O21"/>
        </row>
      </sheetData>
      <sheetData sheetId="1"/>
      <sheetData sheetId="2"/>
      <sheetData sheetId="3"/>
      <sheetData sheetId="4"/>
      <sheetData sheetId="5"/>
      <sheetData sheetId="6"/>
      <sheetData sheetId="7">
        <row r="10">
          <cell r="R10">
            <v>-421502</v>
          </cell>
        </row>
        <row r="11">
          <cell r="R11">
            <v>-781867</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2.118491203706" createdVersion="8" refreshedVersion="8" minRefreshableVersion="3" recordCount="8" xr:uid="{376A650C-1F79-4049-BC45-E34989F046B2}">
  <cacheSource type="worksheet">
    <worksheetSource name="Table2"/>
  </cacheSource>
  <cacheFields count="8">
    <cacheField name="Date" numFmtId="14">
      <sharedItems containsNonDate="0" containsDate="1" containsString="0" containsBlank="1" minDate="2025-09-16T00:00:00" maxDate="2025-10-01T00:00:00"/>
    </cacheField>
    <cacheField name="Party Name" numFmtId="14">
      <sharedItems containsBlank="1" count="6">
        <s v="Finish"/>
        <s v="Faysal Akraam"/>
        <s v="AS Traders"/>
        <m/>
        <s v="-" u="1"/>
        <s v="Faysal" u="1"/>
      </sharedItems>
    </cacheField>
    <cacheField name="Item" numFmtId="0">
      <sharedItems containsBlank="1"/>
    </cacheField>
    <cacheField name="Boxes" numFmtId="0">
      <sharedItems containsString="0" containsBlank="1" containsNumber="1" containsInteger="1" minValue="45" maxValue="45"/>
    </cacheField>
    <cacheField name="Quantity" numFmtId="0">
      <sharedItems containsString="0" containsBlank="1" containsNumber="1" containsInteger="1" minValue="250" maxValue="250"/>
    </cacheField>
    <cacheField name="Price" numFmtId="0">
      <sharedItems containsSemiMixedTypes="0" containsString="0" containsNumber="1" containsInteger="1" minValue="0" maxValue="82000"/>
    </cacheField>
    <cacheField name="Paid" numFmtId="0">
      <sharedItems containsSemiMixedTypes="0" containsString="0" containsNumber="1" containsInteger="1" minValue="0" maxValue="310500"/>
    </cacheField>
    <cacheField name="Balance" numFmtId="0">
      <sharedItems containsSemiMixedTypes="0" containsString="0" containsNumber="1" containsInteger="1" minValue="-3105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2.118491666668" createdVersion="8" refreshedVersion="8" minRefreshableVersion="3" recordCount="82" xr:uid="{46CBB50D-3613-4E5B-8212-DD0313DCD05A}">
  <cacheSource type="worksheet">
    <worksheetSource name="Table1"/>
  </cacheSource>
  <cacheFields count="14">
    <cacheField name="Date" numFmtId="14">
      <sharedItems containsSemiMixedTypes="0" containsNonDate="0" containsDate="1" containsString="0" minDate="2025-07-25T00:00:00" maxDate="2025-10-11T00:00:00" count="64">
        <d v="2025-09-16T00:00:00"/>
        <d v="2025-09-17T00:00:00"/>
        <d v="2025-09-18T00:00:00"/>
        <d v="2025-09-19T00:00:00"/>
        <d v="2025-08-19T00:00:00"/>
        <d v="2025-09-20T00:00:00"/>
        <d v="2025-09-22T00:00:00"/>
        <d v="2025-09-23T00:00:00"/>
        <d v="2025-09-24T00:00:00"/>
        <d v="2025-09-25T00:00:00"/>
        <d v="2025-09-26T00:00:00"/>
        <d v="2025-09-27T00:00:00"/>
        <d v="2025-09-29T00:00:00"/>
        <d v="2025-09-30T00:00:00"/>
        <d v="2025-10-01T00:00:00" u="1"/>
        <d v="2025-10-02T00:00:00" u="1"/>
        <d v="2025-10-03T00:00:00" u="1"/>
        <d v="2025-10-04T00:00:00" u="1"/>
        <d v="2025-10-05T00:00:00" u="1"/>
        <d v="2025-10-06T00:00:00" u="1"/>
        <d v="2025-10-07T00:00:00" u="1"/>
        <d v="2025-10-08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9">
        <s v="BSC"/>
        <s v="Ejaz Sahab"/>
        <s v="Arshad"/>
        <s v="Shehzad Kamoki"/>
        <s v="Sufi Nawaz Sahab"/>
        <s v="Sajad Khan"/>
        <s v="Raaz Fabrics"/>
        <s v="Azam"/>
        <s v="Ubaidullah"/>
        <s v="Ashraf Zia"/>
        <s v="Hafiz Qureshi"/>
        <s v="Badshah Fabrics"/>
        <m u="1"/>
        <s v="YING" u="1"/>
        <s v="Meow" u="1"/>
        <s v="Umer Sb" u="1"/>
        <s v="-" u="1"/>
        <s v="Sajjad" u="1"/>
        <s v="Haji Ejaz" u="1"/>
      </sharedItems>
    </cacheField>
    <cacheField name="Bill Number" numFmtId="0">
      <sharedItems containsMixedTypes="1" containsNumber="1" containsInteger="1" minValue="604" maxValue="898" count="288">
        <s v="August Closing CF"/>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s v="899-a"/>
        <s v="899-b"/>
        <s v="899-c"/>
        <s v="900-a"/>
        <s v="900-b"/>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147">
        <m/>
        <n v="1708"/>
        <n v="1720"/>
        <n v="1723"/>
        <n v="1724"/>
        <n v="1714"/>
        <n v="1690"/>
        <n v="1716"/>
        <n v="1696"/>
        <n v="1694"/>
        <n v="1687"/>
        <n v="1719"/>
        <n v="1688"/>
        <s v="1715+1717"/>
        <n v="1710"/>
        <n v="1725"/>
        <n v="1736"/>
        <n v="1728"/>
        <s v="1735+1732"/>
        <s v="1731+1733"/>
        <n v="1726"/>
        <n v="1730"/>
        <s v="1754+1758"/>
        <s v="1737+1738+1740"/>
        <n v="1729"/>
        <n v="1748"/>
        <n v="1756"/>
        <n v="1757"/>
        <n v="1697"/>
        <n v="1727"/>
        <n v="1755"/>
        <s v="1741+1739"/>
        <n v="1763"/>
        <n v="1701"/>
        <n v="1753"/>
        <n v="1751"/>
        <n v="1760"/>
        <n v="1762"/>
        <n v="1767"/>
        <n v="1764"/>
        <n v="1765"/>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90" maxValue="100795"/>
    </cacheField>
    <cacheField name="Tiyaar/gaz" numFmtId="164">
      <sharedItems containsString="0" containsBlank="1" containsNumber="1" containsInteger="1" minValue="210" maxValue="52061"/>
    </cacheField>
    <cacheField name="shortage %" numFmtId="165">
      <sharedItems containsMixedTypes="1" containsNumber="1" minValue="-5.6462495295886725" maxValue="3.9381099898581624"/>
    </cacheField>
    <cacheField name="tiyar/meters" numFmtId="165">
      <sharedItems containsSemiMixedTypes="0" containsString="0" containsNumber="1" minValue="0" maxValue="1073433.6137527432"/>
    </cacheField>
    <cacheField name="billing" numFmtId="165">
      <sharedItems containsSemiMixedTypes="0" containsString="0" containsNumber="1" minValue="0" maxValue="10734336.137527432"/>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2.118492476853" createdVersion="8" refreshedVersion="8" minRefreshableVersion="3" recordCount="47" xr:uid="{3E5C2981-ACF5-44A9-8567-B1D65DB3A8D2}">
  <cacheSource type="worksheet">
    <worksheetSource name="Table3"/>
  </cacheSource>
  <cacheFields count="9">
    <cacheField name="Date" numFmtId="14">
      <sharedItems containsSemiMixedTypes="0" containsNonDate="0" containsDate="1" containsString="0" minDate="2025-05-02T00:00:00" maxDate="2025-10-01T00:00:00" count="66">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09-01T00:00:00"/>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58">
        <s v="Closing Balance CF"/>
        <n v="112"/>
        <n v="1435"/>
        <m/>
        <n v="4646"/>
        <n v="1196"/>
        <n v="4366"/>
        <n v="442"/>
        <n v="6613"/>
        <n v="4095"/>
        <n v="3229"/>
        <n v="162"/>
        <n v="8141"/>
        <n v="5560"/>
        <n v="685"/>
        <n v="571"/>
        <n v="160"/>
        <s v="KBI 112"/>
        <s v="LES 5974"/>
        <s v="LES 8168"/>
        <s v="TAD 074"/>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32" maxValue="376"/>
    </cacheField>
    <cacheField name="Rate" numFmtId="164">
      <sharedItems containsString="0" containsBlank="1" containsNumber="1" containsInteger="1" minValue="550" maxValue="810"/>
    </cacheField>
    <cacheField name="Rent" numFmtId="164">
      <sharedItems containsString="0" containsBlank="1" containsNumber="1" containsInteger="1" minValue="27300" maxValue="62410"/>
    </cacheField>
    <cacheField name="Total" numFmtId="164">
      <sharedItems containsSemiMixedTypes="0" containsString="0" containsNumber="1" containsInteger="1" minValue="0" maxValue="304560"/>
    </cacheField>
    <cacheField name="Paid" numFmtId="164">
      <sharedItems containsString="0" containsBlank="1" containsNumber="1" containsInteger="1" minValue="0" maxValue="402560"/>
    </cacheField>
    <cacheField name="balance" numFmtId="164">
      <sharedItems containsSemiMixedTypes="0" containsString="0" containsNumber="1" containsInteger="1" minValue="-296250" maxValue="24481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2.118492824076" createdVersion="8" refreshedVersion="8" minRefreshableVersion="3" recordCount="13" xr:uid="{AC867DCC-CE64-4D1A-827D-F1F3EE10EE4E}">
  <cacheSource type="worksheet">
    <worksheetSource name="Table8"/>
  </cacheSource>
  <cacheFields count="9">
    <cacheField name="Date" numFmtId="14">
      <sharedItems containsSemiMixedTypes="0" containsNonDate="0" containsDate="1" containsString="0" minDate="2025-05-16T00:00:00" maxDate="2025-09-28T00:00:00" count="24">
        <d v="2025-09-16T00:00:00"/>
        <d v="2025-09-19T00:00:00"/>
        <d v="2025-09-22T00:00:00"/>
        <d v="2025-09-26T00:00:00"/>
        <d v="2025-09-27T00:00:00"/>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2"/>
    </cacheField>
    <cacheField name="Rate" numFmtId="0">
      <sharedItems containsString="0" containsBlank="1" containsNumber="1" containsInteger="1" minValue="1130" maxValue="1775"/>
    </cacheField>
    <cacheField name="Price" numFmtId="0">
      <sharedItems containsString="0" containsBlank="1" containsNumber="1" containsInteger="1" minValue="28500" maxValue="138000"/>
    </cacheField>
    <cacheField name="Party" numFmtId="0">
      <sharedItems containsBlank="1" count="3">
        <s v="Unicolour"/>
        <m/>
        <s v="-" u="1"/>
      </sharedItems>
    </cacheField>
    <cacheField name="Paid" numFmtId="0">
      <sharedItems containsString="0" containsBlank="1" containsNumber="1" containsInteger="1" minValue="87750" maxValue="500000"/>
    </cacheField>
    <cacheField name="Balance" numFmtId="0">
      <sharedItems containsSemiMixedTypes="0" containsString="0" containsNumber="1" containsInteger="1" minValue="-500000" maxValue="7080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2.118493055554" createdVersion="8" refreshedVersion="8" minRefreshableVersion="3" recordCount="13" xr:uid="{C9337D87-FB7F-43A5-B835-F515E859066B}">
  <cacheSource type="worksheet">
    <worksheetSource name="Table4"/>
  </cacheSource>
  <cacheFields count="4">
    <cacheField name="Party Name" numFmtId="0">
      <sharedItems containsMixedTypes="1" containsNumber="1" containsInteger="1" minValue="0" maxValue="0" count="13">
        <s v="BSC"/>
        <s v="Ejaz Sahab"/>
        <s v="Arshad"/>
        <s v="Shehzad Kamoki"/>
        <s v="Sufi Nawaz Sahab"/>
        <s v="Sajad Khan"/>
        <s v="Raaz Fabrics"/>
        <s v="Azam"/>
        <s v="Ubaidullah"/>
        <s v="Ashraf Zia"/>
        <s v="Hafiz Qureshi"/>
        <s v="Badshah Fabrics"/>
        <n v="0"/>
      </sharedItems>
    </cacheField>
    <cacheField name="Tiyaar" numFmtId="1">
      <sharedItems containsSemiMixedTypes="0" containsString="0" containsNumber="1" minValue="0" maxValue="318134.60131675203"/>
    </cacheField>
    <cacheField name="Rate" numFmtId="0">
      <sharedItems containsString="0" containsBlank="1" containsNumber="1" minValue="10" maxValue="12"/>
    </cacheField>
    <cacheField name="Total" numFmtId="164">
      <sharedItems containsSemiMixedTypes="0" containsString="0" containsNumber="1" minValue="0" maxValue="3469858.2662765183"/>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32.118493402777" createdVersion="8" refreshedVersion="8" minRefreshableVersion="3" recordCount="227" xr:uid="{B5BDFB73-D93A-4A7A-8149-666BC190B09B}">
  <cacheSource type="worksheet">
    <worksheetSource name="Table14"/>
  </cacheSource>
  <cacheFields count="7">
    <cacheField name="Date" numFmtId="14">
      <sharedItems containsSemiMixedTypes="0" containsNonDate="0" containsDate="1" containsString="0" minDate="2025-09-01T00:00:00" maxDate="2025-10-01T00:00:00"/>
    </cacheField>
    <cacheField name="Party" numFmtId="0">
      <sharedItems containsBlank="1" count="41">
        <s v="Closing August CF"/>
        <s v="Ejaz Sahab"/>
        <s v="Malik Zaheer"/>
        <s v="Hafiz Qureshi"/>
        <s v="Arshad"/>
        <s v="Misc"/>
        <s v="Omer"/>
        <s v="Advance Salary"/>
        <s v="BSC"/>
        <s v="Transport"/>
        <s v="Dasti"/>
        <s v="Parts"/>
        <s v="Salary"/>
        <s v="Dyes"/>
        <s v="Rafaqat"/>
        <s v="Azam"/>
        <s v="Sufi Nawaz Sahab"/>
        <s v="Rashan"/>
        <s v="Finish"/>
        <s v="Temp"/>
        <s v="Sajad Khan"/>
        <s v="Chain Acc"/>
        <s v="Badshah Fabrics"/>
        <s v="Ubaidullah"/>
        <s v="Shehzad Kamoki"/>
        <s v="Unicolour"/>
        <s v="Cash"/>
        <s v="Raaz Fabrics"/>
        <m/>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00" maxValue="1895031"/>
    </cacheField>
    <cacheField name="Credit" numFmtId="164">
      <sharedItems containsString="0" containsBlank="1" containsNumber="1" containsInteger="1" minValue="-781867" maxValue="1450000"/>
    </cacheField>
    <cacheField name="Description" numFmtId="0">
      <sharedItems containsBlank="1"/>
    </cacheField>
    <cacheField name="Mode" numFmtId="0">
      <sharedItems containsBlank="1"/>
    </cacheField>
    <cacheField name="Withdrawal" numFmtId="0">
      <sharedItems containsString="0" containsBlank="1" containsNumber="1" containsInteger="1" minValue="3000" maxValue="3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d v="2025-09-16T00:00:00"/>
    <x v="0"/>
    <s v="August Closing CF"/>
    <m/>
    <m/>
    <n v="0"/>
    <n v="0"/>
    <n v="310500"/>
  </r>
  <r>
    <d v="2025-09-16T00:00:00"/>
    <x v="1"/>
    <s v="August Closing CF"/>
    <m/>
    <m/>
    <n v="0"/>
    <n v="0"/>
    <n v="-5000"/>
  </r>
  <r>
    <d v="2025-09-20T00:00:00"/>
    <x v="2"/>
    <s v="PVA"/>
    <m/>
    <n v="250"/>
    <n v="62500"/>
    <n v="0"/>
    <n v="62500"/>
  </r>
  <r>
    <d v="2025-09-22T00:00:00"/>
    <x v="0"/>
    <s v="Starch"/>
    <m/>
    <m/>
    <n v="0"/>
    <n v="310500"/>
    <n v="-310500"/>
  </r>
  <r>
    <d v="2025-09-25T00:00:00"/>
    <x v="0"/>
    <s v="Starch"/>
    <m/>
    <m/>
    <n v="24600"/>
    <n v="24600"/>
    <n v="0"/>
  </r>
  <r>
    <d v="2025-09-25T00:00:00"/>
    <x v="0"/>
    <s v="Starch-45"/>
    <n v="45"/>
    <m/>
    <n v="0"/>
    <n v="0"/>
    <n v="0"/>
  </r>
  <r>
    <d v="2025-09-30T00:00:00"/>
    <x v="0"/>
    <s v="BP26"/>
    <m/>
    <m/>
    <n v="82000"/>
    <n v="82000"/>
    <n v="0"/>
  </r>
  <r>
    <m/>
    <x v="3"/>
    <m/>
    <m/>
    <m/>
    <n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
  <r>
    <x v="0"/>
    <x v="0"/>
    <x v="0"/>
    <s v="Chamki"/>
    <x v="0"/>
    <m/>
    <m/>
    <e v="#DIV/0!"/>
    <n v="1073433.6137527432"/>
    <n v="10734336.137527432"/>
    <m/>
  </r>
  <r>
    <x v="0"/>
    <x v="1"/>
    <x v="0"/>
    <s v="Chamki"/>
    <x v="0"/>
    <m/>
    <m/>
    <e v="#DIV/0!"/>
    <n v="85990.30724213607"/>
    <n v="859903.07242136076"/>
    <m/>
  </r>
  <r>
    <x v="0"/>
    <x v="2"/>
    <x v="0"/>
    <s v="Chamki"/>
    <x v="0"/>
    <m/>
    <m/>
    <e v="#DIV/0!"/>
    <n v="143661.30212143381"/>
    <n v="1436613.021214338"/>
    <m/>
  </r>
  <r>
    <x v="0"/>
    <x v="3"/>
    <x v="0"/>
    <s v="Chamki"/>
    <x v="0"/>
    <m/>
    <m/>
    <e v="#DIV/0!"/>
    <n v="109450.43891733725"/>
    <n v="1126095.508632041"/>
    <m/>
  </r>
  <r>
    <x v="0"/>
    <x v="4"/>
    <x v="0"/>
    <s v="Chamki"/>
    <x v="0"/>
    <m/>
    <m/>
    <e v="#DIV/0!"/>
    <n v="359403.80395025609"/>
    <n v="3234634.2355523049"/>
    <m/>
  </r>
  <r>
    <x v="0"/>
    <x v="5"/>
    <x v="0"/>
    <s v="Chamki"/>
    <x v="0"/>
    <m/>
    <m/>
    <e v="#DIV/0!"/>
    <n v="251057.05925384053"/>
    <n v="2510570.5925384052"/>
    <m/>
  </r>
  <r>
    <x v="0"/>
    <x v="6"/>
    <x v="0"/>
    <s v="Chamki"/>
    <x v="0"/>
    <m/>
    <m/>
    <e v="#DIV/0!"/>
    <n v="45582.479882955377"/>
    <n v="455824.79882955377"/>
    <m/>
  </r>
  <r>
    <x v="0"/>
    <x v="7"/>
    <x v="0"/>
    <s v="Chamki"/>
    <x v="0"/>
    <m/>
    <m/>
    <e v="#DIV/0!"/>
    <n v="26105.523043160207"/>
    <n v="261055.23043160207"/>
    <m/>
  </r>
  <r>
    <x v="0"/>
    <x v="8"/>
    <x v="0"/>
    <s v="Chamki"/>
    <x v="0"/>
    <m/>
    <m/>
    <e v="#DIV/0!"/>
    <n v="29529.078273591811"/>
    <n v="295290.78273591812"/>
    <m/>
  </r>
  <r>
    <x v="0"/>
    <x v="9"/>
    <x v="0"/>
    <s v="Crinkle"/>
    <x v="0"/>
    <m/>
    <m/>
    <e v="#DIV/0!"/>
    <n v="21310.35113386979"/>
    <n v="255724.21360643749"/>
    <m/>
  </r>
  <r>
    <x v="0"/>
    <x v="10"/>
    <x v="0"/>
    <s v="Chamki"/>
    <x v="0"/>
    <m/>
    <m/>
    <e v="#DIV/0!"/>
    <n v="19940.563277249454"/>
    <n v="199405.63277249454"/>
    <m/>
  </r>
  <r>
    <x v="0"/>
    <x v="4"/>
    <x v="0"/>
    <s v="Silky"/>
    <x v="0"/>
    <m/>
    <m/>
    <e v="#DIV/0!"/>
    <n v="217917.88588149232"/>
    <n v="2615014.6305779079"/>
    <m/>
  </r>
  <r>
    <x v="0"/>
    <x v="0"/>
    <x v="0"/>
    <s v="Silky"/>
    <x v="0"/>
    <m/>
    <m/>
    <e v="#DIV/0!"/>
    <n v="14551.938551572788"/>
    <n v="174623.26261887344"/>
    <m/>
  </r>
  <r>
    <x v="1"/>
    <x v="0"/>
    <x v="1"/>
    <s v="Chamki"/>
    <x v="1"/>
    <n v="29011"/>
    <n v="19968"/>
    <n v="1.7"/>
    <n v="18258.961228968546"/>
    <n v="182589.61228968546"/>
    <m/>
  </r>
  <r>
    <x v="1"/>
    <x v="4"/>
    <x v="2"/>
    <s v="Silky"/>
    <x v="2"/>
    <n v="30020"/>
    <n v="28988"/>
    <n v="-0.4176927646869899"/>
    <n v="26506.949524506221"/>
    <n v="318083.39429407462"/>
    <m/>
  </r>
  <r>
    <x v="1"/>
    <x v="4"/>
    <x v="3"/>
    <s v="Silky"/>
    <x v="2"/>
    <n v="30020"/>
    <n v="3979"/>
    <n v="-0.4176927646869899"/>
    <n v="3638.4418434528166"/>
    <n v="43661.3021214338"/>
    <m/>
  </r>
  <r>
    <x v="1"/>
    <x v="4"/>
    <x v="4"/>
    <s v="Silky"/>
    <x v="3"/>
    <n v="6003"/>
    <n v="6476"/>
    <n v="1.3538829219869228"/>
    <n v="5921.7264081931244"/>
    <n v="71060.716898317492"/>
    <m/>
  </r>
  <r>
    <x v="1"/>
    <x v="4"/>
    <x v="5"/>
    <s v="Silky"/>
    <x v="4"/>
    <n v="10145"/>
    <n v="10952"/>
    <n v="1.2850608387597049"/>
    <n v="10014.630577907828"/>
    <n v="120175.56693489394"/>
    <m/>
  </r>
  <r>
    <x v="1"/>
    <x v="4"/>
    <x v="6"/>
    <s v="Silky"/>
    <x v="5"/>
    <n v="2911"/>
    <n v="3128"/>
    <n v="1.7424259367829364"/>
    <n v="2860.2779809802491"/>
    <n v="34323.335771762991"/>
    <m/>
  </r>
  <r>
    <x v="1"/>
    <x v="8"/>
    <x v="7"/>
    <s v="Chamki"/>
    <x v="6"/>
    <n v="16016"/>
    <n v="17060"/>
    <n v="2.5983160950242024"/>
    <n v="15599.853694220923"/>
    <n v="155998.53694220923"/>
    <m/>
  </r>
  <r>
    <x v="1"/>
    <x v="0"/>
    <x v="8"/>
    <s v="Chamki"/>
    <x v="7"/>
    <m/>
    <m/>
    <e v="#DIV/0!"/>
    <n v="0"/>
    <n v="0"/>
    <m/>
  </r>
  <r>
    <x v="2"/>
    <x v="7"/>
    <x v="9"/>
    <s v="Chamki"/>
    <x v="8"/>
    <n v="34908"/>
    <n v="37420"/>
    <n v="1.9787324340230157"/>
    <n v="34217.264081931236"/>
    <n v="342172.64081931236"/>
    <m/>
  </r>
  <r>
    <x v="3"/>
    <x v="7"/>
    <x v="10"/>
    <s v="Chamki"/>
    <x v="9"/>
    <n v="33379"/>
    <n v="2641"/>
    <n v="1.8362034941172141"/>
    <n v="2414.9597659107535"/>
    <n v="24149.597659107534"/>
    <m/>
  </r>
  <r>
    <x v="4"/>
    <x v="0"/>
    <x v="11"/>
    <s v="Chamki"/>
    <x v="7"/>
    <m/>
    <m/>
    <e v="#DIV/0!"/>
    <n v="0"/>
    <n v="0"/>
    <m/>
  </r>
  <r>
    <x v="4"/>
    <x v="5"/>
    <x v="12"/>
    <s v="Chamki"/>
    <x v="10"/>
    <n v="25625"/>
    <n v="2190"/>
    <n v="1.5219369457776395"/>
    <n v="2002.56035113387"/>
    <n v="20025.603511338701"/>
    <m/>
  </r>
  <r>
    <x v="3"/>
    <x v="0"/>
    <x v="13"/>
    <s v="Chamki"/>
    <x v="11"/>
    <n v="30808"/>
    <n v="26284"/>
    <n v="1.557148819115568"/>
    <n v="24034.381858083398"/>
    <n v="240343.81858083396"/>
    <m/>
  </r>
  <r>
    <x v="3"/>
    <x v="2"/>
    <x v="14"/>
    <s v="Chamki"/>
    <x v="7"/>
    <m/>
    <m/>
    <e v="#DIV/0!"/>
    <n v="0"/>
    <n v="0"/>
    <m/>
  </r>
  <r>
    <x v="5"/>
    <x v="0"/>
    <x v="15"/>
    <s v="Chamki"/>
    <x v="11"/>
    <n v="30808"/>
    <n v="6883"/>
    <n v="1.557148819115568"/>
    <n v="6293.8917337234825"/>
    <n v="62938.917337234823"/>
    <m/>
  </r>
  <r>
    <x v="5"/>
    <x v="0"/>
    <x v="16"/>
    <s v="Chamki"/>
    <x v="7"/>
    <m/>
    <m/>
    <e v="#DIV/0!"/>
    <n v="0"/>
    <n v="0"/>
    <m/>
  </r>
  <r>
    <x v="5"/>
    <x v="0"/>
    <x v="17"/>
    <s v="Chamki"/>
    <x v="7"/>
    <m/>
    <m/>
    <e v="#DIV/0!"/>
    <n v="0"/>
    <n v="0"/>
    <m/>
  </r>
  <r>
    <x v="5"/>
    <x v="7"/>
    <x v="18"/>
    <s v="Chamki"/>
    <x v="9"/>
    <n v="33379"/>
    <n v="10423"/>
    <n v="1.8362034941172141"/>
    <n v="9530.9070958302855"/>
    <n v="95309.070958302851"/>
    <m/>
  </r>
  <r>
    <x v="5"/>
    <x v="7"/>
    <x v="19"/>
    <s v="Chamki"/>
    <x v="9"/>
    <n v="33379"/>
    <n v="22769"/>
    <n v="1.8362034941172141"/>
    <n v="20820.226773957573"/>
    <n v="208202.26773957573"/>
    <m/>
  </r>
  <r>
    <x v="5"/>
    <x v="5"/>
    <x v="20"/>
    <s v="Chamki"/>
    <x v="10"/>
    <n v="25625"/>
    <n v="25407"/>
    <n v="1.5219369457776395"/>
    <n v="23232.44330651061"/>
    <n v="232324.4330651061"/>
    <m/>
  </r>
  <r>
    <x v="5"/>
    <x v="0"/>
    <x v="21"/>
    <s v="Chamki"/>
    <x v="7"/>
    <m/>
    <m/>
    <e v="#DIV/0!"/>
    <n v="0"/>
    <n v="0"/>
    <m/>
  </r>
  <r>
    <x v="6"/>
    <x v="6"/>
    <x v="22"/>
    <s v="Chamki"/>
    <x v="12"/>
    <n v="23958"/>
    <n v="25710"/>
    <n v="1.8719848249432829"/>
    <n v="23509.509875640091"/>
    <n v="235095.09875640093"/>
    <m/>
  </r>
  <r>
    <x v="6"/>
    <x v="4"/>
    <x v="23"/>
    <s v="Chamki"/>
    <x v="13"/>
    <n v="16582"/>
    <n v="18018"/>
    <n v="0.64009440084376479"/>
    <n v="16475.859546452088"/>
    <n v="148282.73591806879"/>
    <m/>
  </r>
  <r>
    <x v="6"/>
    <x v="4"/>
    <x v="24"/>
    <s v="Chamki"/>
    <x v="14"/>
    <n v="100795"/>
    <n v="52061"/>
    <n v="1.3412137225226104"/>
    <n v="47605.157278712511"/>
    <n v="428446.41550841258"/>
    <m/>
  </r>
  <r>
    <x v="6"/>
    <x v="4"/>
    <x v="25"/>
    <s v="Chamki"/>
    <x v="14"/>
    <n v="100795"/>
    <n v="45821"/>
    <n v="1.3412137225226104"/>
    <n v="41899.231894659846"/>
    <n v="377093.08705193864"/>
    <m/>
  </r>
  <r>
    <x v="7"/>
    <x v="11"/>
    <x v="26"/>
    <s v="Chamki"/>
    <x v="15"/>
    <n v="54293"/>
    <n v="41491"/>
    <n v="2.3795014212824981"/>
    <n v="37939.831748354067"/>
    <n v="379398.31748354068"/>
    <m/>
  </r>
  <r>
    <x v="7"/>
    <x v="11"/>
    <x v="27"/>
    <s v="Chamki"/>
    <x v="16"/>
    <n v="21346"/>
    <n v="7116"/>
    <n v="1.8505220462438672"/>
    <n v="6506.9495245062189"/>
    <n v="65069.495245062193"/>
    <m/>
  </r>
  <r>
    <x v="7"/>
    <x v="0"/>
    <x v="28"/>
    <s v="Chamki"/>
    <x v="7"/>
    <m/>
    <m/>
    <e v="#DIV/0!"/>
    <n v="0"/>
    <n v="0"/>
    <m/>
  </r>
  <r>
    <x v="7"/>
    <x v="4"/>
    <x v="29"/>
    <s v="Chamki"/>
    <x v="14"/>
    <n v="100795"/>
    <n v="10869"/>
    <n v="1.3412137225226104"/>
    <n v="9938.7344550109738"/>
    <n v="89448.61009509876"/>
    <m/>
  </r>
  <r>
    <x v="8"/>
    <x v="4"/>
    <x v="30"/>
    <s v="Silky"/>
    <x v="17"/>
    <n v="33574"/>
    <n v="35692"/>
    <n v="2.790368535515924"/>
    <n v="32637.161667885885"/>
    <n v="391645.94001463061"/>
    <m/>
  </r>
  <r>
    <x v="8"/>
    <x v="4"/>
    <x v="31"/>
    <s v="Silky"/>
    <x v="18"/>
    <n v="25839"/>
    <n v="28089"/>
    <n v="0.59640880719001643"/>
    <n v="25684.893928310172"/>
    <n v="308218.72713972209"/>
    <m/>
  </r>
  <r>
    <x v="8"/>
    <x v="4"/>
    <x v="32"/>
    <s v="Silky"/>
    <x v="19"/>
    <n v="13580"/>
    <n v="14996"/>
    <n v="-0.97576689330776389"/>
    <n v="13712.509144111194"/>
    <n v="164550.10972933433"/>
    <m/>
  </r>
  <r>
    <x v="8"/>
    <x v="2"/>
    <x v="33"/>
    <s v="Silky"/>
    <x v="20"/>
    <n v="14869"/>
    <n v="13485"/>
    <n v="0.50267335953205361"/>
    <n v="12330.833942940748"/>
    <n v="147970.00731528897"/>
    <m/>
  </r>
  <r>
    <x v="8"/>
    <x v="4"/>
    <x v="34"/>
    <s v="Silky"/>
    <x v="21"/>
    <n v="13899"/>
    <n v="15066"/>
    <n v="0.88122942328269005"/>
    <n v="13776.517922457939"/>
    <n v="165318.21506949526"/>
    <m/>
  </r>
  <r>
    <x v="8"/>
    <x v="2"/>
    <x v="35"/>
    <s v="Silky"/>
    <x v="20"/>
    <n v="14869"/>
    <n v="2694"/>
    <n v="0.50267335953205361"/>
    <n v="2463.4235552304317"/>
    <n v="29561.08266276518"/>
    <m/>
  </r>
  <r>
    <x v="9"/>
    <x v="11"/>
    <x v="36"/>
    <s v="Silky"/>
    <x v="22"/>
    <n v="30434"/>
    <n v="32937"/>
    <n v="1.038447018525801"/>
    <n v="30117.95903438186"/>
    <n v="361415.50841258233"/>
    <m/>
  </r>
  <r>
    <x v="9"/>
    <x v="0"/>
    <x v="37"/>
    <s v="Chamki"/>
    <x v="23"/>
    <n v="32916"/>
    <n v="25630"/>
    <n v="-0.95303218238210263"/>
    <n v="23436.356986100953"/>
    <n v="234363.56986100954"/>
    <m/>
  </r>
  <r>
    <x v="9"/>
    <x v="3"/>
    <x v="38"/>
    <s v="Chamki"/>
    <x v="24"/>
    <n v="9911"/>
    <n v="10710"/>
    <n v="1.1871346276668362"/>
    <n v="9793.3430870519387"/>
    <n v="102830.10241404535"/>
    <m/>
  </r>
  <r>
    <x v="10"/>
    <x v="0"/>
    <x v="39"/>
    <s v="Chamki"/>
    <x v="23"/>
    <n v="32916"/>
    <n v="10710"/>
    <n v="-0.95303218238210263"/>
    <n v="9793.3430870519387"/>
    <n v="97933.430870519383"/>
    <m/>
  </r>
  <r>
    <x v="10"/>
    <x v="0"/>
    <x v="40"/>
    <s v="Chamki"/>
    <x v="25"/>
    <n v="19125"/>
    <n v="20984"/>
    <n v="-0.32942706465664173"/>
    <n v="19188.002926115583"/>
    <n v="191880.02926115584"/>
    <m/>
  </r>
  <r>
    <x v="10"/>
    <x v="0"/>
    <x v="41"/>
    <s v="Chamki"/>
    <x v="26"/>
    <n v="17080"/>
    <n v="13939"/>
    <n v="1.5616086097695785"/>
    <n v="12745.976591075349"/>
    <n v="127459.76591075349"/>
    <m/>
  </r>
  <r>
    <x v="10"/>
    <x v="0"/>
    <x v="42"/>
    <s v="Silky"/>
    <x v="27"/>
    <n v="190"/>
    <n v="210"/>
    <n v="-1.0664921264389875"/>
    <n v="192.0263350402341"/>
    <n v="2304.3160204828091"/>
    <m/>
  </r>
  <r>
    <x v="10"/>
    <x v="7"/>
    <x v="43"/>
    <s v="Chamki"/>
    <x v="28"/>
    <n v="29554"/>
    <n v="19288"/>
    <n v="1.6158734196102102"/>
    <n v="17637.161667885885"/>
    <n v="176371.61667885885"/>
    <m/>
  </r>
  <r>
    <x v="11"/>
    <x v="7"/>
    <x v="44"/>
    <s v="Chamki"/>
    <x v="28"/>
    <n v="29554"/>
    <n v="12510"/>
    <n v="1.6158734196102102"/>
    <n v="11439.283101682517"/>
    <n v="114392.83101682516"/>
    <m/>
  </r>
  <r>
    <x v="11"/>
    <x v="11"/>
    <x v="45"/>
    <s v="Chamki"/>
    <x v="15"/>
    <n v="54293"/>
    <n v="16471"/>
    <n v="2.3795014212824981"/>
    <n v="15061.265544989028"/>
    <n v="150612.65544989027"/>
    <m/>
  </r>
  <r>
    <x v="11"/>
    <x v="11"/>
    <x v="46"/>
    <s v="Chamki"/>
    <x v="29"/>
    <n v="10376"/>
    <n v="11222"/>
    <n v="1.1033001146644636"/>
    <n v="10261.521580102415"/>
    <n v="102615.21580102415"/>
    <m/>
  </r>
  <r>
    <x v="11"/>
    <x v="11"/>
    <x v="47"/>
    <s v="Chamki"/>
    <x v="16"/>
    <n v="21346"/>
    <n v="15796"/>
    <n v="1.8505220462438672"/>
    <n v="14444.038039502562"/>
    <n v="144440.38039502563"/>
    <m/>
  </r>
  <r>
    <x v="11"/>
    <x v="1"/>
    <x v="48"/>
    <s v="Chamki"/>
    <x v="30"/>
    <n v="28470"/>
    <n v="17234"/>
    <n v="2.0677575106331147"/>
    <n v="15758.961228968546"/>
    <n v="157589.61228968546"/>
    <m/>
  </r>
  <r>
    <x v="11"/>
    <x v="1"/>
    <x v="49"/>
    <s v="Chamki"/>
    <x v="30"/>
    <n v="28470"/>
    <n v="13257"/>
    <n v="2.0677575106331147"/>
    <n v="12122.348207754207"/>
    <n v="121223.48207754207"/>
    <m/>
  </r>
  <r>
    <x v="11"/>
    <x v="0"/>
    <x v="50"/>
    <s v="Chamki"/>
    <x v="26"/>
    <n v="17080"/>
    <n v="4448"/>
    <n v="1.5616086097695785"/>
    <n v="4067.3006583760061"/>
    <n v="40673.006583760063"/>
    <m/>
  </r>
  <r>
    <x v="12"/>
    <x v="0"/>
    <x v="51"/>
    <s v="Chamki"/>
    <x v="31"/>
    <n v="5818"/>
    <n v="1850"/>
    <n v="3.9381099898581624"/>
    <n v="1691.6605705925385"/>
    <n v="16916.605705925387"/>
    <m/>
  </r>
  <r>
    <x v="12"/>
    <x v="0"/>
    <x v="52"/>
    <s v="Chamki"/>
    <x v="32"/>
    <n v="12019"/>
    <n v="12863"/>
    <n v="2.1376967570183893"/>
    <n v="11762.070226773958"/>
    <n v="117620.70226773957"/>
    <m/>
  </r>
  <r>
    <x v="12"/>
    <x v="0"/>
    <x v="53"/>
    <s v="Chamki"/>
    <x v="31"/>
    <n v="5818"/>
    <n v="4262"/>
    <n v="3.9381099898581624"/>
    <n v="3897.2201901975131"/>
    <n v="38972.201901975131"/>
    <m/>
  </r>
  <r>
    <x v="12"/>
    <x v="0"/>
    <x v="54"/>
    <s v="Chamki"/>
    <x v="33"/>
    <n v="3843"/>
    <n v="4440"/>
    <n v="-5.6462495295886725"/>
    <n v="4059.9853694220924"/>
    <n v="40599.853694220925"/>
    <m/>
  </r>
  <r>
    <x v="12"/>
    <x v="2"/>
    <x v="55"/>
    <s v="Chamki"/>
    <x v="34"/>
    <n v="30199"/>
    <n v="16998"/>
    <n v="3.0904073934536882"/>
    <n v="15543.160204828093"/>
    <n v="155431.60204828094"/>
    <m/>
  </r>
  <r>
    <x v="12"/>
    <x v="2"/>
    <x v="56"/>
    <s v="Chamki"/>
    <x v="34"/>
    <n v="30199"/>
    <n v="15007"/>
    <n v="3.0904073934536882"/>
    <n v="13722.567666422825"/>
    <n v="137225.67666422826"/>
    <m/>
  </r>
  <r>
    <x v="12"/>
    <x v="5"/>
    <x v="57"/>
    <s v="Chamki"/>
    <x v="35"/>
    <n v="50317"/>
    <n v="36453"/>
    <n v="1.0298118851136309"/>
    <n v="33333.028529626921"/>
    <n v="333330.28529626923"/>
    <m/>
  </r>
  <r>
    <x v="12"/>
    <x v="5"/>
    <x v="58"/>
    <s v="Chamki"/>
    <x v="35"/>
    <n v="50317"/>
    <n v="18007"/>
    <n v="1.0298118851136309"/>
    <n v="16465.801024140455"/>
    <n v="164658.01024140455"/>
    <m/>
  </r>
  <r>
    <x v="13"/>
    <x v="4"/>
    <x v="59"/>
    <s v="Silky"/>
    <x v="36"/>
    <n v="25118"/>
    <n v="19462"/>
    <n v="3.6369841298594991"/>
    <n v="17796.269202633506"/>
    <n v="213555.23043160207"/>
    <m/>
  </r>
  <r>
    <x v="13"/>
    <x v="4"/>
    <x v="60"/>
    <s v="Silky"/>
    <x v="36"/>
    <n v="25118"/>
    <n v="2846"/>
    <n v="3.6369841298594991"/>
    <n v="2602.4140453547916"/>
    <n v="31228.968544257499"/>
    <m/>
  </r>
  <r>
    <x v="13"/>
    <x v="4"/>
    <x v="61"/>
    <s v="Silky"/>
    <x v="37"/>
    <n v="9526"/>
    <n v="8529"/>
    <n v="-0.37788236284295351"/>
    <n v="7799.0124359912224"/>
    <n v="93588.149231894669"/>
    <m/>
  </r>
  <r>
    <x v="13"/>
    <x v="4"/>
    <x v="62"/>
    <s v="Silky"/>
    <x v="38"/>
    <n v="15626"/>
    <n v="13770"/>
    <n v="1.1387338510993743"/>
    <n v="12591.441111923921"/>
    <n v="151097.29334308705"/>
    <m/>
  </r>
  <r>
    <x v="13"/>
    <x v="4"/>
    <x v="63"/>
    <s v="Silky"/>
    <x v="39"/>
    <n v="11093"/>
    <n v="9238"/>
    <n v="2.5991004693905495"/>
    <n v="8447.3299195318214"/>
    <n v="101367.95903438186"/>
    <m/>
  </r>
  <r>
    <x v="13"/>
    <x v="4"/>
    <x v="64"/>
    <s v="Silky"/>
    <x v="40"/>
    <n v="7371"/>
    <n v="6756"/>
    <n v="-0.9809593081965744"/>
    <n v="6177.7615215801034"/>
    <n v="74133.138258961233"/>
    <m/>
  </r>
  <r>
    <x v="13"/>
    <x v="4"/>
    <x v="65"/>
    <s v="Silky"/>
    <x v="38"/>
    <n v="15626"/>
    <n v="3124"/>
    <n v="1.1387338510993743"/>
    <n v="2856.620336503292"/>
    <n v="34279.444038039503"/>
    <m/>
  </r>
  <r>
    <x v="13"/>
    <x v="4"/>
    <x v="66"/>
    <s v="Silky"/>
    <x v="37"/>
    <n v="9526"/>
    <n v="1928"/>
    <n v="-0.37788236284295351"/>
    <n v="1762.984637893197"/>
    <n v="21155.815654718364"/>
    <m/>
  </r>
  <r>
    <x v="13"/>
    <x v="4"/>
    <x v="67"/>
    <s v="Silky"/>
    <x v="39"/>
    <n v="11093"/>
    <n v="2578"/>
    <n v="2.5991004693905495"/>
    <n v="2357.3518653986835"/>
    <n v="28288.222384784203"/>
    <m/>
  </r>
  <r>
    <x v="13"/>
    <x v="4"/>
    <x v="68"/>
    <s v="Silky"/>
    <x v="36"/>
    <n v="25118"/>
    <n v="4162"/>
    <n v="3.6369841298594991"/>
    <n v="3805.7790782735919"/>
    <n v="45669.348939283103"/>
    <m/>
  </r>
  <r>
    <x v="13"/>
    <x v="4"/>
    <x v="69"/>
    <s v="Silky"/>
    <x v="40"/>
    <n v="7371"/>
    <n v="1384"/>
    <n v="-0.9809593081965744"/>
    <n v="1265.5449890270668"/>
    <n v="15186.539868324802"/>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
  <r>
    <x v="0"/>
    <x v="0"/>
    <x v="0"/>
    <m/>
    <m/>
    <m/>
    <n v="0"/>
    <m/>
    <n v="2448147"/>
  </r>
  <r>
    <x v="0"/>
    <x v="1"/>
    <x v="0"/>
    <m/>
    <m/>
    <m/>
    <n v="0"/>
    <n v="0"/>
    <n v="0"/>
  </r>
  <r>
    <x v="0"/>
    <x v="2"/>
    <x v="0"/>
    <m/>
    <m/>
    <m/>
    <n v="0"/>
    <n v="0"/>
    <n v="106730"/>
  </r>
  <r>
    <x v="0"/>
    <x v="0"/>
    <x v="1"/>
    <n v="237"/>
    <n v="810"/>
    <n v="38800"/>
    <n v="191970"/>
    <n v="361826"/>
    <n v="-169856"/>
  </r>
  <r>
    <x v="0"/>
    <x v="0"/>
    <x v="2"/>
    <n v="262"/>
    <n v="810"/>
    <n v="42510"/>
    <n v="212220"/>
    <m/>
    <n v="212220"/>
  </r>
  <r>
    <x v="0"/>
    <x v="2"/>
    <x v="3"/>
    <n v="40"/>
    <n v="550"/>
    <m/>
    <n v="22000"/>
    <n v="0"/>
    <n v="22000"/>
  </r>
  <r>
    <x v="0"/>
    <x v="2"/>
    <x v="3"/>
    <n v="40"/>
    <n v="550"/>
    <m/>
    <n v="22000"/>
    <n v="0"/>
    <n v="22000"/>
  </r>
  <r>
    <x v="1"/>
    <x v="0"/>
    <x v="3"/>
    <m/>
    <m/>
    <m/>
    <n v="0"/>
    <n v="120000"/>
    <n v="-120000"/>
  </r>
  <r>
    <x v="1"/>
    <x v="2"/>
    <x v="3"/>
    <n v="219"/>
    <n v="550"/>
    <m/>
    <n v="120450"/>
    <n v="0"/>
    <n v="120450"/>
  </r>
  <r>
    <x v="1"/>
    <x v="2"/>
    <x v="3"/>
    <n v="42"/>
    <n v="550"/>
    <m/>
    <n v="23100"/>
    <n v="0"/>
    <n v="23100"/>
  </r>
  <r>
    <x v="2"/>
    <x v="2"/>
    <x v="3"/>
    <n v="32"/>
    <n v="550"/>
    <m/>
    <n v="17600"/>
    <n v="120000"/>
    <n v="-102400"/>
  </r>
  <r>
    <x v="2"/>
    <x v="0"/>
    <x v="4"/>
    <n v="259"/>
    <n v="810"/>
    <n v="40750"/>
    <n v="209790"/>
    <n v="241760"/>
    <n v="-31970"/>
  </r>
  <r>
    <x v="3"/>
    <x v="0"/>
    <x v="5"/>
    <n v="171"/>
    <n v="810"/>
    <n v="34300"/>
    <n v="138510"/>
    <n v="234300"/>
    <n v="-95790"/>
  </r>
  <r>
    <x v="3"/>
    <x v="0"/>
    <x v="5"/>
    <n v="35"/>
    <n v="765"/>
    <m/>
    <n v="26775"/>
    <m/>
    <n v="26775"/>
  </r>
  <r>
    <x v="4"/>
    <x v="0"/>
    <x v="6"/>
    <n v="262"/>
    <n v="810"/>
    <n v="43000"/>
    <n v="212220"/>
    <n v="223385"/>
    <n v="-11165"/>
  </r>
  <r>
    <x v="4"/>
    <x v="0"/>
    <x v="7"/>
    <n v="287"/>
    <n v="765"/>
    <n v="30385"/>
    <n v="219555"/>
    <m/>
    <n v="219555"/>
  </r>
  <r>
    <x v="4"/>
    <x v="2"/>
    <x v="3"/>
    <n v="40"/>
    <n v="550"/>
    <m/>
    <n v="22000"/>
    <n v="0"/>
    <n v="22000"/>
  </r>
  <r>
    <x v="5"/>
    <x v="0"/>
    <x v="8"/>
    <n v="75"/>
    <n v="765"/>
    <n v="36000"/>
    <n v="57375"/>
    <n v="36000"/>
    <n v="21375"/>
  </r>
  <r>
    <x v="5"/>
    <x v="2"/>
    <x v="3"/>
    <n v="43"/>
    <n v="550"/>
    <m/>
    <n v="23650"/>
    <n v="0"/>
    <n v="23650"/>
  </r>
  <r>
    <x v="5"/>
    <x v="2"/>
    <x v="3"/>
    <n v="40"/>
    <n v="550"/>
    <m/>
    <n v="22000"/>
    <n v="0"/>
    <n v="22000"/>
  </r>
  <r>
    <x v="4"/>
    <x v="2"/>
    <x v="3"/>
    <n v="44"/>
    <n v="550"/>
    <m/>
    <n v="24200"/>
    <n v="0"/>
    <n v="24200"/>
  </r>
  <r>
    <x v="5"/>
    <x v="0"/>
    <x v="8"/>
    <n v="140"/>
    <n v="810"/>
    <m/>
    <n v="113400"/>
    <m/>
    <n v="113400"/>
  </r>
  <r>
    <x v="6"/>
    <x v="0"/>
    <x v="9"/>
    <n v="217"/>
    <n v="810"/>
    <n v="37400"/>
    <n v="175770"/>
    <n v="249402"/>
    <n v="-73632"/>
  </r>
  <r>
    <x v="6"/>
    <x v="2"/>
    <x v="3"/>
    <m/>
    <m/>
    <m/>
    <n v="0"/>
    <n v="150000"/>
    <n v="-150000"/>
  </r>
  <r>
    <x v="7"/>
    <x v="0"/>
    <x v="10"/>
    <n v="100"/>
    <n v="765"/>
    <n v="34500"/>
    <n v="76500"/>
    <m/>
    <n v="76500"/>
  </r>
  <r>
    <x v="7"/>
    <x v="0"/>
    <x v="10"/>
    <n v="104"/>
    <n v="810"/>
    <m/>
    <n v="84240"/>
    <n v="362400"/>
    <n v="-278160"/>
  </r>
  <r>
    <x v="7"/>
    <x v="2"/>
    <x v="3"/>
    <n v="45"/>
    <n v="550"/>
    <m/>
    <n v="24750"/>
    <n v="0"/>
    <n v="24750"/>
  </r>
  <r>
    <x v="7"/>
    <x v="0"/>
    <x v="11"/>
    <n v="232"/>
    <n v="810"/>
    <n v="37900"/>
    <n v="187920"/>
    <m/>
    <n v="187920"/>
  </r>
  <r>
    <x v="7"/>
    <x v="2"/>
    <x v="3"/>
    <n v="45"/>
    <n v="550"/>
    <m/>
    <n v="24750"/>
    <m/>
    <n v="24750"/>
  </r>
  <r>
    <x v="8"/>
    <x v="0"/>
    <x v="3"/>
    <m/>
    <m/>
    <m/>
    <n v="0"/>
    <n v="155000"/>
    <n v="-155000"/>
  </r>
  <r>
    <x v="9"/>
    <x v="0"/>
    <x v="3"/>
    <m/>
    <m/>
    <m/>
    <n v="0"/>
    <n v="200000"/>
    <n v="-200000"/>
  </r>
  <r>
    <x v="9"/>
    <x v="2"/>
    <x v="3"/>
    <n v="46"/>
    <n v="580"/>
    <m/>
    <n v="26680"/>
    <n v="100010"/>
    <n v="-73330"/>
  </r>
  <r>
    <x v="9"/>
    <x v="2"/>
    <x v="3"/>
    <n v="44"/>
    <n v="580"/>
    <m/>
    <n v="25520"/>
    <m/>
    <n v="25520"/>
  </r>
  <r>
    <x v="10"/>
    <x v="0"/>
    <x v="12"/>
    <n v="253"/>
    <n v="810"/>
    <n v="41200"/>
    <n v="204930"/>
    <n v="395600"/>
    <n v="-190670"/>
  </r>
  <r>
    <x v="10"/>
    <x v="0"/>
    <x v="13"/>
    <n v="305"/>
    <n v="810"/>
    <n v="49400"/>
    <n v="247050"/>
    <m/>
    <n v="247050"/>
  </r>
  <r>
    <x v="11"/>
    <x v="0"/>
    <x v="14"/>
    <n v="50"/>
    <n v="765"/>
    <n v="33500"/>
    <n v="38250"/>
    <n v="334500"/>
    <n v="-296250"/>
  </r>
  <r>
    <x v="11"/>
    <x v="0"/>
    <x v="14"/>
    <n v="147"/>
    <n v="810"/>
    <m/>
    <n v="119070"/>
    <m/>
    <n v="119070"/>
  </r>
  <r>
    <x v="12"/>
    <x v="0"/>
    <x v="15"/>
    <n v="263"/>
    <n v="810"/>
    <n v="27300"/>
    <n v="213030"/>
    <n v="67300"/>
    <n v="145730"/>
  </r>
  <r>
    <x v="12"/>
    <x v="0"/>
    <x v="16"/>
    <n v="241"/>
    <n v="810"/>
    <n v="40000"/>
    <n v="195210"/>
    <m/>
    <n v="195210"/>
  </r>
  <r>
    <x v="12"/>
    <x v="2"/>
    <x v="3"/>
    <n v="35"/>
    <n v="580"/>
    <m/>
    <n v="20300"/>
    <m/>
    <n v="20300"/>
  </r>
  <r>
    <x v="12"/>
    <x v="2"/>
    <x v="3"/>
    <n v="42"/>
    <n v="580"/>
    <m/>
    <n v="24360"/>
    <m/>
    <n v="24360"/>
  </r>
  <r>
    <x v="12"/>
    <x v="2"/>
    <x v="3"/>
    <n v="173"/>
    <n v="580"/>
    <m/>
    <n v="100340"/>
    <m/>
    <n v="100340"/>
  </r>
  <r>
    <x v="12"/>
    <x v="2"/>
    <x v="3"/>
    <n v="49"/>
    <n v="580"/>
    <m/>
    <n v="28420"/>
    <m/>
    <n v="28420"/>
  </r>
  <r>
    <x v="13"/>
    <x v="0"/>
    <x v="17"/>
    <n v="205"/>
    <n v="765"/>
    <n v="34700"/>
    <n v="156825"/>
    <n v="342702"/>
    <n v="-185877"/>
  </r>
  <r>
    <x v="14"/>
    <x v="0"/>
    <x v="18"/>
    <n v="252"/>
    <n v="810"/>
    <n v="41060"/>
    <n v="204120"/>
    <n v="341390"/>
    <n v="-137270"/>
  </r>
  <r>
    <x v="15"/>
    <x v="0"/>
    <x v="19"/>
    <n v="295"/>
    <n v="810"/>
    <n v="40000"/>
    <n v="238950"/>
    <n v="402560"/>
    <n v="-163610"/>
  </r>
  <r>
    <x v="15"/>
    <x v="0"/>
    <x v="20"/>
    <n v="376"/>
    <n v="810"/>
    <n v="62410"/>
    <n v="304560"/>
    <m/>
    <n v="30456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s v="Dyes"/>
    <m/>
    <m/>
    <m/>
    <x v="0"/>
    <m/>
    <n v="708000"/>
    <s v="August closing CF"/>
  </r>
  <r>
    <x v="1"/>
    <s v="NP9"/>
    <m/>
    <m/>
    <n v="121000"/>
    <x v="1"/>
    <n v="121000"/>
    <n v="0"/>
    <s v="NP9+Rubine B"/>
  </r>
  <r>
    <x v="2"/>
    <s v="Dyes"/>
    <m/>
    <m/>
    <n v="138000"/>
    <x v="1"/>
    <n v="138000"/>
    <n v="0"/>
    <m/>
  </r>
  <r>
    <x v="3"/>
    <s v="Dyes"/>
    <m/>
    <m/>
    <m/>
    <x v="0"/>
    <n v="500000"/>
    <n v="-500000"/>
    <s v="Cash//BSC"/>
  </r>
  <r>
    <x v="3"/>
    <s v="Dyes"/>
    <m/>
    <m/>
    <n v="87750"/>
    <x v="1"/>
    <n v="87750"/>
    <n v="0"/>
    <m/>
  </r>
  <r>
    <x v="4"/>
    <s v="Navy Blue"/>
    <n v="2"/>
    <n v="1130"/>
    <n v="56500"/>
    <x v="0"/>
    <m/>
    <n v="56500"/>
    <m/>
  </r>
  <r>
    <x v="4"/>
    <s v="Rubine B"/>
    <n v="2"/>
    <n v="1140"/>
    <n v="57000"/>
    <x v="0"/>
    <m/>
    <n v="57000"/>
    <m/>
  </r>
  <r>
    <x v="4"/>
    <s v="Scarlet B"/>
    <n v="2"/>
    <n v="1140"/>
    <n v="57000"/>
    <x v="0"/>
    <m/>
    <n v="57000"/>
    <m/>
  </r>
  <r>
    <x v="4"/>
    <s v="Red F3BS"/>
    <n v="2"/>
    <n v="1650"/>
    <n v="82500"/>
    <x v="0"/>
    <m/>
    <n v="82500"/>
    <m/>
  </r>
  <r>
    <x v="4"/>
    <s v="Yellow 4G"/>
    <n v="2"/>
    <n v="1300"/>
    <n v="65000"/>
    <x v="0"/>
    <m/>
    <n v="65000"/>
    <m/>
  </r>
  <r>
    <x v="4"/>
    <s v="Yellow 10GF"/>
    <n v="1"/>
    <n v="1650"/>
    <n v="41250"/>
    <x v="0"/>
    <m/>
    <n v="41250"/>
    <m/>
  </r>
  <r>
    <x v="4"/>
    <s v="Orange H3R"/>
    <n v="1"/>
    <n v="1140"/>
    <n v="28500"/>
    <x v="0"/>
    <m/>
    <n v="28500"/>
    <m/>
  </r>
  <r>
    <x v="4"/>
    <s v="T blue"/>
    <n v="1"/>
    <n v="1775"/>
    <n v="44375"/>
    <x v="0"/>
    <m/>
    <n v="44375"/>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n v="139421.1777615216"/>
    <n v="10"/>
    <n v="1394595.8302852963"/>
  </r>
  <r>
    <x v="1"/>
    <n v="27881.309436722753"/>
    <n v="10"/>
    <n v="278813.09436722752"/>
  </r>
  <r>
    <x v="2"/>
    <n v="44059.985369422095"/>
    <n v="10"/>
    <n v="470188.36869056337"/>
  </r>
  <r>
    <x v="3"/>
    <n v="9793.3430870519387"/>
    <n v="10.5"/>
    <n v="102830.10241404535"/>
  </r>
  <r>
    <x v="4"/>
    <n v="318134.60131675203"/>
    <n v="10"/>
    <n v="3469858.2662765183"/>
  </r>
  <r>
    <x v="5"/>
    <n v="75033.833211411853"/>
    <n v="10"/>
    <n v="750338.3321141185"/>
  </r>
  <r>
    <x v="6"/>
    <n v="23509.509875640091"/>
    <n v="10"/>
    <n v="235095.09875640093"/>
  </r>
  <r>
    <x v="7"/>
    <n v="96059.802487198249"/>
    <n v="10"/>
    <n v="960598.02487198252"/>
  </r>
  <r>
    <x v="8"/>
    <n v="15599.853694220923"/>
    <n v="10"/>
    <n v="155998.53694220923"/>
  </r>
  <r>
    <x v="9"/>
    <n v="0"/>
    <n v="12"/>
    <n v="0"/>
  </r>
  <r>
    <x v="10"/>
    <n v="0"/>
    <m/>
    <n v="0"/>
  </r>
  <r>
    <x v="11"/>
    <n v="114331.56547183615"/>
    <m/>
    <n v="1203551.5727871251"/>
  </r>
  <r>
    <x v="12"/>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7">
  <r>
    <d v="2025-09-16T00:00:00"/>
    <x v="0"/>
    <m/>
    <n v="-421502"/>
    <m/>
    <s v="Bank"/>
    <m/>
  </r>
  <r>
    <d v="2025-09-16T00:00:00"/>
    <x v="0"/>
    <m/>
    <n v="-781867"/>
    <m/>
    <s v="Cash"/>
    <m/>
  </r>
  <r>
    <d v="2025-09-16T00:00:00"/>
    <x v="1"/>
    <m/>
    <n v="125000"/>
    <m/>
    <s v="Bank"/>
    <m/>
  </r>
  <r>
    <d v="2025-09-16T00:00:00"/>
    <x v="2"/>
    <n v="38800"/>
    <m/>
    <s v="MII 112"/>
    <s v="Bank"/>
    <m/>
  </r>
  <r>
    <d v="2025-09-16T00:00:00"/>
    <x v="3"/>
    <m/>
    <n v="100000"/>
    <m/>
    <s v="Cash"/>
    <m/>
  </r>
  <r>
    <d v="2025-09-16T00:00:00"/>
    <x v="4"/>
    <m/>
    <n v="100000"/>
    <m/>
    <s v="Cash"/>
    <m/>
  </r>
  <r>
    <d v="2025-09-16T00:00:00"/>
    <x v="4"/>
    <m/>
    <n v="280516"/>
    <m/>
    <s v="Bank"/>
    <m/>
  </r>
  <r>
    <d v="2025-09-16T00:00:00"/>
    <x v="2"/>
    <n v="280516"/>
    <m/>
    <m/>
    <s v="Bank"/>
    <m/>
  </r>
  <r>
    <d v="2025-09-16T00:00:00"/>
    <x v="5"/>
    <n v="200"/>
    <m/>
    <s v="Package Khalid Sahab"/>
    <s v="Bank"/>
    <m/>
  </r>
  <r>
    <d v="2025-09-16T00:00:00"/>
    <x v="6"/>
    <m/>
    <n v="200"/>
    <m/>
    <s v="Bank"/>
    <m/>
  </r>
  <r>
    <d v="2025-09-16T00:00:00"/>
    <x v="2"/>
    <n v="42510"/>
    <m/>
    <s v="GAS 1435"/>
    <s v="Cash"/>
    <m/>
  </r>
  <r>
    <d v="2025-09-16T00:00:00"/>
    <x v="7"/>
    <m/>
    <m/>
    <s v="Kamran (10k)"/>
    <s v="Bank"/>
    <m/>
  </r>
  <r>
    <d v="2025-09-16T00:00:00"/>
    <x v="8"/>
    <m/>
    <n v="20000"/>
    <s v="workshop"/>
    <s v="Bank"/>
    <m/>
  </r>
  <r>
    <d v="2025-09-16T00:00:00"/>
    <x v="9"/>
    <n v="20000"/>
    <m/>
    <s v="workshop"/>
    <s v="Bank"/>
    <m/>
  </r>
  <r>
    <d v="2025-09-16T00:00:00"/>
    <x v="10"/>
    <n v="3300"/>
    <m/>
    <s v="Mazdoor"/>
    <s v="Cash"/>
    <m/>
  </r>
  <r>
    <d v="2025-09-16T00:00:00"/>
    <x v="6"/>
    <m/>
    <n v="13000"/>
    <m/>
    <s v="Bank"/>
    <m/>
  </r>
  <r>
    <d v="2025-09-16T00:00:00"/>
    <x v="11"/>
    <n v="5800"/>
    <m/>
    <m/>
    <s v="Bank"/>
    <m/>
  </r>
  <r>
    <d v="2025-09-16T00:00:00"/>
    <x v="12"/>
    <m/>
    <m/>
    <s v="Khalid Sahab (40k)"/>
    <s v="Bank"/>
    <m/>
  </r>
  <r>
    <d v="2025-09-16T00:00:00"/>
    <x v="8"/>
    <m/>
    <n v="4000"/>
    <s v="Afzaal Hussein"/>
    <s v="Bank"/>
    <m/>
  </r>
  <r>
    <d v="2025-09-16T00:00:00"/>
    <x v="7"/>
    <n v="4000"/>
    <m/>
    <s v="Afzaal Hussein"/>
    <s v="Bank"/>
    <m/>
  </r>
  <r>
    <d v="2025-09-17T00:00:00"/>
    <x v="4"/>
    <m/>
    <n v="100000"/>
    <m/>
    <s v="Bank"/>
    <m/>
  </r>
  <r>
    <d v="2025-09-17T00:00:00"/>
    <x v="2"/>
    <n v="120000"/>
    <m/>
    <m/>
    <s v="Bank"/>
    <m/>
  </r>
  <r>
    <d v="2025-09-17T00:00:00"/>
    <x v="8"/>
    <m/>
    <n v="47000"/>
    <m/>
    <s v="Bank"/>
    <m/>
  </r>
  <r>
    <d v="2025-09-17T00:00:00"/>
    <x v="13"/>
    <n v="47000"/>
    <m/>
    <m/>
    <s v="Bank"/>
    <m/>
  </r>
  <r>
    <d v="2025-09-17T00:00:00"/>
    <x v="11"/>
    <n v="1200"/>
    <m/>
    <m/>
    <s v="Cash"/>
    <m/>
  </r>
  <r>
    <d v="2025-09-17T00:00:00"/>
    <x v="10"/>
    <n v="3300"/>
    <m/>
    <s v="Mazdoor"/>
    <s v="Cash"/>
    <m/>
  </r>
  <r>
    <d v="2025-09-17T00:00:00"/>
    <x v="7"/>
    <n v="10000"/>
    <m/>
    <s v="Naeem Electric"/>
    <s v="Bank"/>
    <m/>
  </r>
  <r>
    <d v="2025-09-17T00:00:00"/>
    <x v="1"/>
    <m/>
    <n v="122550"/>
    <m/>
    <s v="Cash"/>
    <m/>
  </r>
  <r>
    <d v="2025-09-17T00:00:00"/>
    <x v="6"/>
    <n v="6500"/>
    <m/>
    <s v="cash-&gt;Taha//+1500 jc"/>
    <s v="Cash"/>
    <m/>
  </r>
  <r>
    <d v="2025-09-17T00:00:00"/>
    <x v="10"/>
    <n v="1700"/>
    <m/>
    <s v="grocceries+fruit"/>
    <s v="Cash"/>
    <m/>
  </r>
  <r>
    <d v="2025-09-17T00:00:00"/>
    <x v="10"/>
    <m/>
    <n v="1500"/>
    <m/>
    <s v="Bank"/>
    <m/>
  </r>
  <r>
    <d v="2025-09-18T00:00:00"/>
    <x v="9"/>
    <n v="1500"/>
    <m/>
    <s v="One Tag"/>
    <s v="Bank"/>
    <m/>
  </r>
  <r>
    <d v="2025-09-18T00:00:00"/>
    <x v="2"/>
    <n v="201010"/>
    <m/>
    <s v="wood"/>
    <s v="Bank"/>
    <m/>
  </r>
  <r>
    <d v="2025-09-18T00:00:00"/>
    <x v="14"/>
    <n v="120000"/>
    <m/>
    <s v="wood"/>
    <s v="Bank"/>
    <m/>
  </r>
  <r>
    <d v="2025-09-18T00:00:00"/>
    <x v="8"/>
    <m/>
    <n v="315000"/>
    <m/>
    <s v="Bank"/>
    <m/>
  </r>
  <r>
    <d v="2025-09-18T00:00:00"/>
    <x v="11"/>
    <n v="5350"/>
    <m/>
    <m/>
    <s v="Cash"/>
    <m/>
  </r>
  <r>
    <d v="2025-09-18T00:00:00"/>
    <x v="2"/>
    <n v="40750"/>
    <m/>
    <s v="SGJ 4646"/>
    <s v="Cash"/>
    <m/>
  </r>
  <r>
    <d v="2025-09-18T00:00:00"/>
    <x v="9"/>
    <n v="3000"/>
    <m/>
    <s v="mazda "/>
    <s v="Cash"/>
    <m/>
  </r>
  <r>
    <d v="2025-09-18T00:00:00"/>
    <x v="10"/>
    <n v="3300"/>
    <m/>
    <s v="Mazdoor"/>
    <s v="Cash"/>
    <m/>
  </r>
  <r>
    <d v="2025-09-19T00:00:00"/>
    <x v="15"/>
    <m/>
    <n v="300000"/>
    <m/>
    <s v="Bank"/>
    <m/>
  </r>
  <r>
    <d v="2025-09-19T00:00:00"/>
    <x v="2"/>
    <n v="34300"/>
    <m/>
    <s v="Gas 1196"/>
    <s v="Cash"/>
    <m/>
  </r>
  <r>
    <d v="2025-09-19T00:00:00"/>
    <x v="2"/>
    <n v="200000"/>
    <m/>
    <s v="wood"/>
    <s v="Bank"/>
    <m/>
  </r>
  <r>
    <d v="2025-09-19T00:00:00"/>
    <x v="10"/>
    <m/>
    <n v="14550"/>
    <s v="20k-engine oil"/>
    <s v="Cash"/>
    <m/>
  </r>
  <r>
    <d v="2025-09-19T00:00:00"/>
    <x v="16"/>
    <m/>
    <n v="1000000"/>
    <s v="1mil "/>
    <s v="Bank"/>
    <m/>
  </r>
  <r>
    <d v="2025-09-19T00:00:00"/>
    <x v="13"/>
    <n v="121000"/>
    <m/>
    <s v="BP26"/>
    <s v="Bank"/>
    <m/>
  </r>
  <r>
    <d v="2025-09-19T00:00:00"/>
    <x v="11"/>
    <n v="1371"/>
    <m/>
    <s v="Diesel"/>
    <s v="Bank"/>
    <m/>
  </r>
  <r>
    <d v="2025-09-19T00:00:00"/>
    <x v="5"/>
    <n v="780"/>
    <m/>
    <s v="cobra spray"/>
    <s v="Cash"/>
    <m/>
  </r>
  <r>
    <d v="2025-09-19T00:00:00"/>
    <x v="17"/>
    <n v="11185"/>
    <m/>
    <s v="5 days"/>
    <s v="Cash"/>
    <m/>
  </r>
  <r>
    <d v="2025-09-19T00:00:00"/>
    <x v="4"/>
    <m/>
    <n v="84190"/>
    <s v="BAHL"/>
    <s v="Bank"/>
    <m/>
  </r>
  <r>
    <d v="2025-09-19T00:00:00"/>
    <x v="11"/>
    <n v="8230"/>
    <m/>
    <s v="Diesel"/>
    <s v="Bank"/>
    <m/>
  </r>
  <r>
    <d v="2025-09-19T00:00:00"/>
    <x v="9"/>
    <n v="2500"/>
    <m/>
    <s v="dyes rent"/>
    <s v="Cash"/>
    <m/>
  </r>
  <r>
    <d v="2025-09-19T00:00:00"/>
    <x v="9"/>
    <n v="5330"/>
    <m/>
    <s v="petrol"/>
    <s v="Cash"/>
    <m/>
  </r>
  <r>
    <d v="2025-09-19T00:00:00"/>
    <x v="8"/>
    <m/>
    <n v="24480"/>
    <m/>
    <s v="Bank"/>
    <m/>
  </r>
  <r>
    <d v="2025-09-19T00:00:00"/>
    <x v="9"/>
    <n v="20000"/>
    <m/>
    <s v="workshop"/>
    <s v="Bank"/>
    <m/>
  </r>
  <r>
    <d v="2025-09-19T00:00:00"/>
    <x v="9"/>
    <n v="4480"/>
    <m/>
    <s v="LPG"/>
    <s v="Bank"/>
    <m/>
  </r>
  <r>
    <d v="2025-09-20T00:00:00"/>
    <x v="10"/>
    <n v="2000"/>
    <m/>
    <s v="ghar"/>
    <s v="Cash"/>
    <m/>
  </r>
  <r>
    <d v="2025-09-20T00:00:00"/>
    <x v="2"/>
    <n v="43000"/>
    <m/>
    <s v="LES 4366"/>
    <s v="Cash"/>
    <m/>
  </r>
  <r>
    <d v="2025-09-20T00:00:00"/>
    <x v="2"/>
    <n v="150000"/>
    <m/>
    <s v="BAHL"/>
    <s v="Bank"/>
    <m/>
  </r>
  <r>
    <d v="2025-09-20T00:00:00"/>
    <x v="4"/>
    <m/>
    <n v="65000"/>
    <s v="BAHL"/>
    <s v="Bank"/>
    <m/>
  </r>
  <r>
    <d v="2025-09-20T00:00:00"/>
    <x v="8"/>
    <m/>
    <n v="8140"/>
    <m/>
    <s v="Bank"/>
    <m/>
  </r>
  <r>
    <d v="2025-09-20T00:00:00"/>
    <x v="11"/>
    <n v="8140"/>
    <m/>
    <s v="workshop"/>
    <s v="Bank"/>
    <m/>
  </r>
  <r>
    <d v="2025-09-20T00:00:00"/>
    <x v="7"/>
    <n v="10000"/>
    <m/>
    <s v="Master Arshad"/>
    <s v="Cash"/>
    <m/>
  </r>
  <r>
    <d v="2025-09-20T00:00:00"/>
    <x v="10"/>
    <n v="3300"/>
    <m/>
    <s v="Mazdoor"/>
    <s v="Cash"/>
    <m/>
  </r>
  <r>
    <d v="2025-09-20T00:00:00"/>
    <x v="2"/>
    <n v="30385"/>
    <m/>
    <s v="CAF 442"/>
    <s v="Cash"/>
    <m/>
  </r>
  <r>
    <d v="2025-09-20T00:00:00"/>
    <x v="9"/>
    <n v="13000"/>
    <m/>
    <s v="kora Transport"/>
    <s v="Cash"/>
    <m/>
  </r>
  <r>
    <d v="2025-09-20T00:00:00"/>
    <x v="10"/>
    <m/>
    <n v="6000"/>
    <s v="Tanveer sb advance"/>
    <s v="Bank"/>
    <m/>
  </r>
  <r>
    <d v="2025-09-20T00:00:00"/>
    <x v="7"/>
    <n v="6000"/>
    <m/>
    <s v="Master Tanveer"/>
    <s v="Bank"/>
    <m/>
  </r>
  <r>
    <d v="2025-09-20T00:00:00"/>
    <x v="9"/>
    <n v="1300"/>
    <m/>
    <s v="puncture"/>
    <s v="Bank"/>
    <m/>
  </r>
  <r>
    <d v="2025-09-20T00:00:00"/>
    <x v="10"/>
    <m/>
    <n v="1300"/>
    <s v="puncture"/>
    <s v="Bank"/>
    <m/>
  </r>
  <r>
    <d v="2025-09-21T00:00:00"/>
    <x v="8"/>
    <m/>
    <n v="14780"/>
    <s v="bearings"/>
    <s v="Bank"/>
    <m/>
  </r>
  <r>
    <d v="2025-09-21T00:00:00"/>
    <x v="11"/>
    <n v="14780"/>
    <m/>
    <s v="bearings"/>
    <s v="Bank"/>
    <m/>
  </r>
  <r>
    <d v="2025-09-21T00:00:00"/>
    <x v="10"/>
    <m/>
    <n v="1200"/>
    <m/>
    <s v="Cash"/>
    <m/>
  </r>
  <r>
    <d v="2025-09-21T00:00:00"/>
    <x v="2"/>
    <n v="36000"/>
    <m/>
    <s v="LRO 6613"/>
    <s v="Cash"/>
    <m/>
  </r>
  <r>
    <d v="2025-09-22T00:00:00"/>
    <x v="4"/>
    <m/>
    <n v="52800"/>
    <s v="Meezan"/>
    <s v="Bank"/>
    <m/>
  </r>
  <r>
    <d v="2025-09-22T00:00:00"/>
    <x v="18"/>
    <n v="310500"/>
    <m/>
    <s v="Starch"/>
    <s v="Bank"/>
    <m/>
  </r>
  <r>
    <d v="2025-09-22T00:00:00"/>
    <x v="6"/>
    <m/>
    <n v="200"/>
    <s v="misc"/>
    <s v="Bank"/>
    <m/>
  </r>
  <r>
    <d v="2025-09-22T00:00:00"/>
    <x v="5"/>
    <n v="200"/>
    <m/>
    <s v="qadeer balance"/>
    <s v="Bank"/>
    <m/>
  </r>
  <r>
    <d v="2025-09-22T00:00:00"/>
    <x v="11"/>
    <n v="5600"/>
    <m/>
    <m/>
    <s v="Bank"/>
    <m/>
  </r>
  <r>
    <d v="2025-09-22T00:00:00"/>
    <x v="2"/>
    <n v="37400"/>
    <m/>
    <s v="LES 4095"/>
    <s v="Bank"/>
    <m/>
  </r>
  <r>
    <d v="2025-09-22T00:00:00"/>
    <x v="19"/>
    <n v="1895031"/>
    <m/>
    <s v="Elec bill last month"/>
    <s v="Bank"/>
    <m/>
  </r>
  <r>
    <d v="2025-09-22T00:00:00"/>
    <x v="11"/>
    <n v="5000"/>
    <m/>
    <m/>
    <s v="Bank"/>
    <m/>
  </r>
  <r>
    <d v="2025-09-22T00:00:00"/>
    <x v="2"/>
    <n v="12000"/>
    <m/>
    <s v="Unloading"/>
    <s v="Cash"/>
    <m/>
  </r>
  <r>
    <d v="2025-09-22T00:00:00"/>
    <x v="14"/>
    <n v="150000"/>
    <m/>
    <m/>
    <s v="Cash"/>
    <m/>
  </r>
  <r>
    <d v="2025-09-22T00:00:00"/>
    <x v="10"/>
    <n v="9200"/>
    <m/>
    <s v="Mazdoor"/>
    <s v="Cash"/>
    <m/>
  </r>
  <r>
    <d v="2025-09-22T00:00:00"/>
    <x v="9"/>
    <n v="3000"/>
    <m/>
    <s v="pheray"/>
    <s v="Cash"/>
    <m/>
  </r>
  <r>
    <d v="2025-09-22T00:00:00"/>
    <x v="13"/>
    <n v="138000"/>
    <m/>
    <s v="Dyes "/>
    <s v="Bank"/>
    <m/>
  </r>
  <r>
    <d v="2025-09-22T00:00:00"/>
    <x v="11"/>
    <n v="1000"/>
    <m/>
    <s v="belt"/>
    <s v="Bank"/>
    <m/>
  </r>
  <r>
    <d v="2025-09-22T00:00:00"/>
    <x v="8"/>
    <m/>
    <n v="140000"/>
    <m/>
    <s v="Bank"/>
    <m/>
  </r>
  <r>
    <d v="2025-09-22T00:00:00"/>
    <x v="12"/>
    <n v="10000"/>
    <m/>
    <s v="Gazanfar"/>
    <s v="Cash"/>
    <m/>
  </r>
  <r>
    <d v="2025-09-22T00:00:00"/>
    <x v="2"/>
    <n v="200002"/>
    <m/>
    <m/>
    <s v="Bank"/>
    <m/>
  </r>
  <r>
    <d v="2025-09-22T00:00:00"/>
    <x v="15"/>
    <m/>
    <n v="250000"/>
    <m/>
    <s v="Bank"/>
    <m/>
  </r>
  <r>
    <d v="2025-09-22T00:00:00"/>
    <x v="20"/>
    <m/>
    <n v="400000"/>
    <m/>
    <s v="Bank"/>
    <m/>
  </r>
  <r>
    <d v="2025-09-22T00:00:00"/>
    <x v="8"/>
    <m/>
    <n v="1116533"/>
    <m/>
    <s v="Bank"/>
    <m/>
  </r>
  <r>
    <d v="2025-09-22T00:00:00"/>
    <x v="7"/>
    <n v="2000"/>
    <m/>
    <s v="Qadeer Driver"/>
    <s v="Cash"/>
    <m/>
  </r>
  <r>
    <d v="2025-09-22T00:00:00"/>
    <x v="17"/>
    <n v="18000"/>
    <m/>
    <s v="Atta"/>
    <s v="Cash"/>
    <m/>
  </r>
  <r>
    <d v="2025-09-23T00:00:00"/>
    <x v="11"/>
    <n v="91000"/>
    <m/>
    <s v="clips"/>
    <s v="Cash"/>
    <m/>
  </r>
  <r>
    <d v="2025-09-23T00:00:00"/>
    <x v="10"/>
    <m/>
    <n v="23972"/>
    <s v="(65000// 41028 last month balance--cleared)"/>
    <s v="Bank"/>
    <m/>
  </r>
  <r>
    <d v="2025-09-23T00:00:00"/>
    <x v="2"/>
    <n v="34500"/>
    <m/>
    <s v="E 3229"/>
    <s v="Bank"/>
    <m/>
  </r>
  <r>
    <d v="2025-09-23T00:00:00"/>
    <x v="9"/>
    <n v="10000"/>
    <m/>
    <s v="workshop"/>
    <s v="Cash"/>
    <m/>
  </r>
  <r>
    <d v="2025-09-23T00:00:00"/>
    <x v="8"/>
    <m/>
    <n v="9000"/>
    <s v="workshop"/>
    <s v="Cash"/>
    <m/>
  </r>
  <r>
    <d v="2025-09-23T00:00:00"/>
    <x v="6"/>
    <m/>
    <n v="8700"/>
    <m/>
    <s v="Bank"/>
    <m/>
  </r>
  <r>
    <d v="2025-09-23T00:00:00"/>
    <x v="5"/>
    <n v="200"/>
    <m/>
    <s v="Package Khalid Sahab"/>
    <s v="Bank"/>
    <m/>
  </r>
  <r>
    <d v="2025-09-23T00:00:00"/>
    <x v="8"/>
    <m/>
    <n v="250000"/>
    <s v="Chain"/>
    <s v="Cash"/>
    <m/>
  </r>
  <r>
    <d v="2025-09-23T00:00:00"/>
    <x v="21"/>
    <n v="250000"/>
    <m/>
    <s v="hawala"/>
    <s v="Bank"/>
    <m/>
  </r>
  <r>
    <d v="2025-09-23T00:00:00"/>
    <x v="11"/>
    <n v="2530"/>
    <m/>
    <m/>
    <s v="Cash"/>
    <m/>
  </r>
  <r>
    <d v="2025-09-23T00:00:00"/>
    <x v="2"/>
    <n v="37900"/>
    <m/>
    <s v="RB 162"/>
    <s v="Cash"/>
    <m/>
  </r>
  <r>
    <d v="2025-09-23T00:00:00"/>
    <x v="9"/>
    <n v="3000"/>
    <m/>
    <s v="kora Transport"/>
    <s v="Cash"/>
    <m/>
  </r>
  <r>
    <d v="2025-09-23T00:00:00"/>
    <x v="9"/>
    <n v="6500"/>
    <m/>
    <s v="market karaya"/>
    <s v="Cash"/>
    <m/>
  </r>
  <r>
    <d v="2025-09-23T00:00:00"/>
    <x v="12"/>
    <n v="10000"/>
    <m/>
    <s v="Kamran"/>
    <s v="Cash"/>
    <m/>
  </r>
  <r>
    <d v="2025-09-23T00:00:00"/>
    <x v="12"/>
    <n v="4000"/>
    <m/>
    <s v="Kamran"/>
    <s v="Bank"/>
    <m/>
  </r>
  <r>
    <d v="2025-09-23T00:00:00"/>
    <x v="7"/>
    <n v="1000"/>
    <m/>
    <s v="Azam Operator"/>
    <s v="Cash"/>
    <m/>
  </r>
  <r>
    <d v="2025-09-23T00:00:00"/>
    <x v="10"/>
    <n v="11000"/>
    <m/>
    <s v="kora Transport"/>
    <s v="Cash"/>
    <m/>
  </r>
  <r>
    <d v="2025-09-23T00:00:00"/>
    <x v="9"/>
    <n v="5700"/>
    <m/>
    <s v="LPG"/>
    <s v="Bank"/>
    <m/>
  </r>
  <r>
    <d v="2025-09-23T00:00:00"/>
    <x v="22"/>
    <m/>
    <n v="290000"/>
    <m/>
    <s v="Bank"/>
    <m/>
  </r>
  <r>
    <d v="2025-09-23T00:00:00"/>
    <x v="2"/>
    <n v="290000"/>
    <m/>
    <s v="TID:449458"/>
    <s v="Bank"/>
    <m/>
  </r>
  <r>
    <d v="2025-09-23T00:00:00"/>
    <x v="9"/>
    <n v="14000"/>
    <m/>
    <s v="workshop"/>
    <s v="Bank"/>
    <m/>
  </r>
  <r>
    <d v="2025-09-23T00:00:00"/>
    <x v="8"/>
    <m/>
    <n v="14000"/>
    <m/>
    <s v="Bank"/>
    <m/>
  </r>
  <r>
    <d v="2025-09-23T00:00:00"/>
    <x v="9"/>
    <n v="5000"/>
    <m/>
    <s v="petrol"/>
    <s v="Bank"/>
    <m/>
  </r>
  <r>
    <d v="2025-09-24T00:00:00"/>
    <x v="9"/>
    <n v="1000"/>
    <m/>
    <s v="toll"/>
    <s v="Cash"/>
    <m/>
  </r>
  <r>
    <d v="2025-09-24T00:00:00"/>
    <x v="23"/>
    <m/>
    <n v="155000"/>
    <m/>
    <s v="Bank"/>
    <m/>
  </r>
  <r>
    <d v="2025-09-24T00:00:00"/>
    <x v="2"/>
    <n v="155000"/>
    <m/>
    <s v="TID:857197"/>
    <s v="Bank"/>
    <m/>
  </r>
  <r>
    <d v="2025-09-24T00:00:00"/>
    <x v="22"/>
    <m/>
    <n v="100000"/>
    <m/>
    <s v="Bank"/>
    <m/>
  </r>
  <r>
    <d v="2025-09-24T00:00:00"/>
    <x v="14"/>
    <n v="50000"/>
    <m/>
    <m/>
    <s v="Bank"/>
    <m/>
  </r>
  <r>
    <d v="2025-09-24T00:00:00"/>
    <x v="11"/>
    <n v="4500"/>
    <m/>
    <s v="stenter"/>
    <s v="Bank"/>
    <m/>
  </r>
  <r>
    <d v="2025-09-24T00:00:00"/>
    <x v="5"/>
    <n v="1140"/>
    <m/>
    <s v="stationary"/>
    <s v="Bank"/>
    <m/>
  </r>
  <r>
    <d v="2025-09-24T00:00:00"/>
    <x v="11"/>
    <n v="940"/>
    <m/>
    <m/>
    <s v="Bank"/>
    <m/>
  </r>
  <r>
    <d v="2025-09-24T00:00:00"/>
    <x v="9"/>
    <n v="5000"/>
    <m/>
    <s v="petrol"/>
    <s v="Bank"/>
    <m/>
  </r>
  <r>
    <d v="2025-09-25T00:00:00"/>
    <x v="22"/>
    <m/>
    <n v="200000"/>
    <m/>
    <s v="Bank"/>
    <m/>
  </r>
  <r>
    <d v="2025-09-25T00:00:00"/>
    <x v="2"/>
    <n v="200000"/>
    <m/>
    <s v="TID:116150"/>
    <s v="Bank"/>
    <m/>
  </r>
  <r>
    <d v="2025-09-25T00:00:00"/>
    <x v="6"/>
    <m/>
    <n v="650"/>
    <m/>
    <s v="Bank"/>
    <m/>
  </r>
  <r>
    <d v="2025-09-25T00:00:00"/>
    <x v="14"/>
    <n v="100010"/>
    <m/>
    <s v="TID:833481"/>
    <s v="Bank"/>
    <m/>
  </r>
  <r>
    <d v="2025-09-25T00:00:00"/>
    <x v="9"/>
    <n v="600"/>
    <m/>
    <s v="kora Transport"/>
    <s v="Bank"/>
    <m/>
  </r>
  <r>
    <d v="2025-09-25T00:00:00"/>
    <x v="5"/>
    <n v="100"/>
    <m/>
    <s v="elfy"/>
    <s v="Cash"/>
    <m/>
  </r>
  <r>
    <d v="2025-09-25T00:00:00"/>
    <x v="13"/>
    <n v="69000"/>
    <m/>
    <m/>
    <s v="Bank"/>
    <m/>
  </r>
  <r>
    <d v="2025-09-25T00:00:00"/>
    <x v="18"/>
    <n v="24600"/>
    <m/>
    <s v="Starch"/>
    <s v="Cash"/>
    <m/>
  </r>
  <r>
    <d v="2025-09-25T00:00:00"/>
    <x v="8"/>
    <m/>
    <n v="69000"/>
    <s v="Dyes"/>
    <s v="Bank"/>
    <m/>
  </r>
  <r>
    <d v="2025-09-25T00:00:00"/>
    <x v="8"/>
    <m/>
    <n v="24600"/>
    <m/>
    <s v="Bank"/>
    <m/>
  </r>
  <r>
    <d v="2025-09-25T00:00:00"/>
    <x v="17"/>
    <n v="15995"/>
    <m/>
    <s v="Rashan"/>
    <s v="Cash"/>
    <m/>
  </r>
  <r>
    <d v="2025-09-25T00:00:00"/>
    <x v="9"/>
    <n v="6708"/>
    <m/>
    <s v="LPG"/>
    <s v="Bank"/>
    <m/>
  </r>
  <r>
    <d v="2025-09-25T00:00:00"/>
    <x v="4"/>
    <m/>
    <n v="176985"/>
    <s v="Silky"/>
    <s v="Bank"/>
    <m/>
  </r>
  <r>
    <d v="2025-09-25T00:00:00"/>
    <x v="5"/>
    <n v="200"/>
    <m/>
    <s v="karaya"/>
    <s v="Cash"/>
    <m/>
  </r>
  <r>
    <d v="2025-09-25T00:00:00"/>
    <x v="16"/>
    <m/>
    <n v="1450000"/>
    <m/>
    <s v="Cash"/>
    <m/>
  </r>
  <r>
    <d v="2025-09-25T00:00:00"/>
    <x v="16"/>
    <m/>
    <n v="50000"/>
    <m/>
    <s v="Bank"/>
    <m/>
  </r>
  <r>
    <d v="2025-09-26T00:00:00"/>
    <x v="24"/>
    <m/>
    <n v="102500"/>
    <m/>
    <s v="Bank"/>
    <m/>
  </r>
  <r>
    <d v="2025-09-26T00:00:00"/>
    <x v="9"/>
    <n v="1500"/>
    <m/>
    <s v="Shehzad kamoki karaya"/>
    <s v="Bank"/>
    <m/>
  </r>
  <r>
    <d v="2025-09-26T00:00:00"/>
    <x v="2"/>
    <n v="49400"/>
    <m/>
    <s v="RPT 5560"/>
    <s v="Bank"/>
    <m/>
  </r>
  <r>
    <d v="2025-09-26T00:00:00"/>
    <x v="2"/>
    <n v="41200"/>
    <m/>
    <s v="LXPB 141"/>
    <s v="Bank"/>
    <m/>
  </r>
  <r>
    <d v="2025-09-26T00:00:00"/>
    <x v="9"/>
    <n v="5324"/>
    <m/>
    <s v="petrol"/>
    <s v="Bank"/>
    <m/>
  </r>
  <r>
    <d v="2025-09-26T00:00:00"/>
    <x v="5"/>
    <n v="600"/>
    <m/>
    <s v="driver kharcha"/>
    <s v="Cash"/>
    <m/>
  </r>
  <r>
    <d v="2025-09-26T00:00:00"/>
    <x v="9"/>
    <n v="500"/>
    <m/>
    <s v="toll"/>
    <s v="Cash"/>
    <m/>
  </r>
  <r>
    <d v="2025-09-26T00:00:00"/>
    <x v="9"/>
    <n v="700"/>
    <m/>
    <s v="driver kharcha"/>
    <s v="Cash"/>
    <m/>
  </r>
  <r>
    <d v="2025-09-26T00:00:00"/>
    <x v="12"/>
    <m/>
    <m/>
    <s v="Naeem Driver"/>
    <s v="Cash"/>
    <m/>
  </r>
  <r>
    <d v="2025-09-26T00:00:00"/>
    <x v="8"/>
    <m/>
    <n v="20000"/>
    <m/>
    <s v="Cash"/>
    <m/>
  </r>
  <r>
    <d v="2025-09-26T00:00:00"/>
    <x v="12"/>
    <m/>
    <m/>
    <s v="Master Tanveer"/>
    <s v="Cash"/>
    <m/>
  </r>
  <r>
    <d v="2025-09-26T00:00:00"/>
    <x v="12"/>
    <m/>
    <m/>
    <s v="general"/>
    <s v="Cash"/>
    <m/>
  </r>
  <r>
    <d v="2025-09-26T00:00:00"/>
    <x v="7"/>
    <n v="10000"/>
    <m/>
    <s v="Afzaal Hussein"/>
    <s v="Cash"/>
    <m/>
  </r>
  <r>
    <d v="2025-09-26T00:00:00"/>
    <x v="2"/>
    <n v="305000"/>
    <m/>
    <s v="TID:802246"/>
    <s v="Bank"/>
    <m/>
  </r>
  <r>
    <d v="2025-09-26T00:00:00"/>
    <x v="12"/>
    <m/>
    <m/>
    <s v="Sabir Chakki"/>
    <s v="Cash"/>
    <m/>
  </r>
  <r>
    <d v="2025-09-26T00:00:00"/>
    <x v="8"/>
    <m/>
    <n v="82250"/>
    <m/>
    <s v="Bank"/>
    <m/>
  </r>
  <r>
    <d v="2025-09-26T00:00:00"/>
    <x v="25"/>
    <n v="500000"/>
    <m/>
    <s v="Dyes"/>
    <s v="Cash"/>
    <m/>
  </r>
  <r>
    <d v="2025-09-26T00:00:00"/>
    <x v="9"/>
    <n v="6550"/>
    <m/>
    <s v="LPG"/>
    <s v="Bank"/>
    <m/>
  </r>
  <r>
    <d v="2025-09-26T00:00:00"/>
    <x v="19"/>
    <n v="5000"/>
    <m/>
    <s v="Khalid Sahab Arzi"/>
    <s v="Cash"/>
    <m/>
  </r>
  <r>
    <d v="2025-09-26T00:00:00"/>
    <x v="13"/>
    <n v="87750"/>
    <m/>
    <m/>
    <s v="Cash"/>
    <m/>
  </r>
  <r>
    <d v="2025-09-26T00:00:00"/>
    <x v="8"/>
    <m/>
    <n v="87750"/>
    <s v="Dyes"/>
    <s v="Cash"/>
    <m/>
  </r>
  <r>
    <d v="2025-09-26T00:00:00"/>
    <x v="10"/>
    <n v="940"/>
    <m/>
    <s v="misc"/>
    <s v="Cash"/>
    <m/>
  </r>
  <r>
    <d v="2025-09-27T00:00:00"/>
    <x v="8"/>
    <m/>
    <n v="100000"/>
    <m/>
    <s v="Bank"/>
    <m/>
  </r>
  <r>
    <d v="2025-09-27T00:00:00"/>
    <x v="9"/>
    <n v="2000"/>
    <m/>
    <m/>
    <s v="Bank"/>
    <m/>
  </r>
  <r>
    <d v="2025-09-27T00:00:00"/>
    <x v="9"/>
    <n v="19200"/>
    <m/>
    <s v="Tyre"/>
    <s v="Bank"/>
    <m/>
  </r>
  <r>
    <d v="2025-09-27T00:00:00"/>
    <x v="15"/>
    <m/>
    <n v="250000"/>
    <m/>
    <s v="Bank"/>
    <m/>
  </r>
  <r>
    <d v="2025-09-27T00:00:00"/>
    <x v="2"/>
    <n v="301000"/>
    <m/>
    <s v="TID:461593"/>
    <s v="Bank"/>
    <m/>
  </r>
  <r>
    <d v="2025-09-27T00:00:00"/>
    <x v="2"/>
    <n v="33500"/>
    <m/>
    <s v="TW 685"/>
    <s v="Cash"/>
    <m/>
  </r>
  <r>
    <d v="2025-09-27T00:00:00"/>
    <x v="9"/>
    <n v="3000"/>
    <m/>
    <s v="Mubasshir Kharcha"/>
    <s v="Cash"/>
    <m/>
  </r>
  <r>
    <d v="2025-09-27T00:00:00"/>
    <x v="11"/>
    <n v="1250"/>
    <m/>
    <m/>
    <s v="Cash"/>
    <m/>
  </r>
  <r>
    <d v="2025-09-27T00:00:00"/>
    <x v="26"/>
    <m/>
    <m/>
    <m/>
    <s v="transfer"/>
    <n v="30000"/>
  </r>
  <r>
    <d v="2025-09-27T00:00:00"/>
    <x v="7"/>
    <n v="20000"/>
    <m/>
    <s v="Afzaal Hussein"/>
    <s v="Cash"/>
    <m/>
  </r>
  <r>
    <d v="2025-09-27T00:00:00"/>
    <x v="22"/>
    <m/>
    <n v="280000"/>
    <m/>
    <s v="Bank"/>
    <m/>
  </r>
  <r>
    <d v="2025-09-27T00:00:00"/>
    <x v="12"/>
    <m/>
    <m/>
    <s v="Ashfaq Sahab"/>
    <s v="Bank"/>
    <m/>
  </r>
  <r>
    <d v="2025-09-28T00:00:00"/>
    <x v="2"/>
    <n v="27300"/>
    <m/>
    <s v="TAF 571"/>
    <s v="Bank"/>
    <m/>
  </r>
  <r>
    <d v="2025-09-28T00:00:00"/>
    <x v="2"/>
    <n v="40000"/>
    <m/>
    <s v="TKQ 160"/>
    <s v="Bank"/>
    <m/>
  </r>
  <r>
    <d v="2025-09-28T00:00:00"/>
    <x v="27"/>
    <m/>
    <n v="200000"/>
    <m/>
    <s v="Bank"/>
    <m/>
  </r>
  <r>
    <d v="2025-09-28T00:00:00"/>
    <x v="12"/>
    <m/>
    <m/>
    <s v="Munawar Bajwa"/>
    <s v="Bank"/>
    <m/>
  </r>
  <r>
    <d v="2025-09-28T00:00:00"/>
    <x v="12"/>
    <n v="20000"/>
    <m/>
    <s v="Qadeer Driver"/>
    <s v="Bank"/>
    <m/>
  </r>
  <r>
    <d v="2025-09-28T00:00:00"/>
    <x v="8"/>
    <m/>
    <n v="20000"/>
    <m/>
    <s v="Bank"/>
    <m/>
  </r>
  <r>
    <d v="2025-09-28T00:00:00"/>
    <x v="9"/>
    <n v="7050"/>
    <m/>
    <s v="LPG"/>
    <s v="Bank"/>
    <m/>
  </r>
  <r>
    <d v="2025-09-28T00:00:00"/>
    <x v="9"/>
    <n v="1000"/>
    <m/>
    <s v="Petrol//bike"/>
    <s v="Bank"/>
    <m/>
  </r>
  <r>
    <d v="2025-09-28T00:00:00"/>
    <x v="6"/>
    <n v="1000"/>
    <m/>
    <s v="Cash"/>
    <s v="Cash"/>
    <m/>
  </r>
  <r>
    <d v="2025-09-28T00:00:00"/>
    <x v="10"/>
    <n v="5000"/>
    <m/>
    <s v="Hooria//ainak"/>
    <s v="Cash"/>
    <m/>
  </r>
  <r>
    <d v="2025-09-28T00:00:00"/>
    <x v="10"/>
    <n v="2320"/>
    <m/>
    <s v="Medicine+300 food"/>
    <s v="Cash"/>
    <m/>
  </r>
  <r>
    <d v="2025-09-29T00:00:00"/>
    <x v="15"/>
    <m/>
    <n v="200000"/>
    <m/>
    <s v="Bank"/>
    <m/>
  </r>
  <r>
    <d v="2025-09-29T00:00:00"/>
    <x v="2"/>
    <n v="300002"/>
    <m/>
    <s v="TID:566054"/>
    <s v="Bank"/>
    <m/>
  </r>
  <r>
    <d v="2025-09-29T00:00:00"/>
    <x v="2"/>
    <n v="34700"/>
    <m/>
    <s v="KBI 112"/>
    <s v="Bank"/>
    <m/>
  </r>
  <r>
    <d v="2025-09-29T00:00:00"/>
    <x v="12"/>
    <m/>
    <m/>
    <s v="Baloch"/>
    <s v="Bank"/>
    <m/>
  </r>
  <r>
    <d v="2025-09-29T00:00:00"/>
    <x v="10"/>
    <n v="3300"/>
    <m/>
    <s v="Mazdoor"/>
    <s v="Cash"/>
    <m/>
  </r>
  <r>
    <d v="2025-09-28T00:00:00"/>
    <x v="10"/>
    <n v="3300"/>
    <m/>
    <s v="Mazdoor"/>
    <s v="Cash"/>
    <m/>
  </r>
  <r>
    <d v="2025-09-29T00:00:00"/>
    <x v="11"/>
    <n v="8227"/>
    <m/>
    <s v="Diesel"/>
    <s v="Bank"/>
    <m/>
  </r>
  <r>
    <d v="2025-09-29T00:00:00"/>
    <x v="2"/>
    <n v="8000"/>
    <m/>
    <s v="Unloading"/>
    <s v="Bank"/>
    <m/>
  </r>
  <r>
    <d v="2025-09-29T00:00:00"/>
    <x v="26"/>
    <m/>
    <m/>
    <m/>
    <s v="transfer"/>
    <n v="3000"/>
  </r>
  <r>
    <d v="2025-09-29T00:00:00"/>
    <x v="9"/>
    <n v="2000"/>
    <m/>
    <s v="one tag"/>
    <s v="Bank"/>
    <m/>
  </r>
  <r>
    <d v="2025-09-29T00:00:00"/>
    <x v="4"/>
    <m/>
    <n v="150000"/>
    <s v="TID:130460"/>
    <s v="Bank"/>
    <m/>
  </r>
  <r>
    <d v="2025-09-29T00:00:00"/>
    <x v="9"/>
    <n v="3000"/>
    <m/>
    <s v="petrol"/>
    <s v="Cash"/>
    <m/>
  </r>
  <r>
    <d v="2025-09-29T00:00:00"/>
    <x v="9"/>
    <n v="10000"/>
    <m/>
    <s v="workshop"/>
    <s v="Bank"/>
    <m/>
  </r>
  <r>
    <d v="2025-09-29T00:00:00"/>
    <x v="9"/>
    <n v="5700"/>
    <m/>
    <s v="LPG"/>
    <s v="Bank"/>
    <m/>
  </r>
  <r>
    <d v="2025-09-29T00:00:00"/>
    <x v="27"/>
    <m/>
    <n v="200000"/>
    <m/>
    <s v="Bank"/>
    <m/>
  </r>
  <r>
    <d v="2025-09-30T00:00:00"/>
    <x v="2"/>
    <n v="41060"/>
    <m/>
    <m/>
    <s v="Cash"/>
    <m/>
  </r>
  <r>
    <d v="2025-09-30T00:00:00"/>
    <x v="18"/>
    <n v="82000"/>
    <m/>
    <s v="BP26"/>
    <s v="Bank"/>
    <m/>
  </r>
  <r>
    <d v="2025-09-30T00:00:00"/>
    <x v="16"/>
    <m/>
    <n v="650000"/>
    <m/>
    <s v="Bank"/>
    <m/>
  </r>
  <r>
    <d v="2025-09-30T00:00:00"/>
    <x v="16"/>
    <m/>
    <n v="400000"/>
    <m/>
    <s v="Bank"/>
    <m/>
  </r>
  <r>
    <d v="2025-09-30T00:00:00"/>
    <x v="19"/>
    <n v="800000"/>
    <m/>
    <s v="Sufi balance uncleared"/>
    <s v="Bank"/>
    <m/>
  </r>
  <r>
    <d v="2025-09-30T00:00:00"/>
    <x v="2"/>
    <n v="300330"/>
    <m/>
    <s v="TID:155112"/>
    <s v="Bank"/>
    <m/>
  </r>
  <r>
    <d v="2025-09-30T00:00:00"/>
    <x v="4"/>
    <m/>
    <n v="70000"/>
    <m/>
    <s v="Bank"/>
    <m/>
  </r>
  <r>
    <d v="2025-09-30T00:00:00"/>
    <x v="17"/>
    <n v="4000"/>
    <m/>
    <s v="tandoor"/>
    <s v="Cash"/>
    <m/>
  </r>
  <r>
    <d v="2025-09-30T00:00:00"/>
    <x v="5"/>
    <n v="300"/>
    <m/>
    <m/>
    <s v="Cash"/>
    <m/>
  </r>
  <r>
    <d v="2025-09-30T00:00:00"/>
    <x v="9"/>
    <n v="3350"/>
    <m/>
    <s v="LPG"/>
    <s v="Bank"/>
    <m/>
  </r>
  <r>
    <d v="2025-09-30T00:00:00"/>
    <x v="12"/>
    <m/>
    <m/>
    <s v="Khalid Sahab"/>
    <s v="Bank"/>
    <m/>
  </r>
  <r>
    <d v="2025-09-01T00:00:00"/>
    <x v="16"/>
    <m/>
    <n v="500000"/>
    <m/>
    <s v="Bank"/>
    <m/>
  </r>
  <r>
    <d v="2025-09-01T00:00:00"/>
    <x v="2"/>
    <n v="40000"/>
    <m/>
    <s v="LES 8168"/>
    <s v="Cash"/>
    <m/>
  </r>
  <r>
    <d v="2025-09-01T00:00:00"/>
    <x v="2"/>
    <n v="62410"/>
    <m/>
    <s v="TAD 074"/>
    <s v="Bank"/>
    <m/>
  </r>
  <r>
    <d v="2025-09-01T00:00:00"/>
    <x v="11"/>
    <n v="1550"/>
    <m/>
    <s v="garrari"/>
    <s v="Bank"/>
    <m/>
  </r>
  <r>
    <d v="2025-09-01T00:00:00"/>
    <x v="11"/>
    <n v="8349"/>
    <m/>
    <s v="Diesel"/>
    <s v="Bank"/>
    <m/>
  </r>
  <r>
    <d v="2025-09-01T00:00:00"/>
    <x v="11"/>
    <n v="4240"/>
    <m/>
    <s v="Mobile oil"/>
    <s v="Bank"/>
    <m/>
  </r>
  <r>
    <d v="2025-09-01T00:00:00"/>
    <x v="11"/>
    <n v="900"/>
    <m/>
    <s v="Mobile oil"/>
    <s v="Bank"/>
    <m/>
  </r>
  <r>
    <d v="2025-09-01T00:00:00"/>
    <x v="10"/>
    <n v="6600"/>
    <m/>
    <s v="Mazdoor"/>
    <s v="Bank"/>
    <m/>
  </r>
  <r>
    <d v="2025-09-01T00:00:00"/>
    <x v="9"/>
    <n v="5100"/>
    <m/>
    <s v="workshop"/>
    <s v="Bank"/>
    <m/>
  </r>
  <r>
    <d v="2025-09-01T00:00:00"/>
    <x v="2"/>
    <n v="300150"/>
    <m/>
    <s v="TID:329171"/>
    <s v="Bank"/>
    <m/>
  </r>
  <r>
    <d v="2025-09-01T00:00:00"/>
    <x v="24"/>
    <m/>
    <n v="38800"/>
    <s v="2 palia"/>
    <s v="Bank"/>
    <m/>
  </r>
  <r>
    <d v="2025-09-01T00:00:00"/>
    <x v="5"/>
    <n v="4200"/>
    <m/>
    <s v="bank charges x2"/>
    <s v="Bank"/>
    <m/>
  </r>
  <r>
    <d v="2025-09-01T00:00:00"/>
    <x v="28"/>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7" firstHeaderRow="0" firstDataRow="1" firstDataCol="1"/>
  <pivotFields count="4">
    <pivotField axis="axisRow" showAll="0" includeNewItemsInFilter="1">
      <items count="14">
        <item x="2"/>
        <item x="0"/>
        <item x="1"/>
        <item x="3"/>
        <item x="12"/>
        <item x="4"/>
        <item x="5"/>
        <item x="6"/>
        <item x="10"/>
        <item x="8"/>
        <item x="9"/>
        <item x="7"/>
        <item x="11"/>
        <item t="default"/>
      </items>
    </pivotField>
    <pivotField dataField="1" showAll="0"/>
    <pivotField showAll="0"/>
    <pivotField dataField="1" showAl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Sum of Tiyaar" fld="1" baseField="0" baseItem="0"/>
    <dataField name="Sum of Total" fld="3" baseField="0" baseItem="0"/>
  </dataFields>
  <formats count="4">
    <format dxfId="126">
      <pivotArea field="0" grandRow="1" outline="0" collapsedLevelsAreSubtotals="1" axis="axisRow" fieldPosition="0">
        <references count="1">
          <reference field="4294967294" count="1" selected="0">
            <x v="1"/>
          </reference>
        </references>
      </pivotArea>
    </format>
    <format dxfId="125">
      <pivotArea field="0" grandRow="1" outline="0" collapsedLevelsAreSubtotals="1" axis="axisRow" fieldPosition="0">
        <references count="1">
          <reference field="4294967294" count="1" selected="0">
            <x v="0"/>
          </reference>
        </references>
      </pivotArea>
    </format>
    <format dxfId="124">
      <pivotArea collapsedLevelsAreSubtotals="1" fieldPosition="0">
        <references count="2">
          <reference field="4294967294" count="1" selected="0">
            <x v="1"/>
          </reference>
          <reference field="0" count="0"/>
        </references>
      </pivotArea>
    </format>
    <format dxfId="123">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91:K106" firstHeaderRow="0" firstDataRow="1" firstDataCol="1"/>
  <pivotFields count="14">
    <pivotField axis="axisRow" numFmtId="14"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m="1" x="14"/>
        <item m="1" x="15"/>
        <item m="1" x="16"/>
        <item m="1" x="17"/>
        <item m="1" x="18"/>
        <item m="1" x="19"/>
        <item m="1" x="20"/>
        <item m="1" x="21"/>
        <item m="1" x="22"/>
        <item m="1" x="23"/>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5">
    <i>
      <x v="18"/>
    </i>
    <i>
      <x v="41"/>
    </i>
    <i>
      <x v="42"/>
    </i>
    <i>
      <x v="43"/>
    </i>
    <i>
      <x v="44"/>
    </i>
    <i>
      <x v="45"/>
    </i>
    <i>
      <x v="46"/>
    </i>
    <i>
      <x v="47"/>
    </i>
    <i>
      <x v="48"/>
    </i>
    <i>
      <x v="49"/>
    </i>
    <i>
      <x v="50"/>
    </i>
    <i>
      <x v="51"/>
    </i>
    <i>
      <x v="52"/>
    </i>
    <i>
      <x v="53"/>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91:G162" firstHeaderRow="0" firstDataRow="1" firstDataCol="1" rowPageCount="3" colPageCount="1"/>
  <pivotFields count="14">
    <pivotField axis="axisPage" showAll="0">
      <items count="65">
        <item m="1" x="48"/>
        <item m="1" x="49"/>
        <item m="1" x="50"/>
        <item m="1" x="51"/>
        <item m="1" x="52"/>
        <item m="1" x="53"/>
        <item m="1" x="63"/>
        <item m="1" x="54"/>
        <item m="1" x="55"/>
        <item m="1" x="56"/>
        <item m="1" x="57"/>
        <item m="1" x="58"/>
        <item m="1" x="59"/>
        <item m="1" x="60"/>
        <item m="1" x="61"/>
        <item m="1" x="62"/>
        <item m="1" x="25"/>
        <item m="1" x="24"/>
        <item x="4"/>
        <item m="1" x="26"/>
        <item m="1" x="27"/>
        <item m="1" x="28"/>
        <item m="1" x="29"/>
        <item m="1" x="30"/>
        <item m="1" x="31"/>
        <item m="1" x="32"/>
        <item m="1" x="33"/>
        <item m="1" x="34"/>
        <item m="1" x="35"/>
        <item m="1" x="36"/>
        <item m="1" x="37"/>
        <item m="1" x="38"/>
        <item m="1" x="39"/>
        <item m="1" x="40"/>
        <item m="1" x="41"/>
        <item m="1" x="42"/>
        <item m="1" x="43"/>
        <item m="1" x="44"/>
        <item m="1" x="45"/>
        <item m="1" x="46"/>
        <item m="1" x="47"/>
        <item x="0"/>
        <item x="1"/>
        <item x="2"/>
        <item x="3"/>
        <item x="5"/>
        <item x="6"/>
        <item x="7"/>
        <item x="8"/>
        <item x="9"/>
        <item x="10"/>
        <item x="11"/>
        <item x="12"/>
        <item x="13"/>
        <item m="1" x="14"/>
        <item m="1" x="15"/>
        <item m="1" x="16"/>
        <item m="1" x="17"/>
        <item m="1" x="18"/>
        <item m="1" x="19"/>
        <item m="1" x="20"/>
        <item m="1" x="21"/>
        <item m="1" x="22"/>
        <item m="1" x="23"/>
        <item t="default"/>
      </items>
    </pivotField>
    <pivotField axis="axisPage" multipleItemSelectionAllowed="1" showAll="0">
      <items count="20">
        <item x="2"/>
        <item x="0"/>
        <item m="1" x="18"/>
        <item x="6"/>
        <item m="1" x="17"/>
        <item m="1" x="16"/>
        <item m="1" x="15"/>
        <item x="1"/>
        <item x="3"/>
        <item m="1" x="14"/>
        <item x="4"/>
        <item m="1" x="13"/>
        <item m="1" x="12"/>
        <item x="5"/>
        <item x="10"/>
        <item x="8"/>
        <item x="9"/>
        <item x="7"/>
        <item x="11"/>
        <item t="default"/>
      </items>
    </pivotField>
    <pivotField axis="axisRow" numFmtId="164" showAll="0">
      <items count="28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178"/>
        <item m="1" x="179"/>
        <item m="1" x="180"/>
        <item m="1" x="181"/>
        <item m="1" x="182"/>
        <item m="1" x="183"/>
        <item m="1" x="184"/>
        <item m="1" x="185"/>
        <item m="1" x="186"/>
        <item m="1" x="187"/>
        <item m="1" x="188"/>
        <item m="1" x="189"/>
        <item m="1" x="190"/>
        <item m="1" x="191"/>
        <item m="1" x="192"/>
        <item m="1" x="193"/>
        <item m="1" x="194"/>
        <item m="1" x="195"/>
        <item m="1" x="224"/>
        <item m="1" x="196"/>
        <item m="1" x="197"/>
        <item m="1" x="198"/>
        <item m="1" x="199"/>
        <item m="1" x="200"/>
        <item m="1" x="201"/>
        <item m="1" x="213"/>
        <item m="1" x="202"/>
        <item m="1" x="203"/>
        <item m="1" x="204"/>
        <item m="1" x="205"/>
        <item m="1" x="206"/>
        <item m="1" x="207"/>
        <item m="1" x="208"/>
        <item m="1" x="209"/>
        <item m="1" x="210"/>
        <item m="1" x="211"/>
        <item m="1" x="212"/>
        <item m="1" x="214"/>
        <item m="1" x="215"/>
        <item m="1" x="216"/>
        <item m="1" x="217"/>
        <item m="1" x="218"/>
        <item m="1" x="219"/>
        <item m="1" x="220"/>
        <item m="1" x="221"/>
        <item m="1" x="222"/>
        <item m="1" x="223"/>
        <item m="1" x="225"/>
        <item m="1" x="226"/>
        <item m="1" x="227"/>
        <item m="1" x="228"/>
        <item m="1" x="229"/>
        <item m="1" x="230"/>
        <item m="1" x="231"/>
        <item m="1" x="232"/>
        <item m="1" x="233"/>
        <item m="1" x="234"/>
        <item m="1" x="235"/>
        <item m="1" x="236"/>
        <item m="1" x="237"/>
        <item m="1" x="238"/>
        <item m="1" x="239"/>
        <item m="1" x="70"/>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71"/>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8"/>
        <item m="1" x="169"/>
        <item m="1" x="170"/>
        <item m="1" x="167"/>
        <item m="1" x="171"/>
        <item m="1" x="172"/>
        <item m="1" x="173"/>
        <item m="1" x="174"/>
        <item m="1" x="175"/>
        <item m="1" x="176"/>
        <item m="1" x="17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t="default"/>
      </items>
    </pivotField>
    <pivotField showAll="0"/>
    <pivotField axis="axisPage" multipleItemSelectionAllowed="1" showAll="0">
      <items count="148">
        <item m="1" x="101"/>
        <item m="1" x="130"/>
        <item m="1" x="131"/>
        <item m="1" x="139"/>
        <item m="1" x="129"/>
        <item m="1" x="128"/>
        <item m="1" x="132"/>
        <item m="1" x="143"/>
        <item m="1" x="135"/>
        <item m="1" x="136"/>
        <item m="1" x="133"/>
        <item m="1" x="134"/>
        <item m="1" x="144"/>
        <item m="1" x="137"/>
        <item m="1" x="138"/>
        <item m="1" x="141"/>
        <item m="1" x="142"/>
        <item m="1" x="140"/>
        <item m="1" x="96"/>
        <item m="1" x="146"/>
        <item m="1" x="95"/>
        <item m="1" x="145"/>
        <item m="1" x="98"/>
        <item m="1" x="97"/>
        <item m="1" x="99"/>
        <item m="1" x="105"/>
        <item m="1" x="100"/>
        <item m="1" x="102"/>
        <item m="1" x="106"/>
        <item m="1" x="107"/>
        <item m="1" x="126"/>
        <item m="1" x="103"/>
        <item m="1" x="104"/>
        <item m="1" x="66"/>
        <item m="1" x="88"/>
        <item m="1" x="127"/>
        <item m="1" x="108"/>
        <item m="1" x="109"/>
        <item m="1" x="110"/>
        <item m="1" x="111"/>
        <item m="1" x="112"/>
        <item m="1" x="42"/>
        <item m="1" x="113"/>
        <item m="1" x="114"/>
        <item m="1" x="115"/>
        <item m="1" x="116"/>
        <item m="1" x="117"/>
        <item m="1" x="118"/>
        <item m="1" x="119"/>
        <item m="1" x="120"/>
        <item m="1" x="121"/>
        <item m="1" x="122"/>
        <item m="1" x="123"/>
        <item m="1" x="124"/>
        <item m="1" x="125"/>
        <item x="0"/>
        <item m="1" x="41"/>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7"/>
        <item m="1" x="68"/>
        <item m="1" x="69"/>
        <item m="1" x="70"/>
        <item m="1" x="71"/>
        <item m="1" x="72"/>
        <item m="1" x="73"/>
        <item m="1" x="74"/>
        <item m="1" x="75"/>
        <item m="1" x="76"/>
        <item m="1" x="77"/>
        <item m="1" x="78"/>
        <item m="1" x="79"/>
        <item m="1" x="80"/>
        <item m="1" x="81"/>
        <item m="1" x="82"/>
        <item m="1" x="83"/>
        <item m="1" x="84"/>
        <item m="1" x="85"/>
        <item m="1" x="86"/>
        <item m="1" x="87"/>
        <item m="1" x="89"/>
        <item m="1" x="90"/>
        <item m="1" x="91"/>
        <item m="1" x="92"/>
        <item m="1" x="93"/>
        <item m="1" x="94"/>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71">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54:I101" firstHeaderRow="0" firstDataRow="1" firstDataCol="1" rowPageCount="1" colPageCount="1"/>
  <pivotFields count="9">
    <pivotField axis="axisRow" numFmtId="14" showAll="0">
      <items count="67">
        <item m="1" x="50"/>
        <item m="1" x="51"/>
        <item m="1" x="52"/>
        <item m="1" x="53"/>
        <item m="1" x="54"/>
        <item m="1" x="55"/>
        <item m="1" x="56"/>
        <item m="1" x="65"/>
        <item m="1" x="46"/>
        <item m="1" x="57"/>
        <item m="1" x="58"/>
        <item m="1" x="59"/>
        <item m="1" x="60"/>
        <item m="1" x="61"/>
        <item m="1" x="62"/>
        <item m="1" x="63"/>
        <item m="1" x="17"/>
        <item m="1" x="18"/>
        <item m="1" x="64"/>
        <item m="1" x="19"/>
        <item m="1" x="16"/>
        <item m="1" x="20"/>
        <item m="1" x="22"/>
        <item m="1" x="23"/>
        <item m="1" x="24"/>
        <item m="1" x="26"/>
        <item m="1" x="27"/>
        <item m="1" x="28"/>
        <item m="1" x="21"/>
        <item m="1" x="25"/>
        <item m="1" x="29"/>
        <item m="1" x="30"/>
        <item m="1" x="31"/>
        <item m="1" x="32"/>
        <item x="15"/>
        <item m="1" x="33"/>
        <item m="1" x="47"/>
        <item m="1" x="48"/>
        <item m="1" x="49"/>
        <item m="1" x="34"/>
        <item m="1" x="35"/>
        <item m="1" x="36"/>
        <item m="1" x="37"/>
        <item m="1" x="38"/>
        <item m="1" x="39"/>
        <item m="1" x="40"/>
        <item m="1" x="41"/>
        <item m="1" x="42"/>
        <item m="1" x="43"/>
        <item m="1" x="44"/>
        <item m="1" x="45"/>
        <item x="0"/>
        <item x="1"/>
        <item x="2"/>
        <item x="3"/>
        <item x="4"/>
        <item x="5"/>
        <item x="6"/>
        <item x="7"/>
        <item x="9"/>
        <item x="10"/>
        <item x="11"/>
        <item x="8"/>
        <item x="12"/>
        <item x="13"/>
        <item x="14"/>
        <item t="default"/>
      </items>
    </pivotField>
    <pivotField axis="axisPage" showAll="0">
      <items count="6">
        <item x="1"/>
        <item x="0"/>
        <item m="1" x="3"/>
        <item m="1" x="4"/>
        <item x="2"/>
        <item t="default"/>
      </items>
    </pivotField>
    <pivotField axis="axisRow" showAll="0">
      <items count="59">
        <item m="1" x="48"/>
        <item m="1" x="32"/>
        <item m="1" x="44"/>
        <item x="10"/>
        <item m="1" x="49"/>
        <item m="1" x="50"/>
        <item m="1" x="45"/>
        <item m="1" x="46"/>
        <item m="1" x="47"/>
        <item x="3"/>
        <item m="1" x="25"/>
        <item m="1" x="51"/>
        <item m="1" x="52"/>
        <item m="1" x="53"/>
        <item m="1" x="54"/>
        <item m="1" x="55"/>
        <item m="1" x="56"/>
        <item m="1" x="21"/>
        <item m="1" x="22"/>
        <item m="1" x="57"/>
        <item m="1" x="23"/>
        <item x="0"/>
        <item m="1" x="24"/>
        <item m="1" x="26"/>
        <item m="1" x="27"/>
        <item m="1" x="28"/>
        <item m="1" x="29"/>
        <item m="1" x="30"/>
        <item m="1" x="31"/>
        <item m="1" x="33"/>
        <item m="1" x="34"/>
        <item x="12"/>
        <item m="1" x="35"/>
        <item m="1" x="36"/>
        <item m="1" x="37"/>
        <item x="16"/>
        <item m="1" x="38"/>
        <item m="1" x="39"/>
        <item x="14"/>
        <item m="1" x="40"/>
        <item m="1" x="41"/>
        <item m="1" x="42"/>
        <item m="1" x="43"/>
        <item x="1"/>
        <item x="2"/>
        <item x="4"/>
        <item x="5"/>
        <item x="6"/>
        <item x="7"/>
        <item x="8"/>
        <item x="9"/>
        <item x="11"/>
        <item x="13"/>
        <item x="15"/>
        <item x="17"/>
        <item x="18"/>
        <item x="19"/>
        <item x="20"/>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47">
    <i>
      <x v="34"/>
    </i>
    <i r="1">
      <x v="56"/>
    </i>
    <i r="1">
      <x v="57"/>
    </i>
    <i>
      <x v="51"/>
    </i>
    <i r="1">
      <x v="9"/>
    </i>
    <i r="1">
      <x v="21"/>
    </i>
    <i r="1">
      <x v="43"/>
    </i>
    <i r="1">
      <x v="44"/>
    </i>
    <i>
      <x v="52"/>
    </i>
    <i r="1">
      <x v="9"/>
    </i>
    <i>
      <x v="53"/>
    </i>
    <i r="1">
      <x v="9"/>
    </i>
    <i r="1">
      <x v="45"/>
    </i>
    <i>
      <x v="54"/>
    </i>
    <i r="1">
      <x v="46"/>
    </i>
    <i>
      <x v="55"/>
    </i>
    <i r="1">
      <x v="9"/>
    </i>
    <i r="1">
      <x v="47"/>
    </i>
    <i r="1">
      <x v="48"/>
    </i>
    <i>
      <x v="56"/>
    </i>
    <i r="1">
      <x v="9"/>
    </i>
    <i r="1">
      <x v="49"/>
    </i>
    <i>
      <x v="57"/>
    </i>
    <i r="1">
      <x v="9"/>
    </i>
    <i r="1">
      <x v="50"/>
    </i>
    <i>
      <x v="58"/>
    </i>
    <i r="1">
      <x v="3"/>
    </i>
    <i r="1">
      <x v="9"/>
    </i>
    <i r="1">
      <x v="51"/>
    </i>
    <i>
      <x v="59"/>
    </i>
    <i r="1">
      <x v="9"/>
    </i>
    <i>
      <x v="60"/>
    </i>
    <i r="1">
      <x v="31"/>
    </i>
    <i r="1">
      <x v="52"/>
    </i>
    <i>
      <x v="61"/>
    </i>
    <i r="1">
      <x v="38"/>
    </i>
    <i>
      <x v="62"/>
    </i>
    <i r="1">
      <x v="9"/>
    </i>
    <i>
      <x v="63"/>
    </i>
    <i r="1">
      <x v="9"/>
    </i>
    <i r="1">
      <x v="35"/>
    </i>
    <i r="1">
      <x v="53"/>
    </i>
    <i>
      <x v="64"/>
    </i>
    <i r="1">
      <x v="54"/>
    </i>
    <i>
      <x v="65"/>
    </i>
    <i r="1">
      <x v="55"/>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1">
      <pivotArea dataOnly="0" labelOnly="1" outline="0" fieldPosition="0">
        <references count="1">
          <reference field="1" count="1">
            <x v="1"/>
          </reference>
        </references>
      </pivotArea>
    </format>
    <format dxfId="80">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3" firstHeaderRow="0" firstDataRow="1" firstDataCol="1"/>
  <pivotFields count="7">
    <pivotField numFmtId="14" showAll="0"/>
    <pivotField axis="axisRow" showAll="0">
      <items count="42">
        <item x="7"/>
        <item x="4"/>
        <item x="8"/>
        <item x="26"/>
        <item m="1" x="30"/>
        <item x="18"/>
        <item x="2"/>
        <item x="5"/>
        <item x="11"/>
        <item x="17"/>
        <item x="12"/>
        <item m="1" x="39"/>
        <item x="24"/>
        <item x="9"/>
        <item m="1" x="32"/>
        <item m="1" x="37"/>
        <item x="10"/>
        <item x="19"/>
        <item x="6"/>
        <item x="1"/>
        <item x="28"/>
        <item x="20"/>
        <item m="1" x="40"/>
        <item x="16"/>
        <item x="3"/>
        <item m="1" x="38"/>
        <item m="1" x="29"/>
        <item x="25"/>
        <item m="1" x="31"/>
        <item m="1" x="33"/>
        <item m="1" x="34"/>
        <item m="1" x="35"/>
        <item x="23"/>
        <item m="1" x="36"/>
        <item x="27"/>
        <item x="14"/>
        <item x="13"/>
        <item x="15"/>
        <item x="0"/>
        <item x="21"/>
        <item x="22"/>
        <item t="default"/>
      </items>
    </pivotField>
    <pivotField dataField="1" showAll="0"/>
    <pivotField dataField="1" showAll="0"/>
    <pivotField showAll="0"/>
    <pivotField showAll="0"/>
    <pivotField showAll="0"/>
  </pivotFields>
  <rowFields count="1">
    <field x="1"/>
  </rowFields>
  <rowItems count="30">
    <i>
      <x/>
    </i>
    <i>
      <x v="1"/>
    </i>
    <i>
      <x v="2"/>
    </i>
    <i>
      <x v="3"/>
    </i>
    <i>
      <x v="5"/>
    </i>
    <i>
      <x v="6"/>
    </i>
    <i>
      <x v="7"/>
    </i>
    <i>
      <x v="8"/>
    </i>
    <i>
      <x v="9"/>
    </i>
    <i>
      <x v="10"/>
    </i>
    <i>
      <x v="12"/>
    </i>
    <i>
      <x v="13"/>
    </i>
    <i>
      <x v="16"/>
    </i>
    <i>
      <x v="17"/>
    </i>
    <i>
      <x v="18"/>
    </i>
    <i>
      <x v="19"/>
    </i>
    <i>
      <x v="20"/>
    </i>
    <i>
      <x v="21"/>
    </i>
    <i>
      <x v="23"/>
    </i>
    <i>
      <x v="24"/>
    </i>
    <i>
      <x v="27"/>
    </i>
    <i>
      <x v="32"/>
    </i>
    <i>
      <x v="34"/>
    </i>
    <i>
      <x v="35"/>
    </i>
    <i>
      <x v="36"/>
    </i>
    <i>
      <x v="37"/>
    </i>
    <i>
      <x v="38"/>
    </i>
    <i>
      <x v="39"/>
    </i>
    <i>
      <x v="40"/>
    </i>
    <i t="grand">
      <x/>
    </i>
  </rowItems>
  <colFields count="1">
    <field x="-2"/>
  </colFields>
  <colItems count="2">
    <i>
      <x/>
    </i>
    <i i="1">
      <x v="1"/>
    </i>
  </colItems>
  <dataFields count="2">
    <dataField name="Sum of Credit" fld="3" baseField="0" baseItem="0"/>
    <dataField name="Sum of Debit" fld="2" baseField="0" baseItem="0"/>
  </dataFields>
  <formats count="1">
    <format dxfId="6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25">
        <item m="1" x="19"/>
        <item m="1" x="20"/>
        <item m="1" x="21"/>
        <item m="1" x="22"/>
        <item m="1" x="23"/>
        <item m="1" x="18"/>
        <item m="1" x="6"/>
        <item m="1" x="7"/>
        <item m="1" x="11"/>
        <item m="1" x="12"/>
        <item m="1" x="8"/>
        <item m="1" x="13"/>
        <item m="1" x="14"/>
        <item m="1" x="15"/>
        <item m="1" x="16"/>
        <item m="1" x="17"/>
        <item m="1" x="5"/>
        <item m="1" x="9"/>
        <item m="1" x="10"/>
        <item x="0"/>
        <item x="1"/>
        <item x="2"/>
        <item x="3"/>
        <item x="4"/>
        <item t="default"/>
      </items>
    </pivotField>
    <pivotField showAll="0"/>
    <pivotField showAll="0"/>
    <pivotField showAll="0"/>
    <pivotField dataField="1" showAll="0"/>
    <pivotField axis="axisPage" showAll="0">
      <items count="4">
        <item x="0"/>
        <item x="1"/>
        <item m="1" x="2"/>
        <item t="default"/>
      </items>
    </pivotField>
    <pivotField showAll="0"/>
    <pivotField dataField="1" showAll="0"/>
    <pivotField showAll="0"/>
  </pivotFields>
  <rowFields count="1">
    <field x="0"/>
  </rowFields>
  <rowItems count="4">
    <i>
      <x v="19"/>
    </i>
    <i>
      <x v="22"/>
    </i>
    <i>
      <x v="23"/>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9" firstHeaderRow="0" firstDataRow="1" firstDataCol="1"/>
  <pivotFields count="8">
    <pivotField numFmtId="14" showAll="0"/>
    <pivotField axis="axisRow" showAll="0">
      <items count="7">
        <item m="1" x="5"/>
        <item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5">
    <i>
      <x v="1"/>
    </i>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45" firstHeaderRow="0" firstDataRow="1" firstDataCol="1" rowPageCount="1" colPageCount="1"/>
  <pivotFields count="14">
    <pivotField showAll="0"/>
    <pivotField axis="axisPage" showAll="0">
      <items count="20">
        <item m="1" x="16"/>
        <item x="2"/>
        <item x="0"/>
        <item x="1"/>
        <item m="1" x="18"/>
        <item m="1" x="14"/>
        <item x="6"/>
        <item m="1" x="17"/>
        <item x="3"/>
        <item x="4"/>
        <item m="1" x="15"/>
        <item m="1" x="13"/>
        <item m="1" x="12"/>
        <item x="5"/>
        <item x="10"/>
        <item x="8"/>
        <item x="9"/>
        <item x="7"/>
        <item x="11"/>
        <item t="default"/>
      </items>
    </pivotField>
    <pivotField showAll="0"/>
    <pivotField showAll="0"/>
    <pivotField axis="axisRow" showAll="0">
      <items count="148">
        <item m="1" x="130"/>
        <item m="1" x="131"/>
        <item m="1" x="129"/>
        <item m="1" x="128"/>
        <item m="1" x="132"/>
        <item m="1" x="134"/>
        <item m="1" x="133"/>
        <item m="1" x="135"/>
        <item m="1" x="136"/>
        <item m="1" x="137"/>
        <item m="1" x="138"/>
        <item m="1" x="139"/>
        <item m="1" x="140"/>
        <item m="1" x="141"/>
        <item m="1" x="66"/>
        <item m="1" x="88"/>
        <item m="1" x="142"/>
        <item m="1" x="143"/>
        <item m="1" x="144"/>
        <item m="1" x="96"/>
        <item m="1" x="95"/>
        <item m="1" x="145"/>
        <item m="1" x="146"/>
        <item m="1" x="105"/>
        <item m="1" x="97"/>
        <item m="1" x="98"/>
        <item m="1" x="99"/>
        <item m="1" x="100"/>
        <item m="1" x="101"/>
        <item m="1" x="102"/>
        <item m="1" x="103"/>
        <item m="1" x="104"/>
        <item m="1" x="106"/>
        <item m="1" x="126"/>
        <item m="1" x="107"/>
        <item m="1" x="127"/>
        <item m="1" x="108"/>
        <item m="1" x="109"/>
        <item m="1" x="110"/>
        <item m="1" x="111"/>
        <item m="1" x="112"/>
        <item m="1" x="42"/>
        <item m="1" x="113"/>
        <item m="1" x="114"/>
        <item m="1" x="115"/>
        <item m="1" x="116"/>
        <item m="1" x="117"/>
        <item m="1" x="118"/>
        <item m="1" x="119"/>
        <item m="1" x="120"/>
        <item m="1" x="121"/>
        <item m="1" x="122"/>
        <item m="1" x="123"/>
        <item m="1" x="124"/>
        <item m="1" x="125"/>
        <item x="0"/>
        <item m="1" x="41"/>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7"/>
        <item m="1" x="68"/>
        <item m="1" x="69"/>
        <item m="1" x="70"/>
        <item m="1" x="71"/>
        <item m="1" x="72"/>
        <item m="1" x="73"/>
        <item m="1" x="74"/>
        <item m="1" x="75"/>
        <item m="1" x="76"/>
        <item m="1" x="77"/>
        <item m="1" x="78"/>
        <item m="1" x="79"/>
        <item m="1" x="80"/>
        <item m="1" x="81"/>
        <item m="1" x="82"/>
        <item m="1" x="83"/>
        <item m="1" x="84"/>
        <item m="1" x="85"/>
        <item m="1" x="86"/>
        <item m="1" x="87"/>
        <item m="1" x="89"/>
        <item m="1" x="90"/>
        <item m="1" x="91"/>
        <item m="1" x="92"/>
        <item m="1" x="93"/>
        <item m="1" x="94"/>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42">
    <i>
      <x v="55"/>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26">
      <pivotArea type="all" dataOnly="0" outline="0" fieldPosition="0"/>
    </format>
    <format dxfId="25">
      <pivotArea outline="0" collapsedLevelsAreSubtotals="1" fieldPosition="0"/>
    </format>
    <format dxfId="24">
      <pivotArea field="4" type="button" dataOnly="0" labelOnly="1" outline="0" axis="axisRow" fieldPosition="0"/>
    </format>
    <format dxfId="23">
      <pivotArea dataOnly="0" labelOnly="1" fieldPosition="0">
        <references count="1">
          <reference field="4" count="0"/>
        </references>
      </pivotArea>
    </format>
    <format dxfId="22">
      <pivotArea dataOnly="0" labelOnly="1" grandRow="1" outline="0" fieldPosition="0"/>
    </format>
    <format dxfId="21">
      <pivotArea dataOnly="0" labelOnly="1" outline="0" fieldPosition="0">
        <references count="1">
          <reference field="4294967294" count="2">
            <x v="0"/>
            <x v="1"/>
          </reference>
        </references>
      </pivotArea>
    </format>
    <format dxfId="20">
      <pivotArea grandRow="1" outline="0" collapsedLevelsAreSubtotals="1" fieldPosition="0"/>
    </format>
    <format dxfId="19">
      <pivotArea field="4" type="button" dataOnly="0" labelOnly="1" outline="0" axis="axisRow" fieldPosition="0"/>
    </format>
    <format dxfId="18">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47">
        <i x="10" s="1"/>
        <i x="12" s="1"/>
        <i x="6" s="1"/>
        <i x="9" s="1"/>
        <i x="8" s="1"/>
        <i x="28" s="1"/>
        <i x="33" s="1"/>
        <i x="1" s="1"/>
        <i x="14" s="1"/>
        <i x="5" s="1"/>
        <i x="11" s="1"/>
        <i x="2" s="1"/>
        <i x="3" s="1"/>
        <i x="4" s="1"/>
        <i x="15" s="1"/>
        <i x="20" s="1"/>
        <i x="29" s="1"/>
        <i x="17" s="1"/>
        <i x="24" s="1"/>
        <i x="21" s="1"/>
        <i x="16" s="1"/>
        <i x="25" s="1"/>
        <i x="35" s="1"/>
        <i x="34" s="1"/>
        <i x="30" s="1"/>
        <i x="26" s="1"/>
        <i x="27" s="1"/>
        <i x="36" s="1"/>
        <i x="37" s="1"/>
        <i x="32" s="1"/>
        <i x="39" s="1"/>
        <i x="40" s="1"/>
        <i x="38" s="1"/>
        <i x="13" s="1"/>
        <i x="19" s="1"/>
        <i x="18" s="1"/>
        <i x="23" s="1"/>
        <i x="31" s="1"/>
        <i x="22" s="1"/>
        <i x="101" s="1" nd="1"/>
        <i x="130" s="1" nd="1"/>
        <i x="131" s="1" nd="1"/>
        <i x="139" s="1" nd="1"/>
        <i x="129" s="1" nd="1"/>
        <i x="128" s="1" nd="1"/>
        <i x="132" s="1" nd="1"/>
        <i x="143" s="1" nd="1"/>
        <i x="135" s="1" nd="1"/>
        <i x="136" s="1" nd="1"/>
        <i x="133" s="1" nd="1"/>
        <i x="134" s="1" nd="1"/>
        <i x="144" s="1" nd="1"/>
        <i x="137" s="1" nd="1"/>
        <i x="138" s="1" nd="1"/>
        <i x="141" s="1" nd="1"/>
        <i x="142" s="1" nd="1"/>
        <i x="140" s="1" nd="1"/>
        <i x="96" s="1" nd="1"/>
        <i x="146" s="1" nd="1"/>
        <i x="95" s="1" nd="1"/>
        <i x="145" s="1" nd="1"/>
        <i x="98" s="1" nd="1"/>
        <i x="59" s="1" nd="1"/>
        <i x="97" s="1" nd="1"/>
        <i x="99" s="1" nd="1"/>
        <i x="105" s="1" nd="1"/>
        <i x="100" s="1" nd="1"/>
        <i x="102" s="1" nd="1"/>
        <i x="118" s="1" nd="1"/>
        <i x="41" s="1" nd="1"/>
        <i x="106" s="1" nd="1"/>
        <i x="46" s="1" nd="1"/>
        <i x="112" s="1" nd="1"/>
        <i x="107" s="1" nd="1"/>
        <i x="110" s="1" nd="1"/>
        <i x="115" s="1" nd="1"/>
        <i x="126" s="1" nd="1"/>
        <i x="108" s="1" nd="1"/>
        <i x="120" s="1" nd="1"/>
        <i x="123" s="1" nd="1"/>
        <i x="114" s="1" nd="1"/>
        <i x="103" s="1" nd="1"/>
        <i x="111" s="1" nd="1"/>
        <i x="104" s="1" nd="1"/>
        <i x="109" s="1" nd="1"/>
        <i x="42" s="1" nd="1"/>
        <i x="113" s="1" nd="1"/>
        <i x="119" s="1" nd="1"/>
        <i x="56" s="1" nd="1"/>
        <i x="116" s="1" nd="1"/>
        <i x="121" s="1" nd="1"/>
        <i x="117" s="1" nd="1"/>
        <i x="83" s="1" nd="1"/>
        <i x="122" s="1" nd="1"/>
        <i x="124" s="1" nd="1"/>
        <i x="44" s="1" nd="1"/>
        <i x="51" s="1" nd="1"/>
        <i x="125" s="1" nd="1"/>
        <i x="48" s="1" nd="1"/>
        <i x="49" s="1" nd="1"/>
        <i x="43" s="1" nd="1"/>
        <i x="47" s="1" nd="1"/>
        <i x="45" s="1" nd="1"/>
        <i x="54" s="1" nd="1"/>
        <i x="50" s="1" nd="1"/>
        <i x="52" s="1" nd="1"/>
        <i x="55" s="1" nd="1"/>
        <i x="63" s="1" nd="1"/>
        <i x="53" s="1" nd="1"/>
        <i x="62" s="1" nd="1"/>
        <i x="67" s="1" nd="1"/>
        <i x="61" s="1" nd="1"/>
        <i x="64" s="1" nd="1"/>
        <i x="74" s="1" nd="1"/>
        <i x="60" s="1" nd="1"/>
        <i x="57" s="1" nd="1"/>
        <i x="58" s="1" nd="1"/>
        <i x="73" s="1" nd="1"/>
        <i x="66" s="1" nd="1"/>
        <i x="77" s="1" nd="1"/>
        <i x="72" s="1" nd="1"/>
        <i x="65" s="1" nd="1"/>
        <i x="89" s="1" nd="1"/>
        <i x="70" s="1" nd="1"/>
        <i x="80" s="1" nd="1"/>
        <i x="78" s="1" nd="1"/>
        <i x="68" s="1" nd="1"/>
        <i x="76" s="1" nd="1"/>
        <i x="75" s="1" nd="1"/>
        <i x="71" s="1" nd="1"/>
        <i x="81" s="1" nd="1"/>
        <i x="79" s="1" nd="1"/>
        <i x="82" s="1" nd="1"/>
        <i x="69" s="1" nd="1"/>
        <i x="84" s="1" nd="1"/>
        <i x="85" s="1" nd="1"/>
        <i x="92" s="1" nd="1"/>
        <i x="86" s="1" nd="1"/>
        <i x="87" s="1" nd="1"/>
        <i x="94" s="1" nd="1"/>
        <i x="93" s="1" nd="1"/>
        <i x="88" s="1" nd="1"/>
        <i x="91" s="1" nd="1"/>
        <i x="90" s="1" nd="1"/>
        <i x="7" s="1" nd="1"/>
        <i x="127"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6"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6" totalsRowShown="0">
  <autoFilter ref="B3:E16" xr:uid="{726F66F6-6434-425A-A910-C3CBF3339B20}"/>
  <tableColumns count="4">
    <tableColumn id="1" xr3:uid="{7A2445A9-BF1B-49FB-84BB-52F6CB270F38}" name="Party Name" dataDxfId="122">
      <calculatedColumnFormula>B26</calculatedColumnFormula>
    </tableColumn>
    <tableColumn id="2" xr3:uid="{7EDCC2ED-0339-42B3-9633-FFEA7A3DD9F3}" name="Tiyaar" dataDxfId="121">
      <calculatedColumnFormula>SUMIFS(ledger!G:G, ledger!B:B, B4, ledger!E:E, "&lt;&gt;*RD*") / 1.0936</calculatedColumnFormula>
    </tableColumn>
    <tableColumn id="3" xr3:uid="{CC1535DD-3FE7-4F55-8040-E7643388A78E}" name="Rate"/>
    <tableColumn id="4" xr3:uid="{059CB70B-ADAD-4985-84AA-0D530BAC5567}" name="Total" dataDxfId="120">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9" dataDxfId="118">
  <autoFilter ref="B7:E20" xr:uid="{449E5D32-DF9C-4018-96AB-CA98E118D910}"/>
  <tableColumns count="4">
    <tableColumn id="1" xr3:uid="{F663704C-91DD-4BB9-B7EB-EEB0C5EDED6C}" name="Description" dataDxfId="117"/>
    <tableColumn id="2" xr3:uid="{6D94D495-CD0B-4FD3-9771-81D731982A97}" name="Rate" dataDxfId="116" dataCellStyle="Comma"/>
    <tableColumn id="3" xr3:uid="{2D14CEAD-3602-40E7-A488-3584EBC9141E}" name="gazana" dataDxfId="115" dataCellStyle="Comma"/>
    <tableColumn id="4" xr3:uid="{06FEE63C-6480-4079-8426-51BC26B38B34}" name="sum" dataDxfId="114"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3" totalsRowDxfId="112"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1" dataDxfId="110" headerRowCellStyle="Comma" dataCellStyle="Comma">
  <autoFilter ref="B2:C5" xr:uid="{136E8F7F-D03F-4198-8335-91A003EA9E45}"/>
  <tableColumns count="2">
    <tableColumn id="1" xr3:uid="{279FA697-9952-479A-AC05-0D4992B41374}" name="Column1" dataDxfId="109" dataCellStyle="Comma"/>
    <tableColumn id="2" xr3:uid="{8A64998B-65EF-41CD-BCB0-3DDB7B359C54}" name="Column2" dataDxfId="108"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7"/>
    <tableColumn id="2" xr3:uid="{51D27FA2-8DDF-4369-BAF7-7D1FE90E16A0}" name="Column2" dataDxfId="10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5" totalsRowDxfId="104"/>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3">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84" totalsRowCount="1" headerRowDxfId="101" dataDxfId="100" headerRowCellStyle="Comma" dataCellStyle="Comma">
  <autoFilter ref="A1:K83" xr:uid="{11DACEC6-751B-4B1D-817F-5C5BCD38EF6D}"/>
  <tableColumns count="11">
    <tableColumn id="1" xr3:uid="{2FCE3FA8-A48C-4685-8919-AE44C6C71FD9}" name="Date" dataDxfId="99" dataCellStyle="Comma"/>
    <tableColumn id="2" xr3:uid="{5780FD5F-0890-44E6-B59C-8E37A559FE36}" name="Party Name" dataDxfId="98" dataCellStyle="Comma"/>
    <tableColumn id="3" xr3:uid="{5B3ECD85-9174-40AC-BFBD-49CAC97A83D3}" name="Bill Number" dataDxfId="97" dataCellStyle="Comma"/>
    <tableColumn id="4" xr3:uid="{11B50761-04B6-4262-AD4D-7182450037D1}" name="Quality" dataDxfId="96" dataCellStyle="Comma"/>
    <tableColumn id="5" xr3:uid="{2C556969-B713-4967-BD24-466AACCBE5F5}" name="Shipment Number" dataDxfId="95" totalsRowDxfId="94" dataCellStyle="Comma"/>
    <tableColumn id="6" xr3:uid="{F4E1FD2B-9017-4DEB-B772-BF447ECE56F7}" name="Kora/metre" dataDxfId="93" totalsRowDxfId="92" dataCellStyle="Comma"/>
    <tableColumn id="7" xr3:uid="{52ACC1DA-7A76-4A90-B809-3A1AE728E7EA}" name="Tiyaar/gaz" dataDxfId="91" totalsRowDxfId="90" dataCellStyle="Comma"/>
    <tableColumn id="8" xr3:uid="{31A0FF5E-56F0-44D1-9865-73256B964660}" name="shortage %" dataDxfId="89" totalsRowDxfId="88" dataCellStyle="Comma">
      <calculatedColumnFormula>_xlfn.XLOOKUP(Table1[[#This Row],[Shipment Number]], 'pivot '!A:A,'pivot '!G:G, "NF")</calculatedColumnFormula>
    </tableColumn>
    <tableColumn id="9" xr3:uid="{F99075E0-AC8E-094D-BB85-272AD2C6C568}" name="tiyar/meters" totalsRowFunction="custom" dataDxfId="87" totalsRowDxfId="86" dataCellStyle="Comma">
      <totalsRowFormula array="1">SUMPRODUCT( SUBTOTAL(109, OFFSET(Table1[tiyar/meters], ROW(Table1[tiyar/meters])-MIN(ROW(Table1[tiyar/meters])), 0, 1)), --(Table1[Bill Number]&lt;&gt;"August Closing CF") )</totalsRowFormula>
    </tableColumn>
    <tableColumn id="10" xr3:uid="{4B2AF87E-7D86-A946-B130-EA2852096C91}" name="billing" totalsRowFunction="custom" dataDxfId="85" totalsRowDxfId="84"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Number]&lt;&gt;"August Closing CF") )</totalsRowFormula>
    </tableColumn>
    <tableColumn id="11" xr3:uid="{0D198F0C-D2D3-4F75-9F3B-25A393B5D570}" name="Total Billing" totalsRowFunction="custom" dataDxfId="83" totalsRowDxfId="82" dataCellStyle="Comma">
      <totalsRowFormula>SUMIFS(Table1[billing], Table1[Bill Number], "&lt;&gt;August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49" totalsRowCount="1" headerRowDxfId="79" headerRowBorderDxfId="78" tableBorderDxfId="77">
  <autoFilter ref="A1:I48" xr:uid="{F8E8C957-ABE7-4E4F-8D4E-7D44E26B334F}"/>
  <tableColumns count="9">
    <tableColumn id="1" xr3:uid="{C2E817D6-AB98-4DDD-8890-736B27F261CD}" name="Date" totalsRowLabel="." dataDxfId="76" totalsRowDxfId="6"/>
    <tableColumn id="2" xr3:uid="{CFB51890-CCDC-463C-81C9-3F8BD7469CB9}" name="Party Name"/>
    <tableColumn id="3" xr3:uid="{A113D971-1C9D-4733-99C4-BD0CC4333209}" name="Vehicle Number"/>
    <tableColumn id="4" xr3:uid="{49780304-3DD1-4AE9-98EE-2BC7EB8F3B57}" name="Weight" dataDxfId="75" totalsRowDxfId="5" dataCellStyle="Comma"/>
    <tableColumn id="5" xr3:uid="{FCAF1BC6-1D8C-42AD-8BBC-F924BF2DC7FE}" name="Rate" dataDxfId="74" totalsRowDxfId="4" dataCellStyle="Comma"/>
    <tableColumn id="6" xr3:uid="{8C70A624-4134-410C-9C45-9FDEB51D51BF}" name="Rent" dataDxfId="73" totalsRowDxfId="3" dataCellStyle="Comma"/>
    <tableColumn id="7" xr3:uid="{EBCE10AE-9634-4982-9C95-37ABC8A7078C}" name="Total" totalsRowFunction="sum" dataDxfId="72" totalsRowDxfId="2" dataCellStyle="Comma">
      <calculatedColumnFormula>D2*E2</calculatedColumnFormula>
    </tableColumn>
    <tableColumn id="9" xr3:uid="{D4788559-C94A-44D9-B9AE-E72B214355AC}" name="Paid" totalsRowFunction="sum" dataDxfId="71" totalsRowDxfId="1" dataCellStyle="Comma"/>
    <tableColumn id="8" xr3:uid="{E26F5BF0-1875-4FC6-994D-49F202ED562B}" name="balance" totalsRowFunction="sum" dataDxfId="70" totalsRowDxfId="0"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229" totalsRowCount="1">
  <autoFilter ref="A1:G228" xr:uid="{CB032221-B416-47A8-9A76-693DE76CFD04}"/>
  <tableColumns count="7">
    <tableColumn id="1" xr3:uid="{554B1EED-65B6-4E9A-B646-82727FAC40DE}" name="Date" dataDxfId="68" totalsRowDxfId="10"/>
    <tableColumn id="2" xr3:uid="{32259059-42CF-4947-83DE-115AA430BE2B}" name="Party"/>
    <tableColumn id="3" xr3:uid="{A1320223-D55D-483C-91C3-AB19B95CC9D8}" name="Debit" totalsRowFunction="sum" dataDxfId="67" totalsRowDxfId="9" dataCellStyle="Comma"/>
    <tableColumn id="4" xr3:uid="{E9745767-9FF0-4B1C-9052-FF335D1D7588}" name="Credit" totalsRowFunction="sum" dataDxfId="66" totalsRowDxfId="8" dataCellStyle="Comma"/>
    <tableColumn id="5" xr3:uid="{5C88A48E-2467-4E6D-B626-2442B7FD0BE4}" name="Description"/>
    <tableColumn id="6" xr3:uid="{63CA4666-144E-4BE6-8B7C-7CB992BD3041}" name="Mode" totalsRowFunction="custom" dataDxfId="65" totalsRowDxfId="7">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64" tableBorderDxfId="63" totalsRowBorderDxfId="62">
  <autoFilter ref="J3:K6" xr:uid="{DCE01694-23ED-48BF-8B92-4186B9ED10A8}"/>
  <tableColumns count="2">
    <tableColumn id="1" xr3:uid="{C8484DAF-2989-4C2F-9AEC-A6917E1C57F6}" name="Type" dataDxfId="61"/>
    <tableColumn id="2" xr3:uid="{B07B7A2A-4D4E-4654-BED6-FE2F0A7BEC34}" name="Amount" dataDxfId="6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9" headerRowBorderDxfId="58" tableBorderDxfId="57" totalsRowBorderDxfId="56">
  <autoFilter ref="M3:O6" xr:uid="{D166BDD1-ACD7-45D7-8AE9-7350373F8CEB}"/>
  <tableColumns count="3">
    <tableColumn id="1" xr3:uid="{64F0205E-DEA7-4571-BA86-E4374A5FEE28}" name="Type" totalsRowLabel="Total" dataDxfId="55" totalsRowDxfId="54"/>
    <tableColumn id="2" xr3:uid="{15FA05F9-789C-4459-9BE0-5C1EC84D3365}" name="amount" totalsRowFunction="custom" dataDxfId="53" totalsRowDxfId="52">
      <totalsRowFormula>SUM(N5:N6)</totalsRowFormula>
    </tableColumn>
    <tableColumn id="3" xr3:uid="{3681D409-90C6-44D0-BDE2-4B5943A516F0}" name="Actual" totalsRowFunction="custom" totalsRowDxfId="51">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50" totalsRowDxfId="49"/>
    <tableColumn id="2" xr3:uid="{5B9D0FEE-4304-4C5C-A05C-5B27CF7841D3}" name="Type"/>
    <tableColumn id="3" xr3:uid="{6A91CA0D-C802-4C6F-9F39-CA53687E8EDE}" name="Description"/>
    <tableColumn id="4" xr3:uid="{A251D40C-AB87-4BB4-85F8-444B20E32FDF}" name="Total" totalsRowFunction="custom" dataDxfId="48" totalsRowDxfId="47"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15" totalsRowCount="1" headerRowDxfId="46" headerRowBorderDxfId="45">
  <autoFilter ref="A1:I14"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44"/>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43">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18:P41" totalsRowShown="0">
  <autoFilter ref="L18:P41"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3" totalsRowCount="1" headerRowDxfId="42" headerRowBorderDxfId="41">
  <autoFilter ref="A4:H12" xr:uid="{A4C80688-A8BA-4BA7-90B4-791CD99446B4}"/>
  <sortState xmlns:xlrd2="http://schemas.microsoft.com/office/spreadsheetml/2017/richdata2" ref="A5:H6">
    <sortCondition ref="A4:A6"/>
  </sortState>
  <tableColumns count="8">
    <tableColumn id="1" xr3:uid="{4A818912-918E-4111-ACFC-BC93FEF7C1AD}" name="Date" dataDxfId="40" totalsRowDxfId="39"/>
    <tableColumn id="8" xr3:uid="{477ACFD5-62AF-4F69-974B-E9B974C11D7D}" name="Party Name" dataDxfId="38"/>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37">
      <calculatedColumnFormula>Table2[[#This Row],[Quantity]]*250</calculatedColumnFormula>
    </tableColumn>
    <tableColumn id="6" xr3:uid="{30432929-CBD4-4BA8-B63F-CD0F6CF6405F}" name="Paid" totalsRowFunction="sum" dataDxfId="36">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35">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34" totalsRowDxfId="33"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32" totalsRowDxfId="31"/>
    <tableColumn id="2" xr3:uid="{053BFC14-4828-417C-9F9F-95B6E232A945}" name="Amount" totalsRowFunction="custom" dataDxfId="30" totalsRowDxfId="29"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28" totalsRowDxfId="27"/>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7" totalsRowDxfId="16"/>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15" totalsRowDxfId="14"/>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14" totalsRowShown="0">
  <autoFilter ref="A1:C14" xr:uid="{12993807-B770-4023-98E3-8834035352C5}"/>
  <tableColumns count="3">
    <tableColumn id="1" xr3:uid="{DF7536DF-F3D0-48F5-83DE-312320C1F7F4}" name="Party Name" dataDxfId="13">
      <calculatedColumnFormula>Billing!O5</calculatedColumnFormula>
    </tableColumn>
    <tableColumn id="2" xr3:uid="{7093A59E-B58F-487D-888A-9AA8156B5F9A}" name="Amount Paid" dataDxfId="12">
      <calculatedColumnFormula>Billing!W5</calculatedColumnFormula>
    </tableColumn>
    <tableColumn id="3" xr3:uid="{82D37DD3-FDA4-4C89-BBC6-89947894747E}" name="Balanc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4" totalsRowShown="0">
  <autoFilter ref="A1:B14" xr:uid="{EFFCFD9F-93FF-4AFC-90E2-CE42E8512CA2}"/>
  <tableColumns count="2">
    <tableColumn id="1" xr3:uid="{31AA849F-784A-4EE5-9A44-4DB4BC5751A0}" name="Party Names">
      <calculatedColumnFormula>Billing!O5</calculatedColumnFormula>
    </tableColumn>
    <tableColumn id="2" xr3:uid="{F72CFEEB-BA11-4A49-BD19-88592EB6A27C}" name="Credit" dataDxfId="11" dataCellStyle="Comma"/>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A34" zoomScale="103" workbookViewId="0">
      <selection activeCell="J45" sqref="J45"/>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6640625" bestFit="1" customWidth="1"/>
    <col min="10" max="10" width="12.109375" bestFit="1" customWidth="1"/>
    <col min="11" max="11" width="11.3320312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5.21875" customWidth="1"/>
    <col min="23" max="23" width="15.77734375" customWidth="1"/>
    <col min="24"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139421.1777615216</v>
      </c>
      <c r="D4">
        <v>10</v>
      </c>
      <c r="E4" s="14">
        <f>(SUMIFS(ledger!G:G, ledger!B:B, B4, ledger!E:E, "&lt;&gt;*RD*",ledger!D:D, "Silky") / 1.0936)*12 + (SUMIFS(ledger!G:G, ledger!B:B, B4, ledger!E:E, "&lt;&gt;*RD*",ledger!D:D, "Chamki") / 1.0936)*10</f>
        <v>1394595.8302852963</v>
      </c>
      <c r="I4" s="4" t="s">
        <v>9</v>
      </c>
      <c r="J4" s="5">
        <v>44059.985369422095</v>
      </c>
      <c r="K4" s="18">
        <v>470188.36869056337</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27881.309436722753</v>
      </c>
      <c r="D5">
        <v>10</v>
      </c>
      <c r="E5" s="14">
        <f>(SUMIFS(ledger!G:G, ledger!B:B, B5, ledger!E:E, "&lt;&gt;*RD*",ledger!D:D, "Silky") / 1.0936)*12 + (SUMIFS(ledger!G:G, ledger!B:B, B5, ledger!E:E, "&lt;&gt;*RD*",ledger!D:D, "Chamki") / 1.0936)*10</f>
        <v>278813.09436722752</v>
      </c>
      <c r="I5" s="4" t="s">
        <v>21</v>
      </c>
      <c r="J5" s="5">
        <v>139421.1777615216</v>
      </c>
      <c r="K5" s="18">
        <v>1394595.8302852963</v>
      </c>
      <c r="O5" s="25" t="str" cm="1">
        <f t="array" ref="O5:O16">_xlfn.UNIQUE(Table1[Party Name])</f>
        <v>BSC</v>
      </c>
      <c r="P5" s="23" cm="1">
        <f t="array" ref="P5">_xlfn.BYROW(B26,_xlfn.LAMBDA(_xlpm.party,SUMIFS(ledger!G:G,ledger!B:B,_xlpm.party,ledger!E:E,"&lt;&gt;*RD*")))+_xlfn.IFNA(C44,0)</f>
        <v>1342292</v>
      </c>
      <c r="Q5" s="23" cm="1">
        <f t="array" ref="Q5">_xlfn.BYROW(B26, _xlfn.LAMBDA(_xlpm.party, SUMIFS(ledger!G:G, ledger!B:B, _xlpm.party, ledger!E:E, "&lt;&gt;*RD*") / 1.0936 ))+_xlfn.IFNA(D44,0)</f>
        <v>1227406.7300658377</v>
      </c>
      <c r="R5" s="23" cm="1">
        <f t="array" ref="R5">(_xlfn.BYROW(B26,_xlfn.LAMBDA(_xlpm.party,SUMIFS(ledger!G:G,ledger!B:B,_xlpm.party,ledger!E:E,"&lt;&gt;*RD*",ledger!D:D,"Chamki")+SUMIFS(ledger!G:G, ledger!B:B, _xlpm.party, ledger!E:E, "&lt;&gt;*RD*", ledger!D:D, "Crinkle")))/1.0936)+_xlfn.IFNA(E44,0)</f>
        <v>1212662.7651792245</v>
      </c>
      <c r="S5" s="78" cm="1">
        <f t="array" ref="S5">(_xlfn.BYROW(B26,_xlfn.LAMBDA(_xlpm.party,SUMIFS(ledger!G:G,ledger!B:B,_xlpm.party,ledger!E:E,"&lt;&gt;*RD*",ledger!D:D,"Silky")))/1.0936)+_xlfn.IFNA(F44,0)</f>
        <v>14743.964886613023</v>
      </c>
      <c r="T5" s="23" cm="1">
        <f t="array" ref="T5">(_xlfn.BYROW(B26,_xlfn.LAMBDA(_xlpm.party,(SUMIFS(ledger!G:G,ledger!B:B,_xlpm.party,ledger!E:E,"&lt;&gt;*RD*",ledger!D:D, "Chamki")+SUMIFS(ledger!G:G, ledger!B:B, _xlpm.party, ledger!E:E, "&lt;&gt;*RD*", ledger!D:D, "Crinkle"))/1.0936))*L26)+_xlfn.IFNA(G44,0)</f>
        <v>12126627.651792247</v>
      </c>
      <c r="U5" s="23" cm="1">
        <f t="array" ref="U5">(_xlfn.BYROW(B26,_xlfn.LAMBDA(_xlpm.party,SUMIFS(ledger!G:G,ledger!B:B,_xlpm.party,ledger!E:E,"&lt;&gt;*RD*",ledger!D:D, "Silky")/1.0936))* 12)+_xlfn.IFNA(H44,0)</f>
        <v>176927.57863935624</v>
      </c>
      <c r="V5" s="44">
        <f>T5+U5</f>
        <v>12303555.230431603</v>
      </c>
      <c r="W5" s="23">
        <f>(SUMIF(Table14[Party],O5,Table14[Credit]))+_xlfn.IFNA(J44,0)</f>
        <v>9525316</v>
      </c>
      <c r="X5" s="97">
        <f>V5-W5</f>
        <v>2778239.2304316033</v>
      </c>
      <c r="Y5" s="22">
        <v>10</v>
      </c>
      <c r="Z5" s="22">
        <v>12</v>
      </c>
    </row>
    <row r="6" spans="2:26" x14ac:dyDescent="0.3">
      <c r="B6" t="str">
        <f t="shared" si="0"/>
        <v>Arshad</v>
      </c>
      <c r="C6" s="18">
        <f>SUMIFS(ledger!G:G, ledger!B:B, B6, ledger!E:E, "&lt;&gt;*RD*") / 1.0936</f>
        <v>44059.985369422095</v>
      </c>
      <c r="D6">
        <v>10</v>
      </c>
      <c r="E6" s="14">
        <f>(SUMIFS(ledger!G:G, ledger!B:B, B6, ledger!E:E, "&lt;&gt;*RD*",ledger!D:D, "Silky") / 1.0936)*12 + (SUMIFS(ledger!G:G, ledger!B:B, B6, ledger!E:E, "&lt;&gt;*RD*",ledger!D:D, "Chamki") / 1.0936)*10</f>
        <v>470188.36869056337</v>
      </c>
      <c r="I6" s="4" t="s">
        <v>22</v>
      </c>
      <c r="J6" s="5">
        <v>27881.309436722753</v>
      </c>
      <c r="K6" s="18">
        <v>278813.09436722752</v>
      </c>
      <c r="O6" s="25" t="str">
        <v>Ejaz Sahab</v>
      </c>
      <c r="P6" s="23" cm="1">
        <f t="array" ref="P6">_xlfn.BYROW(B27,_xlfn.LAMBDA(_xlpm.party,SUMIFS(ledger!G:G,ledger!B:B,_xlpm.party,ledger!E:E,"&lt;&gt;*RD*")))+_xlfn.IFNA(C45,0)</f>
        <v>124530</v>
      </c>
      <c r="Q6" s="23" cm="1">
        <f t="array" ref="Q6">_xlfn.BYROW(B27, _xlfn.LAMBDA(_xlpm.party, SUMIFS(ledger!G:G, ledger!B:B, _xlpm.party, ledger!E:E, "&lt;&gt;*RD*") / 1.0936 ))+_xlfn.IFNA(D45,0)</f>
        <v>113871.61667885882</v>
      </c>
      <c r="R6" s="23" cm="1">
        <f t="array" ref="R6">(_xlfn.BYROW(B27,_xlfn.LAMBDA(_xlpm.party,SUMIFS(ledger!G:G,ledger!B:B,_xlpm.party,ledger!E:E,"&lt;&gt;*RD*",ledger!D:D,"Chamki")+SUMIFS(ledger!G:G, ledger!B:B, _xlpm.party, ledger!E:E, "&lt;&gt;*RD*", ledger!D:D, "Crinkle")))/1.0936)+_xlfn.IFNA(E45,0)</f>
        <v>113871.61667885882</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1138716.1667885883</v>
      </c>
      <c r="U6" s="23" cm="1">
        <f t="array" ref="U6">(_xlfn.BYROW(B27,_xlfn.LAMBDA(_xlpm.party,SUMIFS(ledger!G:G,ledger!B:B,_xlpm.party,ledger!E:E,"&lt;&gt;*RD*",ledger!D:D, "Silky")/1.0936))* 12)+_xlfn.IFNA(H45,0)</f>
        <v>0</v>
      </c>
      <c r="V6" s="44">
        <f t="shared" ref="V6:V12" si="1">T6+U6</f>
        <v>1138716.1667885883</v>
      </c>
      <c r="W6" s="23">
        <f>(SUMIF(Table14[Party],O6,Table14[Credit]))+_xlfn.IFNA(J45,0)</f>
        <v>859904</v>
      </c>
      <c r="X6" s="97">
        <f>V6-W6</f>
        <v>278812.16678858828</v>
      </c>
      <c r="Y6" s="22">
        <v>10</v>
      </c>
      <c r="Z6" s="22">
        <v>12</v>
      </c>
    </row>
    <row r="7" spans="2:26" x14ac:dyDescent="0.3">
      <c r="B7" t="str">
        <f t="shared" si="0"/>
        <v>Shehzad Kamoki</v>
      </c>
      <c r="C7" s="18">
        <f>SUMIFS(ledger!G:G, ledger!B:B, B7, ledger!E:E, "&lt;&gt;*RD*") / 1.0936</f>
        <v>9793.3430870519387</v>
      </c>
      <c r="D7">
        <v>10.5</v>
      </c>
      <c r="E7" s="14">
        <f>(SUMIFS(ledger!G:G, ledger!B:B, B7, ledger!E:E, "&lt;&gt;*RD*",ledger!D:D, "Silky") / 1.0936)*12 + (SUMIFS(ledger!G:G, ledger!B:B, B7, ledger!E:E, "&lt;&gt;*RD*",ledger!D:D, "Chamki") / 1.0936)*10.5</f>
        <v>102830.10241404535</v>
      </c>
      <c r="I7" s="4" t="s">
        <v>23</v>
      </c>
      <c r="J7" s="5">
        <v>9793.3430870519387</v>
      </c>
      <c r="K7" s="18">
        <v>102830.10241404535</v>
      </c>
      <c r="O7" s="25" t="str">
        <v>Arshad</v>
      </c>
      <c r="P7" s="23" cm="1">
        <f t="array" ref="P7">_xlfn.BYROW(B28,_xlfn.LAMBDA(_xlpm.party,SUMIFS(ledger!G:G,ledger!B:B,_xlpm.party,ledger!E:E,"&lt;&gt;*RD*")))+_xlfn.IFNA(C46,0)</f>
        <v>205292</v>
      </c>
      <c r="Q7" s="23" cm="1">
        <f t="array" ref="Q7">_xlfn.BYROW(B28, _xlfn.LAMBDA(_xlpm.party, SUMIFS(ledger!G:G, ledger!B:B, _xlpm.party, ledger!E:E, "&lt;&gt;*RD*") / 1.0936 ))+_xlfn.IFNA(D46,0)</f>
        <v>187721.2874908559</v>
      </c>
      <c r="R7" s="23" cm="1">
        <f t="array" ref="R7">(_xlfn.BYROW(B28,_xlfn.LAMBDA(_xlpm.party,SUMIFS(ledger!G:G,ledger!B:B,_xlpm.party,ledger!E:E,"&lt;&gt;*RD*",ledger!D:D,"Chamki")+SUMIFS(ledger!G:G, ledger!B:B, _xlpm.party, ledger!E:E, "&lt;&gt;*RD*", ledger!D:D, "Crinkle")))/1.0936)+_xlfn.IFNA(E46,0)</f>
        <v>172927.02999268472</v>
      </c>
      <c r="S7" s="78" cm="1">
        <f t="array" ref="S7">(_xlfn.BYROW(B28,_xlfn.LAMBDA(_xlpm.party,SUMIFS(ledger!G:G,ledger!B:B,_xlpm.party,ledger!E:E,"&lt;&gt;*RD*",ledger!D:D,"Silky")))/1.0936)+_xlfn.IFNA(F46,0)</f>
        <v>14794.257498171179</v>
      </c>
      <c r="T7" s="23" cm="1">
        <f t="array" ref="T7">(_xlfn.BYROW(B28,_xlfn.LAMBDA(_xlpm.party,(SUMIFS(ledger!G:G,ledger!B:B,_xlpm.party,ledger!E:E,"&lt;&gt;*RD*",ledger!D:D, "Chamki")+SUMIFS(ledger!G:G, ledger!B:B, _xlpm.party, ledger!E:E, "&lt;&gt;*RD*", ledger!D:D, "Crinkle"))/1.0936))*L28)+_xlfn.IFNA(G46,0)</f>
        <v>1729270.2999268472</v>
      </c>
      <c r="U7" s="23" cm="1">
        <f t="array" ref="U7">(_xlfn.BYROW(B28,_xlfn.LAMBDA(_xlpm.party,SUMIFS(ledger!G:G,ledger!B:B,_xlpm.party,ledger!E:E,"&lt;&gt;*RD*",ledger!D:D, "Silky")/1.0936))* 12)+_xlfn.IFNA(H46,0)</f>
        <v>177531.08997805414</v>
      </c>
      <c r="V7" s="44">
        <f t="shared" si="1"/>
        <v>1906801.3899049014</v>
      </c>
      <c r="W7" s="23">
        <f>(SUMIF(Table14[Party],O7,Table14[Credit]))+_xlfn.IFNA(J46,0)</f>
        <v>1833701</v>
      </c>
      <c r="X7" s="97">
        <f>V7-W7</f>
        <v>73100.389904901385</v>
      </c>
      <c r="Y7" s="22">
        <v>10</v>
      </c>
      <c r="Z7" s="22">
        <v>12</v>
      </c>
    </row>
    <row r="8" spans="2:26" x14ac:dyDescent="0.3">
      <c r="B8" t="str">
        <f t="shared" si="0"/>
        <v>Sufi Nawaz Sahab</v>
      </c>
      <c r="C8" s="18">
        <f>SUMIFS(ledger!G:G, ledger!B:B, B8, ledger!E:E, "&lt;&gt;*RD*") / 1.0936</f>
        <v>318134.60131675203</v>
      </c>
      <c r="D8">
        <v>10</v>
      </c>
      <c r="E8" s="14">
        <f>((SUMIFS(ledger!G:G, ledger!B:B, B8, ledger!E:E, "&lt;&gt;*RD*",ledger!D:D, "Silky") / 1.0936) *12) + ((SUMIFS(ledger!G:G, ledger!B:B, B8, ledger!E:E, "&lt;&gt;*RD*",ledger!D:D, "Chamki") / 1.0936)* 9)</f>
        <v>3469858.2662765183</v>
      </c>
      <c r="I8" s="4">
        <v>0</v>
      </c>
      <c r="J8" s="5">
        <v>0</v>
      </c>
      <c r="K8" s="18">
        <v>0</v>
      </c>
      <c r="O8" s="25" t="str">
        <v>Shehzad Kamoki</v>
      </c>
      <c r="P8" s="23" cm="1">
        <f t="array" ref="P8">_xlfn.BYROW(B29,_xlfn.LAMBDA(_xlpm.party,SUMIFS(ledger!G:G,ledger!B:B,_xlpm.party,ledger!E:E,"&lt;&gt;*RD*")))+_xlfn.IFNA(C47,0)</f>
        <v>130405</v>
      </c>
      <c r="Q8" s="23" cm="1">
        <f t="array" ref="Q8">_xlfn.BYROW(B29, _xlfn.LAMBDA(_xlpm.party, SUMIFS(ledger!G:G, ledger!B:B, _xlpm.party, ledger!E:E, "&lt;&gt;*RD*") / 1.0936 ))+_xlfn.IFNA(D47,0)</f>
        <v>119243.78200438918</v>
      </c>
      <c r="R8" s="23" cm="1">
        <f t="array" ref="R8">(_xlfn.BYROW(B29,_xlfn.LAMBDA(_xlpm.party,SUMIFS(ledger!G:G,ledger!B:B,_xlpm.party,ledger!E:E,"&lt;&gt;*RD*",ledger!D:D,"Chamki")+SUMIFS(ledger!G:G, ledger!B:B, _xlpm.party, ledger!E:E, "&lt;&gt;*RD*", ledger!D:D, "Crinkle")))/1.0936)+_xlfn.IFNA(E47,0)</f>
        <v>119243.78200438918</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f>
        <v>1228925.6110460863</v>
      </c>
      <c r="U8" s="23" cm="1">
        <f t="array" ref="U8">(_xlfn.BYROW(B29,_xlfn.LAMBDA(_xlpm.party,SUMIFS(ledger!G:G,ledger!B:B,_xlpm.party,ledger!E:E,"&lt;&gt;*RD*",ledger!D:D, "Silky")/1.0936))* 12)+_xlfn.IFNA(H47,0)</f>
        <v>0</v>
      </c>
      <c r="V8" s="44">
        <f t="shared" si="1"/>
        <v>1228925.6110460863</v>
      </c>
      <c r="W8" s="23">
        <f>(SUMIF(Table14[Party],O8,Table14[Credit]))+_xlfn.IFNA(J47,0)</f>
        <v>1267240</v>
      </c>
      <c r="X8" s="97">
        <f t="shared" ref="X8:X17" si="2">V8-W8</f>
        <v>-38314.388953913702</v>
      </c>
      <c r="Y8" s="22">
        <v>10.5</v>
      </c>
      <c r="Z8" s="22">
        <v>13</v>
      </c>
    </row>
    <row r="9" spans="2:26" x14ac:dyDescent="0.3">
      <c r="B9" t="str">
        <f t="shared" si="0"/>
        <v>Sajad Khan</v>
      </c>
      <c r="C9" s="18">
        <f>SUMIFS(ledger!G:G, ledger!B:B, B9, ledger!E:E, "&lt;&gt;*RD*") / 1.0936</f>
        <v>75033.833211411853</v>
      </c>
      <c r="D9">
        <v>10</v>
      </c>
      <c r="E9" s="14" cm="1">
        <f t="array" ref="E9">(SUMIFS(ledger!G:G, ledger!B:B, B9, ledger!E:E, "&lt;&gt;*RD*",ledger!D:D, "Silky") / 1.0936)*12 + (SUMIFS(ledger!G:G, ledger!B:B, B9, ledger!E:E, "&lt;&gt;*RD*",ledger!D:D, "Chamki") / 1.0936)*10 +(SUMIFS(ledger!G:G, ledger!B:B, party, ledger!E:E, "&lt;&gt;*RD*", ledger!D:D, "Crinkle")/ 1.0936)*10</f>
        <v>750338.3321141185</v>
      </c>
      <c r="I9" s="4" t="s">
        <v>24</v>
      </c>
      <c r="J9" s="5">
        <v>318134.60131675203</v>
      </c>
      <c r="K9" s="18">
        <v>3469858.2662765183</v>
      </c>
      <c r="O9" s="25" t="str">
        <v>Sufi Nawaz Sahab</v>
      </c>
      <c r="P9" s="23" cm="1">
        <f t="array" ref="P9">_xlfn.BYROW(B30,_xlfn.LAMBDA(_xlpm.party,SUMIFS(ledger!G:G,ledger!B:B,_xlpm.party,ledger!E:E,"&lt;&gt;*RD*")))+_xlfn.IFNA(C48,0)</f>
        <v>979271</v>
      </c>
      <c r="Q9" s="23" cm="1">
        <f t="array" ref="Q9">_xlfn.BYROW(B30, _xlfn.LAMBDA(_xlpm.party, SUMIFS(ledger!G:G, ledger!B:B, _xlpm.party, ledger!E:E, "&lt;&gt;*RD*") / 1.0936 ))+_xlfn.IFNA(D48,0)</f>
        <v>895456.2911485004</v>
      </c>
      <c r="R9" s="23" cm="1">
        <f t="array" ref="R9">(_xlfn.BYROW(B30,_xlfn.LAMBDA(_xlpm.party,SUMIFS(ledger!G:G,ledger!B:B,_xlpm.party,ledger!E:E,"&lt;&gt;*RD*",ledger!D:D,"Chamki")+SUMIFS(ledger!G:G, ledger!B:B, _xlpm.party, ledger!E:E, "&lt;&gt;*RD*", ledger!D:D, "Crinkle")))/1.0936)+_xlfn.IFNA(E48,0)</f>
        <v>475322.78712509153</v>
      </c>
      <c r="S9" s="78" cm="1">
        <f t="array" ref="S9">(_xlfn.BYROW(B30,_xlfn.LAMBDA(_xlpm.party,SUMIFS(ledger!G:G,ledger!B:B,_xlpm.party,ledger!E:E,"&lt;&gt;*RD*",ledger!D:D,"Silky")))/1.0936)+_xlfn.IFNA(F48,0)</f>
        <v>420133.50402340892</v>
      </c>
      <c r="T9" s="23" cm="1">
        <f t="array" ref="T9">(_xlfn.BYROW(B30,_xlfn.LAMBDA(_xlpm.party,(SUMIFS(ledger!G:G,ledger!B:B,_xlpm.party,ledger!E:E,"&lt;&gt;*RD*",ledger!D:D, "Chamki")+SUMIFS(ledger!G:G, ledger!B:B, _xlpm.party, ledger!E:E, "&lt;&gt;*RD*", ledger!D:D, "Crinkle"))/1.0936))*L30)+_xlfn.IFNA(G48,0)</f>
        <v>4277905.0841258233</v>
      </c>
      <c r="U9" s="23" cm="1">
        <f t="array" ref="U9">(_xlfn.BYROW(B30,_xlfn.LAMBDA(_xlpm.party,SUMIFS(ledger!G:G,ledger!B:B,_xlpm.party,ledger!E:E,"&lt;&gt;*RD*",ledger!D:D, "Silky")/1.0936))* 12)+_xlfn.IFNA(H48,0)</f>
        <v>5041602.0482809078</v>
      </c>
      <c r="V9" s="44">
        <f t="shared" si="1"/>
        <v>9319507.1324067302</v>
      </c>
      <c r="W9" s="23">
        <f>(SUMIF(Table14[Party],O9,Table14[Credit]))+_xlfn.IFNA(J48,0)</f>
        <v>8129100</v>
      </c>
      <c r="X9" s="97">
        <f t="shared" si="2"/>
        <v>1190407.1324067302</v>
      </c>
      <c r="Y9" s="22">
        <v>9</v>
      </c>
      <c r="Z9" s="22">
        <v>12</v>
      </c>
    </row>
    <row r="10" spans="2:26" x14ac:dyDescent="0.3">
      <c r="B10" t="str">
        <f t="shared" si="0"/>
        <v>Raaz Fabrics</v>
      </c>
      <c r="C10" s="18">
        <f>SUMIFS(ledger!G:G, ledger!B:B, B10, ledger!E:E, "&lt;&gt;*RD*") / 1.0936</f>
        <v>23509.509875640091</v>
      </c>
      <c r="D10">
        <v>10</v>
      </c>
      <c r="E10" s="14">
        <f>(SUMIFS(ledger!G:G, ledger!B:B, B10, ledger!E:E, "&lt;&gt;*RD*",ledger!D:D, "Silky") / 1.0936)*12 + (SUMIFS(ledger!G:G, ledger!B:B, B10, ledger!E:E, "&lt;&gt;*RD*",ledger!D:D, "chamki") / 1.0936)*10 +(SUMIFS(ledger!G:G, ledger!B:B, B10, ledger!E:E, "&lt;&gt;*RD*",ledger!D:D, "Crinkle") / 1.0936)*10</f>
        <v>235095.09875640093</v>
      </c>
      <c r="I10" s="4" t="s">
        <v>25</v>
      </c>
      <c r="J10" s="5">
        <v>75033.833211411853</v>
      </c>
      <c r="K10" s="18">
        <v>750338.3321141185</v>
      </c>
      <c r="O10" s="25" t="str">
        <v>Sajad Khan</v>
      </c>
      <c r="P10" s="23" cm="1">
        <f t="array" ref="P10">_xlfn.BYROW(B31,_xlfn.LAMBDA(_xlpm.party,SUMIFS(ledger!G:G,ledger!B:B,_xlpm.party,ledger!E:E,"&lt;&gt;*RD*")))+_xlfn.IFNA(C49,0)</f>
        <v>356613</v>
      </c>
      <c r="Q10" s="23" cm="1">
        <f t="array" ref="Q10">_xlfn.BYROW(B31, _xlfn.LAMBDA(_xlpm.party, SUMIFS(ledger!G:G, ledger!B:B, _xlpm.party, ledger!E:E, "&lt;&gt;*RD*") / 1.0936 ))+_xlfn.IFNA(D49,0)</f>
        <v>326090.89246525237</v>
      </c>
      <c r="R10" s="23" cm="1">
        <f t="array" ref="R10">(_xlfn.BYROW(B31,_xlfn.LAMBDA(_xlpm.party,SUMIFS(ledger!G:G,ledger!B:B,_xlpm.party,ledger!E:E,"&lt;&gt;*RD*",ledger!D:D,"Chamki")+SUMIFS(ledger!G:G, ledger!B:B, _xlpm.party, ledger!E:E, "&lt;&gt;*RD*", ledger!D:D, "Crinkle")))/1.0936)+_xlfn.IFNA(E49,0)</f>
        <v>326090.89246525237</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3260908.9246525238</v>
      </c>
      <c r="U10" s="23" cm="1">
        <f t="array" ref="U10">(_xlfn.BYROW(B31,_xlfn.LAMBDA(_xlpm.party,SUMIFS(ledger!G:G,ledger!B:B,_xlpm.party,ledger!E:E,"&lt;&gt;*RD*",ledger!D:D, "Silky")/1.0936))* 12)+_xlfn.IFNA(H49,0)</f>
        <v>0</v>
      </c>
      <c r="V10" s="44">
        <f t="shared" si="1"/>
        <v>3260908.9246525238</v>
      </c>
      <c r="W10" s="23">
        <f>(SUMIF(Table14[Party],O10,Table14[Credit]))+_xlfn.IFNA(J49,0)</f>
        <v>2700000</v>
      </c>
      <c r="X10" s="97">
        <f t="shared" si="2"/>
        <v>560908.92465252383</v>
      </c>
      <c r="Y10" s="22">
        <v>10</v>
      </c>
      <c r="Z10" s="22">
        <v>12</v>
      </c>
    </row>
    <row r="11" spans="2:26" x14ac:dyDescent="0.3">
      <c r="B11" t="str">
        <f t="shared" si="0"/>
        <v>Azam</v>
      </c>
      <c r="C11" s="18">
        <f>SUMIFS(ledger!G:G, ledger!B:B, B11, ledger!E:E, "&lt;&gt;*RD*") / 1.0936</f>
        <v>96059.802487198249</v>
      </c>
      <c r="D11">
        <v>10</v>
      </c>
      <c r="E11" s="14">
        <f>(SUMIFS(ledger!G:G, ledger!B:B, B11, ledger!E:E, "&lt;&gt;*RD*",ledger!D:D, "Silky") / 1.0936)*12 + (SUMIFS(ledger!G:G, ledger!B:B, B11, ledger!E:E, "&lt;&gt;*RD*",ledger!D:D, "Chamki") / 1.0936)*10</f>
        <v>960598.02487198252</v>
      </c>
      <c r="I11" s="4" t="s">
        <v>26</v>
      </c>
      <c r="J11" s="5">
        <v>23509.509875640091</v>
      </c>
      <c r="K11" s="18">
        <v>235095.09875640093</v>
      </c>
      <c r="O11" s="25" t="str">
        <v>Raaz Fabrics</v>
      </c>
      <c r="P11" s="23" cm="1">
        <f t="array" ref="P11">_xlfn.BYROW(B32,_xlfn.LAMBDA(_xlpm.party,SUMIFS(ledger!G:G,ledger!B:B,_xlpm.party,ledger!E:E,"&lt;&gt;*RD*")))+_xlfn.IFNA(C50,0)</f>
        <v>75559</v>
      </c>
      <c r="Q11" s="23" cm="1">
        <f t="array" ref="Q11">_xlfn.BYROW(B32, _xlfn.LAMBDA(_xlpm.party, SUMIFS(ledger!G:G, ledger!B:B, _xlpm.party, ledger!E:E, "&lt;&gt;*RD*") / 1.0936 ))+_xlfn.IFNA(D50,0)</f>
        <v>69091.989758595475</v>
      </c>
      <c r="R11" s="23" cm="1">
        <f t="array" ref="R11">(_xlfn.BYROW(B32,_xlfn.LAMBDA(_xlpm.party,SUMIFS(ledger!G:G,ledger!B:B,_xlpm.party,ledger!E:E,"&lt;&gt;*RD*",ledger!D:D,"Chamki")+SUMIFS(ledger!G:G, ledger!B:B, _xlpm.party, ledger!E:E, "&lt;&gt;*RD*", ledger!D:D, "Crinkle")))/1.0936)+_xlfn.IFNA(E50,0)</f>
        <v>69091.989758595475</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690919.89758595475</v>
      </c>
      <c r="U11" s="23" cm="1">
        <f t="array" ref="U11">(_xlfn.BYROW(B32,_xlfn.LAMBDA(_xlpm.party,SUMIFS(ledger!G:G,ledger!B:B,_xlpm.party,ledger!E:E,"&lt;&gt;*RD*",ledger!D:D, "Silky")/1.0936))* 12)+_xlfn.IFNA(H50,0)</f>
        <v>0</v>
      </c>
      <c r="V11" s="44">
        <f t="shared" si="1"/>
        <v>690919.89758595475</v>
      </c>
      <c r="W11" s="23">
        <f>(SUMIF(Table14[Party],O11,Table14[Credit]))+_xlfn.IFNA(J50,0)</f>
        <v>600000</v>
      </c>
      <c r="X11" s="97">
        <f t="shared" si="2"/>
        <v>90919.89758595475</v>
      </c>
      <c r="Y11" s="22">
        <v>10</v>
      </c>
      <c r="Z11" s="22">
        <v>12</v>
      </c>
    </row>
    <row r="12" spans="2:26" x14ac:dyDescent="0.3">
      <c r="B12" t="str">
        <f t="shared" ref="B12:B13" si="3">B34</f>
        <v>Ubaidullah</v>
      </c>
      <c r="C12" s="18">
        <f>SUMIFS(ledger!G:G, ledger!B:B, B12, ledger!E:E, "&lt;&gt;*RD*") / 1.0936</f>
        <v>15599.853694220923</v>
      </c>
      <c r="D12">
        <v>10</v>
      </c>
      <c r="E12" s="14">
        <f>(SUMIFS(ledger!G:G, ledger!B:B, B12, ledger!E:E, "&lt;&gt;*RD*",ledger!D:D, "Silky") / 1.0936)*12 + (SUMIFS(ledger!G:G, ledger!B:B, B12, ledger!E:E, "&lt;&gt;*RD*",ledger!D:D, "Chamki") / 1.0936)*10</f>
        <v>155998.53694220923</v>
      </c>
      <c r="I12" s="4" t="s">
        <v>27</v>
      </c>
      <c r="J12" s="5">
        <v>0</v>
      </c>
      <c r="K12" s="18">
        <v>0</v>
      </c>
      <c r="M12" s="33"/>
      <c r="N12" s="33"/>
      <c r="O12" s="25" t="str">
        <v>Azam</v>
      </c>
      <c r="P12" s="23" cm="1">
        <f t="array" ref="P12">_xlfn.BYROW(B33,_xlfn.LAMBDA(_xlpm.party,SUMIFS(ledger!G:G,ledger!B:B,_xlpm.party,ledger!E:E,"&lt;&gt;*RD*")))+_xlfn.IFNA(C51,0)</f>
        <v>133600</v>
      </c>
      <c r="Q12" s="23" cm="1">
        <f t="array" ref="Q12">_xlfn.BYROW(B33, _xlfn.LAMBDA(_xlpm.party, SUMIFS(ledger!G:G, ledger!B:B, _xlpm.party, ledger!E:E, "&lt;&gt;*RD*") / 1.0936 ))+_xlfn.IFNA(D51,0)</f>
        <v>122165.32553035846</v>
      </c>
      <c r="R12" s="23" cm="1">
        <f t="array" ref="R12">(_xlfn.BYROW(B33,_xlfn.LAMBDA(_xlpm.party,SUMIFS(ledger!G:G,ledger!B:B,_xlpm.party,ledger!E:E,"&lt;&gt;*RD*",ledger!D:D,"Chamki")+SUMIFS(ledger!G:G, ledger!B:B, _xlpm.party, ledger!E:E, "&lt;&gt;*RD*", ledger!D:D, "Crinkle")))/1.0936)+_xlfn.IFNA(E51,0)</f>
        <v>122165.32553035846</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1221653.2553035845</v>
      </c>
      <c r="U12" s="23" cm="1">
        <f t="array" ref="U12">(_xlfn.BYROW(B33,_xlfn.LAMBDA(_xlpm.party,SUMIFS(ledger!G:G,ledger!B:B,_xlpm.party,ledger!E:E,"&lt;&gt;*RD*",ledger!D:D, "Silky")/1.0936))* 12)+_xlfn.IFNA(H51,0)</f>
        <v>0</v>
      </c>
      <c r="V12" s="44">
        <f t="shared" si="1"/>
        <v>1221653.2553035845</v>
      </c>
      <c r="W12" s="23">
        <f>(SUMIF(Table14[Party],O12,Table14[Credit]))+_xlfn.IFNA(J51,0)</f>
        <v>1200000</v>
      </c>
      <c r="X12" s="97">
        <f t="shared" si="2"/>
        <v>21653.255303584505</v>
      </c>
      <c r="Y12" s="22">
        <v>10</v>
      </c>
      <c r="Z12" s="22">
        <v>12</v>
      </c>
    </row>
    <row r="13" spans="2:26" x14ac:dyDescent="0.3">
      <c r="B13" t="str">
        <f t="shared" si="3"/>
        <v>Ashraf Zia</v>
      </c>
      <c r="C13" s="18">
        <f>SUMIFS(ledger!G:G, ledger!B:B, B13, ledger!E:E, "&lt;&gt;*RD*") / 1.0936</f>
        <v>0</v>
      </c>
      <c r="D13">
        <v>12</v>
      </c>
      <c r="E13" s="14">
        <f>(SUMIFS(ledger!G:G, ledger!B:B, B13, ledger!E:E, "&lt;&gt;*RD*",ledger!D:D, "Silky") / 1.0936)*12 + (SUMIFS(ledger!G:G, ledger!B:B, B13, ledger!E:E, "&lt;&gt;*RD*",ledger!D:D, "Chamki") / 1.0936)*10</f>
        <v>0</v>
      </c>
      <c r="I13" s="4" t="s">
        <v>35</v>
      </c>
      <c r="J13" s="5">
        <v>15599.853694220923</v>
      </c>
      <c r="K13" s="18">
        <v>155998.53694220923</v>
      </c>
      <c r="O13" s="25" t="str">
        <v>Ubaidullah</v>
      </c>
      <c r="P13" s="23" cm="1">
        <f t="array" ref="P13">_xlfn.BYROW(B34,_xlfn.LAMBDA(_xlpm.party,SUMIFS(ledger!G:G,ledger!B:B,_xlpm.party,ledger!E:E,"&lt;&gt;*RD*")))+_xlfn.IFNA(C52,0)</f>
        <v>49353</v>
      </c>
      <c r="Q13" s="23" cm="1">
        <f t="array" ref="Q13">_xlfn.BYROW(B34, _xlfn.LAMBDA(_xlpm.party, SUMIFS(ledger!G:G, ledger!B:B, _xlpm.party, ledger!E:E, "&lt;&gt;*RD*") / 1.0936 ))+_xlfn.IFNA(D52,0)</f>
        <v>45128.931967812736</v>
      </c>
      <c r="R13" s="23" cm="1">
        <f t="array" ref="R13">(_xlfn.BYROW(B34,_xlfn.LAMBDA(_xlpm.party,SUMIFS(ledger!G:G,ledger!B:B,_xlpm.party,ledger!E:E,"&lt;&gt;*RD*",ledger!D:D,"Chamki")+SUMIFS(ledger!G:G, ledger!B:B, _xlpm.party, ledger!E:E, "&lt;&gt;*RD*", ledger!D:D, "Crinkle")))/1.0936)+_xlfn.IFNA(E52,0)</f>
        <v>45128.931967812736</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451289.31967812736</v>
      </c>
      <c r="U13" s="23" cm="1">
        <f t="array" ref="U13">(_xlfn.BYROW(B34,_xlfn.LAMBDA(_xlpm.party,SUMIFS(ledger!G:G,ledger!B:B,_xlpm.party,ledger!E:E,"&lt;&gt;*RD*",ledger!D:D, "Silky")/1.0936))* 12)+_xlfn.IFNA(H52,0)</f>
        <v>0</v>
      </c>
      <c r="V13" s="44">
        <f t="shared" ref="V13:V17" si="4">T13+U13</f>
        <v>451289.31967812736</v>
      </c>
      <c r="W13" s="23">
        <f>(SUMIF(Table14[Party],O13,Table14[Credit]))+_xlfn.IFNA(J52,0)</f>
        <v>451150</v>
      </c>
      <c r="X13" s="97">
        <f t="shared" si="2"/>
        <v>139.3196781273582</v>
      </c>
      <c r="Y13" s="22">
        <v>10</v>
      </c>
      <c r="Z13" s="22">
        <v>12</v>
      </c>
    </row>
    <row r="14" spans="2:26" x14ac:dyDescent="0.3">
      <c r="B14" t="str">
        <f>B36</f>
        <v>Hafiz Qureshi</v>
      </c>
      <c r="C14" s="18">
        <f>SUMIFS(ledger!G:G, ledger!B:B, B14, ledger!E:E, "&lt;&gt;*RD*") / 1.0936</f>
        <v>0</v>
      </c>
      <c r="E14" s="14">
        <f>(SUMIFS(ledger!G:G, ledger!B:B, B14, ledger!E:E, "&lt;&gt;*RD*",ledger!D:D, "Silky") / 1.0936)*12 + (SUMIFS(ledger!G:G, ledger!B:B, B14, ledger!E:E, "&lt;&gt;*RD*",ledger!D:D, "Chamki") / 1.0936)*10</f>
        <v>0</v>
      </c>
      <c r="I14" s="4" t="s">
        <v>157</v>
      </c>
      <c r="J14" s="5">
        <v>0</v>
      </c>
      <c r="K14" s="18">
        <v>0</v>
      </c>
      <c r="O14" s="25"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t="str">
        <f>B37</f>
        <v>Badshah Fabrics</v>
      </c>
      <c r="C15" s="18">
        <f>SUMIFS(ledger!G:G, ledger!B:B, B15, ledger!E:E, "&lt;&gt;*RD*") / 1.0936</f>
        <v>114331.56547183615</v>
      </c>
      <c r="E15" s="14">
        <f>(SUMIFS(ledger!G:G, ledger!B:B, B15, ledger!E:E, "&lt;&gt;*RD*",ledger!D:D, "Silky") / 1.0936)*12 + (SUMIFS(ledger!G:G, ledger!B:B, B15, ledger!E:E, "&lt;&gt;*RD*",ledger!D:D, "Chamki") / 1.0936)*10</f>
        <v>1203551.5727871251</v>
      </c>
      <c r="I15" s="4" t="s">
        <v>162</v>
      </c>
      <c r="J15" s="5">
        <v>96059.802487198249</v>
      </c>
      <c r="K15" s="18">
        <v>960598.02487198252</v>
      </c>
      <c r="O15" s="25" t="str">
        <v>Hafiz Qureshi</v>
      </c>
      <c r="P15" s="23" cm="1">
        <f t="array" ref="P15">_xlfn.BYROW(B36,_xlfn.LAMBDA(_xlpm.party,SUMIFS(ledger!G:G,ledger!B:B,_xlpm.party,ledger!E:E,"&lt;&gt;*RD*")))+_xlfn.IFNA(C54,0)</f>
        <v>21807</v>
      </c>
      <c r="Q15" s="23" cm="1">
        <f t="array" ref="Q15">_xlfn.BYROW(B36, _xlfn.LAMBDA(_xlpm.party, SUMIFS(ledger!G:G, ledger!B:B, _xlpm.party, ledger!E:E, "&lt;&gt;*RD*") / 1.0936 ))+_xlfn.IFNA(D54,0)</f>
        <v>19940.563277249454</v>
      </c>
      <c r="R15" s="23" cm="1">
        <f t="array" ref="R15">(_xlfn.BYROW(B36,_xlfn.LAMBDA(_xlpm.party,SUMIFS(ledger!G:G,ledger!B:B,_xlpm.party,ledger!E:E,"&lt;&gt;*RD*",ledger!D:D,"Chamki")+SUMIFS(ledger!G:G, ledger!B:B, _xlpm.party, ledger!E:E, "&lt;&gt;*RD*", ledger!D:D, "Crinkle")))/1.0936)+_xlfn.IFNA(E54,0)</f>
        <v>19940.563277249454</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199405.63277249454</v>
      </c>
      <c r="U15" s="23" cm="1">
        <f t="array" ref="U15">(_xlfn.BYROW(B36,_xlfn.LAMBDA(_xlpm.party,SUMIFS(ledger!G:G,ledger!B:B,_xlpm.party,ledger!E:E,"&lt;&gt;*RD*",ledger!D:D, "Silky")/1.0936))* 12)+_xlfn.IFNA(H54,0)</f>
        <v>0</v>
      </c>
      <c r="V15" s="44">
        <f t="shared" si="4"/>
        <v>199405.63277249454</v>
      </c>
      <c r="W15" s="23">
        <f>(SUMIF(Table14[Party],O15,Table14[Credit]))+_xlfn.IFNA(J54,0)</f>
        <v>200000</v>
      </c>
      <c r="X15" s="42">
        <f t="shared" si="2"/>
        <v>-594.36722750545596</v>
      </c>
      <c r="Y15" s="22">
        <v>10</v>
      </c>
      <c r="Z15" s="22">
        <v>12</v>
      </c>
    </row>
    <row r="16" spans="2:26" x14ac:dyDescent="0.3">
      <c r="B16">
        <f>B38</f>
        <v>0</v>
      </c>
      <c r="C16" s="18">
        <f>SUMIFS(ledger!G:G, ledger!B:B, B16, ledger!E:E, "&lt;&gt;*RD*") / 1.0936</f>
        <v>0</v>
      </c>
      <c r="E16" s="14">
        <f>(SUMIFS(ledger!G:G, ledger!B:B, B16, ledger!E:E, "&lt;&gt;*RD*",ledger!D:D, "Silky") / 1.0936)*12 + (SUMIFS(ledger!G:G, ledger!B:B, B16, ledger!E:E, "&lt;&gt;*RD*",ledger!D:D, "Chamki") / 1.0936)*10</f>
        <v>0</v>
      </c>
      <c r="I16" s="4" t="s">
        <v>243</v>
      </c>
      <c r="J16" s="5">
        <v>114331.56547183615</v>
      </c>
      <c r="K16" s="18">
        <v>1203551.5727871251</v>
      </c>
      <c r="O16" s="25" t="str">
        <v>Badshah Fabrics</v>
      </c>
      <c r="P16" s="23" cm="1">
        <f t="array" ref="P16">_xlfn.BYROW(B37,_xlfn.LAMBDA(_xlpm.party,SUMIFS(ledger!G:G,ledger!B:B,_xlpm.party,ledger!E:E,"&lt;&gt;*RD*")))+_xlfn.IFNA(C55,0)</f>
        <v>125033</v>
      </c>
      <c r="Q16" s="23" cm="1">
        <f t="array" ref="Q16">_xlfn.BYROW(B37, _xlfn.LAMBDA(_xlpm.party, SUMIFS(ledger!G:G, ledger!B:B, _xlpm.party, ledger!E:E, "&lt;&gt;*RD*") / 1.0936 ))+_xlfn.IFNA(D55,0)</f>
        <v>114331.56547183615</v>
      </c>
      <c r="R16" s="23" cm="1">
        <f t="array" ref="R16">(_xlfn.BYROW(B37,_xlfn.LAMBDA(_xlpm.party,SUMIFS(ledger!G:G,ledger!B:B,_xlpm.party,ledger!E:E,"&lt;&gt;*RD*",ledger!D:D,"Chamki")+SUMIFS(ledger!G:G, ledger!B:B, _xlpm.party, ledger!E:E, "&lt;&gt;*RD*", ledger!D:D, "Crinkle")))/1.0936)+_xlfn.IFNA(E55,0)</f>
        <v>84213.606437454291</v>
      </c>
      <c r="S16" s="78" cm="1">
        <f t="array" ref="S16">(_xlfn.BYROW(B37,_xlfn.LAMBDA(_xlpm.party,SUMIFS(ledger!G:G,ledger!B:B,_xlpm.party,ledger!E:E,"&lt;&gt;*RD*",ledger!D:D,"Silky")))/1.0936)+_xlfn.IFNA(F55,0)</f>
        <v>30117.95903438186</v>
      </c>
      <c r="T16" s="23" cm="1">
        <f t="array" ref="T16">(_xlfn.BYROW(B37,_xlfn.LAMBDA(_xlpm.party,(SUMIFS(ledger!G:G,ledger!B:B,_xlpm.party,ledger!E:E,"&lt;&gt;*RD*",ledger!D:D, "Chamki")+SUMIFS(ledger!G:G, ledger!B:B, _xlpm.party, ledger!E:E, "&lt;&gt;*RD*", ledger!D:D, "Crinkle"))/1.0936))*L37)+_xlfn.IFNA(G55,0)</f>
        <v>842136.06437454291</v>
      </c>
      <c r="U16" s="23" cm="1">
        <f t="array" ref="U16">(_xlfn.BYROW(B37,_xlfn.LAMBDA(_xlpm.party,SUMIFS(ledger!G:G,ledger!B:B,_xlpm.party,ledger!E:E,"&lt;&gt;*RD*",ledger!D:D, "Silky")/1.0936))* 12)+_xlfn.IFNA(H55,0)</f>
        <v>361415.50841258233</v>
      </c>
      <c r="V16" s="44">
        <f t="shared" si="4"/>
        <v>1203551.5727871251</v>
      </c>
      <c r="W16" s="23">
        <f>(SUMIF(Table14[Party],O16,Table14[Credit]))+_xlfn.IFNA(J55,0)</f>
        <v>870000</v>
      </c>
      <c r="X16" s="42">
        <f t="shared" si="2"/>
        <v>333551.57278712513</v>
      </c>
      <c r="Y16" s="22">
        <v>10</v>
      </c>
      <c r="Z16" s="22">
        <v>12</v>
      </c>
    </row>
    <row r="17" spans="1:26" x14ac:dyDescent="0.3">
      <c r="I17" s="4" t="s">
        <v>28</v>
      </c>
      <c r="J17" s="14">
        <v>863824.98171177763</v>
      </c>
      <c r="K17" s="14">
        <v>9021867.2275054865</v>
      </c>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0" spans="1:26" x14ac:dyDescent="0.3">
      <c r="B20" s="45" t="s">
        <v>29</v>
      </c>
      <c r="C20" s="46">
        <f>SUM(G26:G38)+SUM(H26:H38)</f>
        <v>9021867.2275054865</v>
      </c>
      <c r="D20" t="s">
        <v>30</v>
      </c>
    </row>
    <row r="21" spans="1:26" x14ac:dyDescent="0.3">
      <c r="C21" s="18"/>
      <c r="O21" s="14"/>
    </row>
    <row r="22" spans="1:26" x14ac:dyDescent="0.3">
      <c r="B22" s="25" t="s">
        <v>31</v>
      </c>
      <c r="C22" s="42">
        <f ca="1">SUM(OFFSET(I26,0,0,COUNTA(I:I)-ROW(I26)+1))</f>
        <v>9021867.2275054865</v>
      </c>
      <c r="D22" t="s">
        <v>32</v>
      </c>
    </row>
    <row r="23" spans="1:26" x14ac:dyDescent="0.3">
      <c r="B23" t="s">
        <v>166</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33</v>
      </c>
      <c r="B26" s="25" t="str" cm="1">
        <f t="array" ref="B26:B37">_xlfn.UNIQUE(Table1[Party Name])</f>
        <v>BSC</v>
      </c>
      <c r="C26" s="23" cm="1">
        <f t="array" ref="C26:C37">_xlfn.BYROW(_xlfn.ANCHORARRAY(B26),_xlfn.LAMBDA(_xlpm.party,SUMIFS(ledger!G:G,ledger!B:B,_xlpm.party,ledger!E:E,"&lt;&gt;*RD*")))</f>
        <v>152471</v>
      </c>
      <c r="D26" s="23" cm="1">
        <f t="array" ref="D26:D37">_xlfn.BYROW(_xlfn.ANCHORARRAY(B26), _xlfn.LAMBDA(_xlpm.party, SUMIFS(ledger!G:G, ledger!B:B, _xlpm.party, ledger!E:E, "&lt;&gt;*RD*") / 1.0936 ))</f>
        <v>139421.1777615216</v>
      </c>
      <c r="E26" s="71" cm="1">
        <f t="array" ref="E26:E37">(_xlfn.BYROW(_xlfn.ANCHORARRAY(B26),_xlfn.LAMBDA(_xlpm.party,SUMIFS(ledger!G:G,ledger!B:B,_xlpm.party,ledger!E:E,"&lt;&gt;*RD*",ledger!D:D,"Chamki")+SUMIFS(ledger!G:G, ledger!B:B, _xlpm.party, ledger!E:E, "&lt;&gt;*RD*", ledger!D:D, "Crinkle")))/1.0936)</f>
        <v>139229.15142648134</v>
      </c>
      <c r="F26" s="78" cm="1">
        <f t="array" ref="F26:F37">(_xlfn.BYROW(_xlfn.ANCHORARRAY(B26),_xlfn.LAMBDA(_xlpm.party,SUMIFS(ledger!G:G,ledger!B:B,_xlpm.party,ledger!E:E,"&lt;&gt;*RD*",ledger!D:D,"Silky")))/1.0936)</f>
        <v>192.0263350402341</v>
      </c>
      <c r="G26" s="23" cm="1">
        <f t="array" ref="G26">(_xlfn.BYROW(B26,_xlfn.LAMBDA(_xlpm.party,(SUMIFS(ledger!G:G,ledger!B:B,_xlpm.party,ledger!E:E,"&lt;&gt;*RD*",ledger!D:D, "Chamki")+SUMIFS(ledger!G:G, ledger!B:B, _xlpm.party, ledger!E:E, "&lt;&gt;*RD*", ledger!D:D, "Crinkle"))/1.0936))*L26)</f>
        <v>1392291.5142648134</v>
      </c>
      <c r="H26" s="23" cm="1">
        <f t="array" ref="H26">(_xlfn.BYROW(B26,_xlfn.LAMBDA(_xlpm.party,SUMIFS(ledger!G:G,ledger!B:B,_xlpm.party,ledger!E:E,"&lt;&gt;*RD*",ledger!D:D, "Silky")/1.0936))* M26)</f>
        <v>2304.3160204828091</v>
      </c>
      <c r="I26" s="44">
        <f t="shared" ref="I26:I34" si="7">G26+H26</f>
        <v>1394595.8302852963</v>
      </c>
      <c r="J26" s="23">
        <f>(SUMIF(Table14[Party],B26,Table14[Credit]))</f>
        <v>2366533</v>
      </c>
      <c r="K26" s="42">
        <f>I26-J26</f>
        <v>-971937.16971470369</v>
      </c>
      <c r="L26" s="22">
        <v>10</v>
      </c>
      <c r="M26" s="22">
        <v>12</v>
      </c>
    </row>
    <row r="27" spans="1:26" x14ac:dyDescent="0.3">
      <c r="B27" s="25" t="str">
        <v>Ejaz Sahab</v>
      </c>
      <c r="C27" s="23">
        <v>30491</v>
      </c>
      <c r="D27" s="23">
        <v>27881.309436722753</v>
      </c>
      <c r="E27" s="71">
        <v>27881.309436722753</v>
      </c>
      <c r="F27" s="78">
        <v>0</v>
      </c>
      <c r="G27" s="23" cm="1">
        <f t="array" ref="G27">(_xlfn.BYROW(B27,_xlfn.LAMBDA(_xlpm.party,(SUMIFS(ledger!G:G,ledger!B:B,_xlpm.party,ledger!E:E,"&lt;&gt;*RD*",ledger!D:D, "Chamki")+SUMIFS(ledger!G:G, ledger!B:B, _xlpm.party, ledger!E:E, "&lt;&gt;*RD*", ledger!D:D, "Crinkle"))/1.0936))*L27)</f>
        <v>278813.09436722752</v>
      </c>
      <c r="H27" s="23" cm="1">
        <f t="array" ref="H27">(_xlfn.BYROW(B27,_xlfn.LAMBDA(_xlpm.party,SUMIFS(ledger!G:G,ledger!B:B,_xlpm.party,ledger!E:E,"&lt;&gt;*RD*",ledger!D:D, "Silky")/1.0936))* M27)</f>
        <v>0</v>
      </c>
      <c r="I27" s="44">
        <f t="shared" si="7"/>
        <v>278813.09436722752</v>
      </c>
      <c r="J27" s="23">
        <f>(SUMIF(Table14[Party],B27,Table14[Credit]))</f>
        <v>247550</v>
      </c>
      <c r="K27" s="42">
        <f>I27-J27</f>
        <v>31263.094367227517</v>
      </c>
      <c r="L27" s="22">
        <v>10</v>
      </c>
      <c r="M27" s="22">
        <v>12</v>
      </c>
    </row>
    <row r="28" spans="1:26" x14ac:dyDescent="0.3">
      <c r="B28" s="25" t="str">
        <v>Arshad</v>
      </c>
      <c r="C28" s="23">
        <v>48184</v>
      </c>
      <c r="D28" s="23">
        <v>44059.985369422095</v>
      </c>
      <c r="E28" s="71">
        <v>29265.727871250918</v>
      </c>
      <c r="F28" s="78">
        <v>14794.257498171179</v>
      </c>
      <c r="G28" s="23" cm="1">
        <f t="array" ref="G28">(_xlfn.BYROW(B28,_xlfn.LAMBDA(_xlpm.party,(SUMIFS(ledger!G:G,ledger!B:B,_xlpm.party,ledger!E:E,"&lt;&gt;*RD*",ledger!D:D, "Chamki")+SUMIFS(ledger!G:G, ledger!B:B, _xlpm.party, ledger!E:E, "&lt;&gt;*RD*", ledger!D:D, "Crinkle"))/1.0936))*L28)</f>
        <v>292657.2787125092</v>
      </c>
      <c r="H28" s="23" cm="1">
        <f t="array" ref="H28">(_xlfn.BYROW(B28,_xlfn.LAMBDA(_xlpm.party,SUMIFS(ledger!G:G,ledger!B:B,_xlpm.party,ledger!E:E,"&lt;&gt;*RD*",ledger!D:D, "Silky")/1.0936))* M28)</f>
        <v>177531.08997805414</v>
      </c>
      <c r="I28" s="44">
        <f t="shared" si="7"/>
        <v>470188.36869056337</v>
      </c>
      <c r="J28" s="23">
        <f>(SUMIF(Table14[Party],B28,Table14[Credit]))</f>
        <v>1079491</v>
      </c>
      <c r="K28" s="42">
        <f>I28-J28</f>
        <v>-609302.63130943663</v>
      </c>
      <c r="L28" s="22">
        <v>10</v>
      </c>
      <c r="M28" s="22">
        <v>12</v>
      </c>
    </row>
    <row r="29" spans="1:26" x14ac:dyDescent="0.3">
      <c r="B29" s="25" t="str">
        <v>Shehzad Kamoki</v>
      </c>
      <c r="C29" s="23">
        <v>10710</v>
      </c>
      <c r="D29" s="23">
        <v>9793.3430870519387</v>
      </c>
      <c r="E29" s="71">
        <v>9793.3430870519387</v>
      </c>
      <c r="F29" s="78">
        <v>0</v>
      </c>
      <c r="G29" s="23" cm="1">
        <f t="array" ref="G29">(_xlfn.BYROW(B29,_xlfn.LAMBDA(_xlpm.party,(SUMIFS(ledger!G:G,ledger!B:B,_xlpm.party,ledger!E:E,"&lt;&gt;*RD*",ledger!D:D, "Chamki")+SUMIFS(ledger!G:G, ledger!B:B, _xlpm.party, ledger!E:E, "&lt;&gt;*RD*", ledger!D:D, "Crinkle"))/1.0936))*L29)</f>
        <v>102830.10241404535</v>
      </c>
      <c r="H29" s="23" cm="1">
        <f t="array" ref="H29">(_xlfn.BYROW(B29,_xlfn.LAMBDA(_xlpm.party,SUMIFS(ledger!G:G,ledger!B:B,_xlpm.party,ledger!E:E,"&lt;&gt;*RD*",ledger!D:D, "Silky")/1.0936))* M29)</f>
        <v>0</v>
      </c>
      <c r="I29" s="44">
        <f t="shared" si="7"/>
        <v>102830.10241404535</v>
      </c>
      <c r="J29" s="23">
        <f>(SUMIF(Table14[Party],B29,Table14[Credit]))</f>
        <v>141300</v>
      </c>
      <c r="K29" s="42">
        <f t="shared" ref="K29:K32" si="8">I29-J29</f>
        <v>-38469.897585954648</v>
      </c>
      <c r="L29" s="22">
        <v>10.5</v>
      </c>
      <c r="M29" s="22">
        <v>13</v>
      </c>
    </row>
    <row r="30" spans="1:26" x14ac:dyDescent="0.3">
      <c r="B30" s="25" t="str">
        <v>Sufi Nawaz Sahab</v>
      </c>
      <c r="C30" s="23">
        <v>347912</v>
      </c>
      <c r="D30" s="23">
        <v>318134.60131675203</v>
      </c>
      <c r="E30" s="71">
        <v>115918.98317483542</v>
      </c>
      <c r="F30" s="78">
        <v>202215.61814191661</v>
      </c>
      <c r="G30" s="23" cm="1">
        <f t="array" ref="G30">(_xlfn.BYROW(B30,_xlfn.LAMBDA(_xlpm.party,(SUMIFS(ledger!G:G,ledger!B:B,_xlpm.party,ledger!E:E,"&lt;&gt;*RD*",ledger!D:D, "Chamki")+SUMIFS(ledger!G:G, ledger!B:B, _xlpm.party, ledger!E:E, "&lt;&gt;*RD*", ledger!D:D, "Crinkle"))/1.0936))*L30)</f>
        <v>1043270.8485735188</v>
      </c>
      <c r="H30" s="23" cm="1">
        <f t="array" ref="H30">(_xlfn.BYROW(B30,_xlfn.LAMBDA(_xlpm.party,SUMIFS(ledger!G:G,ledger!B:B,_xlpm.party,ledger!E:E,"&lt;&gt;*RD*",ledger!D:D, "Silky")/1.0936))* M30)</f>
        <v>2426587.4177029994</v>
      </c>
      <c r="I30" s="44">
        <f t="shared" si="7"/>
        <v>3469858.2662765183</v>
      </c>
      <c r="J30" s="23">
        <f>(SUMIF(Table14[Party],B30,Table14[Credit]))</f>
        <v>4050000</v>
      </c>
      <c r="K30" s="42">
        <f t="shared" si="8"/>
        <v>-580141.73372348165</v>
      </c>
      <c r="L30" s="22">
        <v>9</v>
      </c>
      <c r="M30" s="22">
        <v>12</v>
      </c>
    </row>
    <row r="31" spans="1:26" x14ac:dyDescent="0.3">
      <c r="B31" s="25" t="str">
        <v>Sajad Khan</v>
      </c>
      <c r="C31" s="23">
        <v>82057</v>
      </c>
      <c r="D31" s="23">
        <v>75033.833211411853</v>
      </c>
      <c r="E31" s="71">
        <v>75033.833211411853</v>
      </c>
      <c r="F31" s="22">
        <v>0</v>
      </c>
      <c r="G31" s="23" cm="1">
        <f t="array" ref="G31">(_xlfn.BYROW(B31,_xlfn.LAMBDA(_xlpm.party,(SUMIFS(ledger!G:G,ledger!B:B,_xlpm.party,ledger!E:E,"&lt;&gt;*RD*",ledger!D:D, "Chamki")+SUMIFS(ledger!G:G, ledger!B:B, _xlpm.party, ledger!E:E, "&lt;&gt;*RD*", ledger!D:D, "Crinkle"))/1.0936))*L31)</f>
        <v>750338.3321141185</v>
      </c>
      <c r="H31" s="23" cm="1">
        <f t="array" ref="H31">(_xlfn.BYROW(B31,_xlfn.LAMBDA(_xlpm.party,SUMIFS(ledger!G:G,ledger!B:B,_xlpm.party,ledger!E:E,"&lt;&gt;*RD*",ledger!D:D, "Silky")/1.0936))* M31)</f>
        <v>0</v>
      </c>
      <c r="I31" s="44">
        <f t="shared" si="7"/>
        <v>750338.3321141185</v>
      </c>
      <c r="J31" s="23">
        <f>(SUMIF(Table14[Party],B31,Table14[Credit]))</f>
        <v>400000</v>
      </c>
      <c r="K31" s="42">
        <f t="shared" si="8"/>
        <v>350338.3321141185</v>
      </c>
      <c r="L31" s="22">
        <v>10</v>
      </c>
      <c r="M31" s="22">
        <v>12</v>
      </c>
    </row>
    <row r="32" spans="1:26" x14ac:dyDescent="0.3">
      <c r="B32" s="25" t="str">
        <v>Raaz Fabrics</v>
      </c>
      <c r="C32" s="23">
        <v>25710</v>
      </c>
      <c r="D32" s="23">
        <v>23509.509875640091</v>
      </c>
      <c r="E32" s="71">
        <v>23509.509875640091</v>
      </c>
      <c r="F32" s="22">
        <v>0</v>
      </c>
      <c r="G32" s="23" cm="1">
        <f t="array" ref="G32">(_xlfn.BYROW(B32,_xlfn.LAMBDA(_xlpm.party,(SUMIFS(ledger!G:G,ledger!B:B,_xlpm.party,ledger!E:E,"&lt;&gt;*RD*",ledger!D:D, "Chamki")+SUMIFS(ledger!G:G, ledger!B:B, _xlpm.party, ledger!E:E, "&lt;&gt;*RD*", ledger!D:D, "Crinkle"))/1.0936))*L32)</f>
        <v>235095.09875640093</v>
      </c>
      <c r="H32" s="23" cm="1">
        <f t="array" ref="H32">(_xlfn.BYROW(B32,_xlfn.LAMBDA(_xlpm.party,SUMIFS(ledger!G:G,ledger!B:B,_xlpm.party,ledger!E:E,"&lt;&gt;*RD*",ledger!D:D, "Silky")/1.0936))* M32)</f>
        <v>0</v>
      </c>
      <c r="I32" s="44">
        <f t="shared" si="7"/>
        <v>235095.09875640093</v>
      </c>
      <c r="J32" s="23">
        <f>(SUMIF(Table14[Party],B32,Table14[Credit]))</f>
        <v>400000</v>
      </c>
      <c r="K32" s="42">
        <f t="shared" si="8"/>
        <v>-164904.90124359907</v>
      </c>
      <c r="L32" s="22">
        <v>10</v>
      </c>
      <c r="M32" s="22">
        <v>12</v>
      </c>
    </row>
    <row r="33" spans="2:13" x14ac:dyDescent="0.3">
      <c r="B33" s="25" t="str">
        <v>Azam</v>
      </c>
      <c r="C33" s="23">
        <v>105051</v>
      </c>
      <c r="D33" s="23">
        <v>96059.802487198249</v>
      </c>
      <c r="E33" s="71">
        <v>96059.802487198249</v>
      </c>
      <c r="F33" s="22">
        <v>0</v>
      </c>
      <c r="G33" s="23" cm="1">
        <f t="array" ref="G33">(_xlfn.BYROW(B33,_xlfn.LAMBDA(_xlpm.party,(SUMIFS(ledger!G:G,ledger!B:B,_xlpm.party,ledger!E:E,"&lt;&gt;*RD*",ledger!D:D, "Chamki")+SUMIFS(ledger!G:G, ledger!B:B, _xlpm.party, ledger!E:E, "&lt;&gt;*RD*", ledger!D:D, "Crinkle"))/1.0936))*L33)</f>
        <v>960598.02487198252</v>
      </c>
      <c r="H33" s="23" cm="1">
        <f t="array" ref="H33">(_xlfn.BYROW(B33,_xlfn.LAMBDA(_xlpm.party,SUMIFS(ledger!G:G,ledger!B:B,_xlpm.party,ledger!E:E,"&lt;&gt;*RD*",ledger!D:D, "Silky")/1.0936))* M33)</f>
        <v>0</v>
      </c>
      <c r="I33" s="44">
        <f t="shared" si="7"/>
        <v>960598.02487198252</v>
      </c>
      <c r="J33" s="23">
        <f>(SUMIF(Table14[Party],B33,Table14[Credit]))</f>
        <v>1000000</v>
      </c>
      <c r="K33" s="42">
        <f t="shared" ref="K33:K38" si="9">I33-J33</f>
        <v>-39401.975128017482</v>
      </c>
      <c r="L33" s="22">
        <v>10</v>
      </c>
      <c r="M33" s="22">
        <v>12</v>
      </c>
    </row>
    <row r="34" spans="2:13" x14ac:dyDescent="0.3">
      <c r="B34" s="25" t="str">
        <v>Ubaidullah</v>
      </c>
      <c r="C34" s="23">
        <v>17060</v>
      </c>
      <c r="D34" s="23">
        <v>15599.853694220923</v>
      </c>
      <c r="E34" s="71">
        <v>15599.853694220923</v>
      </c>
      <c r="F34" s="22">
        <v>0</v>
      </c>
      <c r="G34" s="23" cm="1">
        <f t="array" ref="G34">(_xlfn.BYROW(B34,_xlfn.LAMBDA(_xlpm.party,(SUMIFS(ledger!G:G,ledger!B:B,_xlpm.party,ledger!E:E,"&lt;&gt;*RD*",ledger!D:D, "Chamki")+SUMIFS(ledger!G:G, ledger!B:B, _xlpm.party, ledger!E:E, "&lt;&gt;*RD*", ledger!D:D, "Crinkle"))/1.0936))*L34)</f>
        <v>155998.53694220923</v>
      </c>
      <c r="H34" s="23" cm="1">
        <f t="array" ref="H34">(_xlfn.BYROW(B34,_xlfn.LAMBDA(_xlpm.party,SUMIFS(ledger!G:G,ledger!B:B,_xlpm.party,ledger!E:E,"&lt;&gt;*RD*",ledger!D:D, "Silky")/1.0936))* M34)</f>
        <v>0</v>
      </c>
      <c r="I34" s="44">
        <f t="shared" si="7"/>
        <v>155998.53694220923</v>
      </c>
      <c r="J34" s="23">
        <f>SUMIF(Table14[Party], B34, Table14[Credit])</f>
        <v>155000</v>
      </c>
      <c r="K34" s="42">
        <f t="shared" si="9"/>
        <v>998.53694220923353</v>
      </c>
      <c r="L34" s="22">
        <v>10</v>
      </c>
      <c r="M34" s="22">
        <v>12</v>
      </c>
    </row>
    <row r="35" spans="2:13" x14ac:dyDescent="0.3">
      <c r="B35" s="25" t="str">
        <v>Ashraf Zia</v>
      </c>
      <c r="C35" s="23">
        <v>0</v>
      </c>
      <c r="D35" s="23">
        <v>0</v>
      </c>
      <c r="E35" s="71">
        <v>0</v>
      </c>
      <c r="F35" s="22">
        <v>0</v>
      </c>
      <c r="G35" s="23" cm="1">
        <f t="array" ref="G35">(_xlfn.BYROW(B35,_xlfn.LAMBDA(_xlpm.party,(SUMIFS(ledger!G:G,ledger!B:B,_xlpm.party,ledger!E:E,"&lt;&gt;*RD*",ledger!D:D, "Chamki")+SUMIFS(ledger!G:G, ledger!B:B, _xlpm.party, ledger!E:E, "&lt;&gt;*RD*", ledger!D:D, "Crinkle"))/1.0936))*L35)</f>
        <v>0</v>
      </c>
      <c r="H35" s="23" cm="1">
        <f t="array" ref="H35">(_xlfn.BYROW(B35,_xlfn.LAMBDA(_xlpm.party,SUMIFS(ledger!G:G,ledger!B:B,_xlpm.party,ledger!E:E,"&lt;&gt;*RD*",ledger!D:D, "Silky")/1.0936))* M35)</f>
        <v>0</v>
      </c>
      <c r="I35" s="44">
        <f t="shared" ref="I35:I38" si="10">G35+H35</f>
        <v>0</v>
      </c>
      <c r="J35" s="23">
        <f>SUMIF(Table14[Party], B35, Table14[Credit])</f>
        <v>0</v>
      </c>
      <c r="K35" s="42">
        <f t="shared" si="9"/>
        <v>0</v>
      </c>
      <c r="L35" s="22">
        <v>12</v>
      </c>
      <c r="M35" s="22">
        <v>12</v>
      </c>
    </row>
    <row r="36" spans="2:13" x14ac:dyDescent="0.3">
      <c r="B36" s="25" t="str">
        <v>Hafiz Qureshi</v>
      </c>
      <c r="C36" s="23">
        <v>0</v>
      </c>
      <c r="D36" s="23">
        <v>0</v>
      </c>
      <c r="E36" s="71">
        <v>0</v>
      </c>
      <c r="F36" s="22">
        <v>0</v>
      </c>
      <c r="G36" s="23" cm="1">
        <f t="array" ref="G36">(_xlfn.BYROW(B36,_xlfn.LAMBDA(_xlpm.party,(SUMIFS(ledger!G:G,ledger!B:B,_xlpm.party,ledger!E:E,"&lt;&gt;*RD*",ledger!D:D, "Chamki")+SUMIFS(ledger!G:G, ledger!B:B, _xlpm.party, ledger!E:E, "&lt;&gt;*RD*", ledger!D:D, "Crinkle"))/1.0936))*L36)</f>
        <v>0</v>
      </c>
      <c r="H36" s="23" cm="1">
        <f t="array" ref="H36">(_xlfn.BYROW(B36,_xlfn.LAMBDA(_xlpm.party,SUMIFS(ledger!G:G,ledger!B:B,_xlpm.party,ledger!E:E,"&lt;&gt;*RD*",ledger!D:D, "Silky")/1.0936))* M36)</f>
        <v>0</v>
      </c>
      <c r="I36" s="44">
        <f t="shared" si="10"/>
        <v>0</v>
      </c>
      <c r="J36" s="23">
        <f>SUMIF(Table14[Party], B36, Table14[Credit])</f>
        <v>100000</v>
      </c>
      <c r="K36" s="42">
        <f t="shared" si="9"/>
        <v>-100000</v>
      </c>
      <c r="L36" s="22">
        <v>10</v>
      </c>
      <c r="M36" s="22">
        <v>12</v>
      </c>
    </row>
    <row r="37" spans="2:13" x14ac:dyDescent="0.3">
      <c r="B37" s="25" t="str">
        <v>Badshah Fabrics</v>
      </c>
      <c r="C37" s="23">
        <v>125033</v>
      </c>
      <c r="D37" s="23">
        <v>114331.56547183615</v>
      </c>
      <c r="E37" s="71">
        <v>84213.606437454291</v>
      </c>
      <c r="F37" s="22">
        <v>30117.95903438186</v>
      </c>
      <c r="G37" s="23" cm="1">
        <f t="array" ref="G37">(_xlfn.BYROW(B37,_xlfn.LAMBDA(_xlpm.party,(SUMIFS(ledger!G:G,ledger!B:B,_xlpm.party,ledger!E:E,"&lt;&gt;*RD*",ledger!D:D, "Chamki")+SUMIFS(ledger!G:G, ledger!B:B, _xlpm.party, ledger!E:E, "&lt;&gt;*RD*", ledger!D:D, "Crinkle"))/1.0936))*L37)</f>
        <v>842136.06437454291</v>
      </c>
      <c r="H37" s="23" cm="1">
        <f t="array" ref="H37">(_xlfn.BYROW(B37,_xlfn.LAMBDA(_xlpm.party,SUMIFS(ledger!G:G,ledger!B:B,_xlpm.party,ledger!E:E,"&lt;&gt;*RD*",ledger!D:D, "Silky")/1.0936))* M37)</f>
        <v>361415.50841258233</v>
      </c>
      <c r="I37" s="44">
        <f t="shared" si="10"/>
        <v>1203551.5727871251</v>
      </c>
      <c r="J37" s="23">
        <f>SUMIF(Table14[Party], B37, Table14[Credit])</f>
        <v>870000</v>
      </c>
      <c r="K37" s="42">
        <f t="shared" si="9"/>
        <v>333551.57278712513</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165</v>
      </c>
    </row>
    <row r="43" spans="2:13" x14ac:dyDescent="0.3">
      <c r="B43" t="s">
        <v>33</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_xlfn.XLOOKUP($B26,[1]Billing!$O$5:$O$29,[1]Billing!$P$5:$P$29)</f>
        <v>1189821</v>
      </c>
      <c r="D44" s="23">
        <f>_xlfn.XLOOKUP($B26,[1]Billing!$O$5:$O$29,[1]Billing!$Q$5:$Q$29)</f>
        <v>1087985.5523043161</v>
      </c>
      <c r="E44" s="23">
        <f>_xlfn.XLOOKUP($B26,[1]Billing!$O$5:$O$29,[1]Billing!$R$5:$R$29)</f>
        <v>1073433.6137527432</v>
      </c>
      <c r="F44" s="23">
        <f>_xlfn.XLOOKUP($B26,[1]Billing!$O$5:$O$29,[1]Billing!$S$5:$S$29)</f>
        <v>14551.938551572788</v>
      </c>
      <c r="G44" s="23">
        <f>_xlfn.XLOOKUP($B26,[1]Billing!$O$5:$O$29,[1]Billing!$T$5:$T$29)</f>
        <v>10734336.137527434</v>
      </c>
      <c r="H44" s="23">
        <f>_xlfn.XLOOKUP($B26,[1]Billing!$O$5:$O$29,[1]Billing!$U$5:$U$29)</f>
        <v>174623.26261887344</v>
      </c>
      <c r="I44" s="44">
        <f t="shared" ref="I44:I54" si="11">G44+H44</f>
        <v>10908959.400146307</v>
      </c>
      <c r="J44" s="23">
        <f>_xlfn.XLOOKUP($B26,[1]Billing!$O$5:$O$29,[1]Billing!$W$5:$W$29)</f>
        <v>7158783</v>
      </c>
      <c r="K44" s="42">
        <f>I44-J44</f>
        <v>3750176.4001463074</v>
      </c>
      <c r="L44" s="22">
        <v>10</v>
      </c>
      <c r="M44" s="22">
        <v>12</v>
      </c>
    </row>
    <row r="45" spans="2:13" x14ac:dyDescent="0.3">
      <c r="B45" s="25" t="str">
        <v>Ejaz Sahab</v>
      </c>
      <c r="C45" s="23">
        <f>_xlfn.XLOOKUP(B27,[1]Billing!$O$5:$O$29,[1]Billing!$P$5:$P$29)</f>
        <v>94039</v>
      </c>
      <c r="D45" s="23">
        <f>_xlfn.XLOOKUP($B27,[1]Billing!$O$5:$O$29,[1]Billing!$Q$5:$Q$29)</f>
        <v>85990.30724213607</v>
      </c>
      <c r="E45" s="23">
        <f>_xlfn.XLOOKUP($B27,[1]Billing!$O$5:$O$29,[1]Billing!$R$5:$R$29)</f>
        <v>85990.30724213607</v>
      </c>
      <c r="F45" s="23">
        <f>_xlfn.XLOOKUP($B27,[1]Billing!$O$5:$O$29,[1]Billing!$S$5:$S$29)</f>
        <v>0</v>
      </c>
      <c r="G45" s="23">
        <f>_xlfn.XLOOKUP($B27,[1]Billing!$O$5:$O$29,[1]Billing!$T$5:$T$29)</f>
        <v>859903.07242136064</v>
      </c>
      <c r="H45" s="23">
        <f>_xlfn.XLOOKUP($B27,[1]Billing!$O$5:$O$29,[1]Billing!$U$5:$U$29)</f>
        <v>0</v>
      </c>
      <c r="I45" s="44">
        <f t="shared" si="11"/>
        <v>859903.07242136064</v>
      </c>
      <c r="J45" s="23">
        <f>_xlfn.XLOOKUP($B27,[1]Billing!$O$5:$O$29,[1]Billing!$W$5:$W$29)</f>
        <v>612354</v>
      </c>
      <c r="K45" s="42">
        <f>I45-J45</f>
        <v>247549.07242136064</v>
      </c>
      <c r="L45" s="22">
        <v>10</v>
      </c>
      <c r="M45" s="22">
        <v>12</v>
      </c>
    </row>
    <row r="46" spans="2:13" x14ac:dyDescent="0.3">
      <c r="B46" s="25" t="str">
        <v>Arshad</v>
      </c>
      <c r="C46" s="23">
        <f>_xlfn.XLOOKUP(B28,[1]Billing!$O$5:$O$29,[1]Billing!$P$5:$P$29)</f>
        <v>157108</v>
      </c>
      <c r="D46" s="23">
        <f>_xlfn.XLOOKUP($B28,[1]Billing!$O$5:$O$29,[1]Billing!$Q$5:$Q$29)</f>
        <v>143661.30212143381</v>
      </c>
      <c r="E46" s="23">
        <f>_xlfn.XLOOKUP($B28,[1]Billing!$O$5:$O$29,[1]Billing!$R$5:$R$29)</f>
        <v>143661.30212143381</v>
      </c>
      <c r="F46" s="23">
        <f>_xlfn.XLOOKUP($B28,[1]Billing!$O$5:$O$29,[1]Billing!$S$5:$S$29)</f>
        <v>0</v>
      </c>
      <c r="G46" s="23">
        <f>_xlfn.XLOOKUP($B28,[1]Billing!$O$5:$O$29,[1]Billing!$T$5:$T$29)</f>
        <v>1436613.021214338</v>
      </c>
      <c r="H46" s="23">
        <f>_xlfn.XLOOKUP($B28,[1]Billing!$O$5:$O$29,[1]Billing!$U$5:$U$29)</f>
        <v>0</v>
      </c>
      <c r="I46" s="44">
        <f t="shared" si="11"/>
        <v>1436613.021214338</v>
      </c>
      <c r="J46" s="23">
        <f>_xlfn.XLOOKUP($B28,[1]Billing!$O$5:$O$29,[1]Billing!$W$5:$W$29)</f>
        <v>754210</v>
      </c>
      <c r="K46" s="42">
        <f>I46-J46</f>
        <v>682403.02121433802</v>
      </c>
      <c r="L46" s="22">
        <v>10</v>
      </c>
      <c r="M46" s="22">
        <v>12</v>
      </c>
    </row>
    <row r="47" spans="2:13" x14ac:dyDescent="0.3">
      <c r="B47" s="25" t="str">
        <v>Shehzad Kamoki</v>
      </c>
      <c r="C47" s="23">
        <f>_xlfn.XLOOKUP(B29,[1]Billing!$O$5:$O$29,[1]Billing!$P$5:$P$29)</f>
        <v>119695</v>
      </c>
      <c r="D47" s="23">
        <f>_xlfn.XLOOKUP($B29,[1]Billing!$O$5:$O$29,[1]Billing!$Q$5:$Q$29)</f>
        <v>109450.43891733725</v>
      </c>
      <c r="E47" s="23">
        <f>_xlfn.XLOOKUP($B29,[1]Billing!$O$5:$O$29,[1]Billing!$R$5:$R$29)</f>
        <v>109450.43891733725</v>
      </c>
      <c r="F47" s="23">
        <f>_xlfn.XLOOKUP($B29,[1]Billing!$O$5:$O$29,[1]Billing!$S$5:$S$29)</f>
        <v>0</v>
      </c>
      <c r="G47" s="23">
        <f>_xlfn.XLOOKUP($B29,[1]Billing!$O$5:$O$29,[1]Billing!$T$5:$T$29)</f>
        <v>1126095.508632041</v>
      </c>
      <c r="H47" s="23">
        <f>_xlfn.XLOOKUP($B29,[1]Billing!$O$5:$O$29,[1]Billing!$U$5:$U$29)</f>
        <v>0</v>
      </c>
      <c r="I47" s="44">
        <f t="shared" si="11"/>
        <v>1126095.508632041</v>
      </c>
      <c r="J47" s="23">
        <f>_xlfn.XLOOKUP($B29,[1]Billing!$O$5:$O$29,[1]Billing!$W$5:$W$29)</f>
        <v>1125940</v>
      </c>
      <c r="K47" s="42">
        <f t="shared" ref="K47:K54" si="12">I47-J47</f>
        <v>155.50863204104826</v>
      </c>
      <c r="L47" s="22">
        <v>10.5</v>
      </c>
      <c r="M47" s="22">
        <v>13</v>
      </c>
    </row>
    <row r="48" spans="2:13" x14ac:dyDescent="0.3">
      <c r="B48" s="25" t="str">
        <v>Sufi Nawaz Sahab</v>
      </c>
      <c r="C48" s="23">
        <f>_xlfn.XLOOKUP(B30,[1]Billing!$O$5:$O$29,[1]Billing!$P$5:$P$29)</f>
        <v>631359</v>
      </c>
      <c r="D48" s="23">
        <f>_xlfn.XLOOKUP($B30,[1]Billing!$O$5:$O$29,[1]Billing!$Q$5:$Q$29)</f>
        <v>577321.68983174837</v>
      </c>
      <c r="E48" s="23">
        <f>_xlfn.XLOOKUP($B30,[1]Billing!$O$5:$O$29,[1]Billing!$R$5:$R$29)</f>
        <v>359403.80395025609</v>
      </c>
      <c r="F48" s="23">
        <f>_xlfn.XLOOKUP($B30,[1]Billing!$O$5:$O$29,[1]Billing!$S$5:$S$29)</f>
        <v>217917.88588149232</v>
      </c>
      <c r="G48" s="23">
        <f>_xlfn.XLOOKUP($B30,[1]Billing!$O$5:$O$29,[1]Billing!$T$5:$T$29)</f>
        <v>3234634.2355523049</v>
      </c>
      <c r="H48" s="23">
        <f>_xlfn.XLOOKUP($B30,[1]Billing!$O$5:$O$29,[1]Billing!$U$5:$U$29)</f>
        <v>2615014.6305779079</v>
      </c>
      <c r="I48" s="44">
        <f t="shared" si="11"/>
        <v>5849648.8661302123</v>
      </c>
      <c r="J48" s="23">
        <f>_xlfn.XLOOKUP($B30,[1]Billing!$O$5:$O$29,[1]Billing!$W$5:$W$29)</f>
        <v>4079100</v>
      </c>
      <c r="K48" s="42">
        <f t="shared" si="12"/>
        <v>1770548.8661302123</v>
      </c>
      <c r="L48" s="22">
        <v>9</v>
      </c>
      <c r="M48" s="22">
        <v>12</v>
      </c>
    </row>
    <row r="49" spans="2:13" x14ac:dyDescent="0.3">
      <c r="B49" s="25" t="str">
        <v>Sajad Khan</v>
      </c>
      <c r="C49" s="23">
        <f>_xlfn.XLOOKUP(B31,[1]Billing!$O$5:$O$29,[1]Billing!$P$5:$P$29)</f>
        <v>274556</v>
      </c>
      <c r="D49" s="23">
        <f>_xlfn.XLOOKUP($B31,[1]Billing!$O$5:$O$29,[1]Billing!$Q$5:$Q$29)</f>
        <v>251057.05925384053</v>
      </c>
      <c r="E49" s="23">
        <f>_xlfn.XLOOKUP($B31,[1]Billing!$O$5:$O$29,[1]Billing!$R$5:$R$29)</f>
        <v>251057.05925384053</v>
      </c>
      <c r="F49" s="23">
        <f>_xlfn.XLOOKUP($B31,[1]Billing!$O$5:$O$29,[1]Billing!$S$5:$S$29)</f>
        <v>0</v>
      </c>
      <c r="G49" s="23">
        <f>_xlfn.XLOOKUP($B31,[1]Billing!$O$5:$O$29,[1]Billing!$T$5:$T$29)</f>
        <v>2510570.5925384052</v>
      </c>
      <c r="H49" s="23">
        <f>_xlfn.XLOOKUP($B31,[1]Billing!$O$5:$O$29,[1]Billing!$U$5:$U$29)</f>
        <v>0</v>
      </c>
      <c r="I49" s="44">
        <f t="shared" si="11"/>
        <v>2510570.5925384052</v>
      </c>
      <c r="J49" s="23">
        <f>_xlfn.XLOOKUP($B31,[1]Billing!$O$5:$O$29,[1]Billing!$W$5:$W$29)</f>
        <v>2300000</v>
      </c>
      <c r="K49" s="42">
        <f t="shared" si="12"/>
        <v>210570.59253840521</v>
      </c>
      <c r="L49" s="22">
        <v>10</v>
      </c>
      <c r="M49" s="22">
        <v>12</v>
      </c>
    </row>
    <row r="50" spans="2:13" x14ac:dyDescent="0.3">
      <c r="B50" s="25" t="str">
        <v>Raaz Fabrics</v>
      </c>
      <c r="C50" s="23">
        <f>_xlfn.XLOOKUP(B32,[1]Billing!$O$5:$O$29,[1]Billing!$P$5:$P$29)</f>
        <v>49849</v>
      </c>
      <c r="D50" s="23">
        <f>_xlfn.XLOOKUP($B32,[1]Billing!$O$5:$O$29,[1]Billing!$Q$5:$Q$29)</f>
        <v>45582.479882955377</v>
      </c>
      <c r="E50" s="23">
        <f>_xlfn.XLOOKUP($B32,[1]Billing!$O$5:$O$29,[1]Billing!$R$5:$R$29)</f>
        <v>45582.479882955377</v>
      </c>
      <c r="F50" s="23">
        <f>_xlfn.XLOOKUP($B32,[1]Billing!$O$5:$O$29,[1]Billing!$S$5:$S$29)</f>
        <v>0</v>
      </c>
      <c r="G50" s="23">
        <f>_xlfn.XLOOKUP($B32,[1]Billing!$O$5:$O$29,[1]Billing!$T$5:$T$29)</f>
        <v>455824.79882955377</v>
      </c>
      <c r="H50" s="23">
        <f>_xlfn.XLOOKUP($B32,[1]Billing!$O$5:$O$29,[1]Billing!$U$5:$U$29)</f>
        <v>0</v>
      </c>
      <c r="I50" s="44">
        <f t="shared" si="11"/>
        <v>455824.79882955377</v>
      </c>
      <c r="J50" s="23">
        <f>_xlfn.XLOOKUP($B32,[1]Billing!$O$5:$O$29,[1]Billing!$W$5:$W$29)</f>
        <v>200000</v>
      </c>
      <c r="K50" s="42">
        <f t="shared" si="12"/>
        <v>255824.79882955377</v>
      </c>
      <c r="L50" s="22">
        <v>10</v>
      </c>
      <c r="M50" s="22">
        <v>12</v>
      </c>
    </row>
    <row r="51" spans="2:13" x14ac:dyDescent="0.3">
      <c r="B51" s="25" t="str">
        <v>Azam</v>
      </c>
      <c r="C51" s="23">
        <f>_xlfn.XLOOKUP(B33,[1]Billing!$O$5:$O$29,[1]Billing!$P$5:$P$29)</f>
        <v>28549</v>
      </c>
      <c r="D51" s="23">
        <f>_xlfn.XLOOKUP($B33,[1]Billing!$O$5:$O$29,[1]Billing!$Q$5:$Q$29)</f>
        <v>26105.523043160207</v>
      </c>
      <c r="E51" s="23">
        <f>_xlfn.XLOOKUP($B33,[1]Billing!$O$5:$O$29,[1]Billing!$R$5:$R$29)</f>
        <v>26105.523043160207</v>
      </c>
      <c r="F51" s="23">
        <f>_xlfn.XLOOKUP($B33,[1]Billing!$O$5:$O$29,[1]Billing!$S$5:$S$29)</f>
        <v>0</v>
      </c>
      <c r="G51" s="23">
        <f>_xlfn.XLOOKUP($B33,[1]Billing!$O$5:$O$29,[1]Billing!$T$5:$T$29)</f>
        <v>261055.23043160207</v>
      </c>
      <c r="H51" s="23">
        <f>_xlfn.XLOOKUP($B33,[1]Billing!$O$5:$O$29,[1]Billing!$U$5:$U$29)</f>
        <v>0</v>
      </c>
      <c r="I51" s="44">
        <f t="shared" si="11"/>
        <v>261055.23043160207</v>
      </c>
      <c r="J51" s="23">
        <f>_xlfn.XLOOKUP($B33,[1]Billing!$O$5:$O$29,[1]Billing!$W$5:$W$29)</f>
        <v>200000</v>
      </c>
      <c r="K51" s="42">
        <f t="shared" si="12"/>
        <v>61055.230431602075</v>
      </c>
      <c r="L51" s="22">
        <v>10</v>
      </c>
      <c r="M51" s="22">
        <v>12</v>
      </c>
    </row>
    <row r="52" spans="2:13" x14ac:dyDescent="0.3">
      <c r="B52" s="22" t="str">
        <v>Ubaidullah</v>
      </c>
      <c r="C52" s="23">
        <f>_xlfn.XLOOKUP(B34,[1]Billing!$O$5:$O$29,[1]Billing!$P$5:$P$29)</f>
        <v>32293</v>
      </c>
      <c r="D52" s="23">
        <f>_xlfn.XLOOKUP($B34,[1]Billing!$O$5:$O$29,[1]Billing!$Q$5:$Q$29)</f>
        <v>29529.078273591811</v>
      </c>
      <c r="E52" s="23">
        <f>_xlfn.XLOOKUP($B34,[1]Billing!$O$5:$O$29,[1]Billing!$R$5:$R$29)</f>
        <v>29529.078273591811</v>
      </c>
      <c r="F52" s="23">
        <f>_xlfn.XLOOKUP($B34,[1]Billing!$O$5:$O$29,[1]Billing!$S$5:$S$29)</f>
        <v>0</v>
      </c>
      <c r="G52" s="23">
        <f>_xlfn.XLOOKUP($B34,[1]Billing!$O$5:$O$29,[1]Billing!$T$5:$T$29)</f>
        <v>295290.78273591812</v>
      </c>
      <c r="H52" s="23">
        <f>_xlfn.XLOOKUP($B34,[1]Billing!$O$5:$O$29,[1]Billing!$U$5:$U$29)</f>
        <v>0</v>
      </c>
      <c r="I52" s="44">
        <f t="shared" si="11"/>
        <v>295290.78273591812</v>
      </c>
      <c r="J52" s="23">
        <f>_xlfn.XLOOKUP($B34,[1]Billing!$O$5:$O$29,[1]Billing!$W$5:$W$29)</f>
        <v>296150</v>
      </c>
      <c r="K52" s="42">
        <f t="shared" si="12"/>
        <v>-859.21726408187533</v>
      </c>
      <c r="L52" s="22">
        <v>10</v>
      </c>
      <c r="M52" s="22">
        <v>12</v>
      </c>
    </row>
    <row r="53" spans="2:13" x14ac:dyDescent="0.3">
      <c r="B53" t="str">
        <v>Ashraf Zia</v>
      </c>
      <c r="C53" s="23">
        <f>_xlfn.XLOOKUP(B35,[1]Billing!$O$5:$O$29,[1]Billing!$P$5:$P$29)</f>
        <v>23305</v>
      </c>
      <c r="D53" s="23">
        <f>_xlfn.XLOOKUP($B35,[1]Billing!$O$5:$O$29,[1]Billing!$Q$5:$Q$29)</f>
        <v>21310.35113386979</v>
      </c>
      <c r="E53" s="23">
        <f>_xlfn.XLOOKUP($B35,[1]Billing!$O$5:$O$29,[1]Billing!$R$5:$R$29)</f>
        <v>21310.35113386979</v>
      </c>
      <c r="F53" s="23">
        <f>_xlfn.XLOOKUP($B35,[1]Billing!$O$5:$O$29,[1]Billing!$S$5:$S$29)</f>
        <v>0</v>
      </c>
      <c r="G53" s="23">
        <f>_xlfn.XLOOKUP($B35,[1]Billing!$O$5:$O$29,[1]Billing!$T$5:$T$29)</f>
        <v>255724.21360643749</v>
      </c>
      <c r="H53" s="23">
        <f>_xlfn.XLOOKUP($B35,[1]Billing!$O$5:$O$29,[1]Billing!$U$5:$U$29)</f>
        <v>0</v>
      </c>
      <c r="I53" s="44">
        <f t="shared" si="11"/>
        <v>255724.21360643749</v>
      </c>
      <c r="J53" s="23">
        <f>_xlfn.XLOOKUP($B35,[1]Billing!$O$5:$O$29,[1]Billing!$W$5:$W$29)</f>
        <v>0</v>
      </c>
      <c r="K53" s="42">
        <f t="shared" si="12"/>
        <v>255724.21360643749</v>
      </c>
      <c r="L53" s="22">
        <v>12</v>
      </c>
      <c r="M53" s="22">
        <v>12</v>
      </c>
    </row>
    <row r="54" spans="2:13" x14ac:dyDescent="0.3">
      <c r="B54" t="str">
        <v>Hafiz Qureshi</v>
      </c>
      <c r="C54" s="23">
        <f>_xlfn.XLOOKUP(B36,[1]Billing!$O$5:$O$29,[1]Billing!$P$5:$P$29)</f>
        <v>21807</v>
      </c>
      <c r="D54" s="23">
        <f>_xlfn.XLOOKUP($B36,[1]Billing!$O$5:$O$29,[1]Billing!$Q$5:$Q$29)</f>
        <v>19940.563277249454</v>
      </c>
      <c r="E54" s="23">
        <f>_xlfn.XLOOKUP($B36,[1]Billing!$O$5:$O$29,[1]Billing!$R$5:$R$29)</f>
        <v>19940.563277249454</v>
      </c>
      <c r="F54" s="23">
        <f>_xlfn.XLOOKUP($B36,[1]Billing!$O$5:$O$29,[1]Billing!$S$5:$S$29)</f>
        <v>0</v>
      </c>
      <c r="G54" s="23">
        <f>_xlfn.XLOOKUP($B36,[1]Billing!$O$5:$O$29,[1]Billing!$T$5:$T$29)</f>
        <v>199405.63277249454</v>
      </c>
      <c r="H54" s="23">
        <f>_xlfn.XLOOKUP($B36,[1]Billing!$O$5:$O$29,[1]Billing!$U$5:$U$29)</f>
        <v>0</v>
      </c>
      <c r="I54" s="44">
        <f t="shared" si="11"/>
        <v>199405.63277249454</v>
      </c>
      <c r="J54" s="23">
        <f>_xlfn.XLOOKUP($B36,[1]Billing!$O$5:$O$29,[1]Billing!$W$5:$W$29)</f>
        <v>100000</v>
      </c>
      <c r="K54" s="42">
        <f t="shared" si="12"/>
        <v>99405.632772494544</v>
      </c>
      <c r="L54" s="22">
        <v>10</v>
      </c>
      <c r="M54" s="22">
        <v>12</v>
      </c>
    </row>
    <row r="55" spans="2:13" x14ac:dyDescent="0.3">
      <c r="B55" t="str">
        <v>Badshah Fabrics</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M16" sqref="M16"/>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70"/>
      <c r="D4" s="70"/>
      <c r="I4" t="s">
        <v>34</v>
      </c>
      <c r="J4" t="str" cm="1">
        <f t="array" ref="J4:J15">_xlfn.UNIQUE(Table1[Party Name])</f>
        <v>BSC</v>
      </c>
    </row>
    <row r="5" spans="2:10" x14ac:dyDescent="0.3">
      <c r="J5" t="str">
        <v>Ejaz Sahab</v>
      </c>
    </row>
    <row r="6" spans="2:10" ht="21" x14ac:dyDescent="0.4">
      <c r="B6" s="72" t="s">
        <v>9</v>
      </c>
      <c r="J6" t="str">
        <v>Arshad</v>
      </c>
    </row>
    <row r="7" spans="2:10" ht="15.6" x14ac:dyDescent="0.3">
      <c r="B7" s="70" t="s">
        <v>36</v>
      </c>
      <c r="C7" s="70" t="s">
        <v>4</v>
      </c>
      <c r="D7" s="70" t="s">
        <v>160</v>
      </c>
      <c r="E7" s="70" t="s">
        <v>161</v>
      </c>
      <c r="J7" t="str">
        <v>Shehzad Kamoki</v>
      </c>
    </row>
    <row r="8" spans="2:10" ht="18" x14ac:dyDescent="0.35">
      <c r="B8" s="63" t="s">
        <v>37</v>
      </c>
      <c r="C8" s="74"/>
      <c r="D8" s="76" cm="1">
        <f t="array" ref="D8">_xlfn.XLOOKUP($B$6,_xlfn.ANCHORARRAY( Billing!O5), INDEX(Billing!P5:P19, _xlfn.SEQUENCE(ROWS(_xlfn.ANCHORARRAY(Billing!$O$5)))), "Not Found")</f>
        <v>205292</v>
      </c>
      <c r="E8" s="74"/>
      <c r="J8" t="str">
        <v>Sufi Nawaz Sahab</v>
      </c>
    </row>
    <row r="9" spans="2:10" ht="18" x14ac:dyDescent="0.35">
      <c r="B9" s="63"/>
      <c r="C9" s="74"/>
      <c r="D9" s="74"/>
      <c r="E9" s="74"/>
      <c r="J9" t="str">
        <v>Sajad Khan</v>
      </c>
    </row>
    <row r="10" spans="2:10" ht="18" x14ac:dyDescent="0.35">
      <c r="B10" s="63" t="s">
        <v>38</v>
      </c>
      <c r="C10" s="74"/>
      <c r="D10" s="76" cm="1">
        <f t="array" ref="D10">_xlfn.XLOOKUP($B$6,_xlfn.ANCHORARRAY( Billing!$O$5), INDEX(Billing!Q5:Q20, _xlfn.SEQUENCE(ROWS(_xlfn.ANCHORARRAY(Billing!$O$5)))), "Not Found")</f>
        <v>187721.2874908559</v>
      </c>
      <c r="E10" s="74"/>
      <c r="J10" t="str">
        <v>Raaz Fabrics</v>
      </c>
    </row>
    <row r="11" spans="2:10" ht="18.600000000000001" thickBot="1" x14ac:dyDescent="0.4">
      <c r="B11" s="63"/>
      <c r="C11" s="74"/>
      <c r="D11" s="74"/>
      <c r="E11" s="74"/>
      <c r="J11" t="str">
        <v>Azam</v>
      </c>
    </row>
    <row r="12" spans="2:10" ht="18.600000000000001" thickBot="1" x14ac:dyDescent="0.4">
      <c r="B12" s="63" t="s">
        <v>39</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172927.02999268472</v>
      </c>
      <c r="E12" s="101">
        <f ca="1">Table21[[#This Row],[gazana]]*Table21[[#This Row],[Rate]]</f>
        <v>1729270.2999268472</v>
      </c>
      <c r="J12" t="str">
        <v>Ubaidullah</v>
      </c>
    </row>
    <row r="13" spans="2:10" ht="18" x14ac:dyDescent="0.35">
      <c r="B13" s="73"/>
      <c r="C13" s="75"/>
      <c r="D13" s="75"/>
      <c r="E13" s="74"/>
      <c r="J13" t="str">
        <v>Ashraf Zia</v>
      </c>
    </row>
    <row r="14" spans="2:10" ht="18" x14ac:dyDescent="0.35">
      <c r="B14" s="63" t="s">
        <v>40</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14794.257498171179</v>
      </c>
      <c r="E14" s="74">
        <f ca="1">Table21[[#This Row],[gazana]]*Table21[[#This Row],[Rate]]</f>
        <v>177531.08997805414</v>
      </c>
      <c r="J14" t="str">
        <v>Hafiz Qureshi</v>
      </c>
    </row>
    <row r="15" spans="2:10" ht="18.600000000000001" thickBot="1" x14ac:dyDescent="0.4">
      <c r="B15" s="73"/>
      <c r="C15" s="75"/>
      <c r="D15" s="75"/>
      <c r="E15" s="74"/>
      <c r="J15" t="str">
        <v>Badshah Fabrics</v>
      </c>
    </row>
    <row r="16" spans="2:10" ht="18.600000000000001" thickBot="1" x14ac:dyDescent="0.4">
      <c r="B16" s="63" t="s">
        <v>41</v>
      </c>
      <c r="C16" s="74"/>
      <c r="D16" s="100"/>
      <c r="E16" s="102">
        <f ca="1">E12+E14</f>
        <v>1906801.3899049014</v>
      </c>
    </row>
    <row r="17" spans="2:5" ht="18.600000000000001" thickBot="1" x14ac:dyDescent="0.4">
      <c r="B17" s="73"/>
      <c r="C17" s="75"/>
      <c r="D17" s="77"/>
      <c r="E17" s="74"/>
    </row>
    <row r="18" spans="2:5" ht="18.600000000000001" thickBot="1" x14ac:dyDescent="0.4">
      <c r="B18" s="63" t="s">
        <v>42</v>
      </c>
      <c r="C18" s="74"/>
      <c r="D18" s="100"/>
      <c r="E18" s="102" cm="1">
        <f t="array" aca="1" ref="E18" ca="1">_xlfn.XLOOKUP($B$6,_xlfn.ANCHORARRAY( Billing!O5), OFFSET(Billing!W5, 0, 0, ROWS(_xlfn.ANCHORARRAY(Billing!O5))), "Not Found")</f>
        <v>1833701</v>
      </c>
    </row>
    <row r="19" spans="2:5" ht="18.600000000000001" thickBot="1" x14ac:dyDescent="0.4">
      <c r="B19" s="63"/>
      <c r="C19" s="74"/>
      <c r="D19" s="76"/>
      <c r="E19" s="74"/>
    </row>
    <row r="20" spans="2:5" ht="18.600000000000001" thickBot="1" x14ac:dyDescent="0.4">
      <c r="B20" s="63" t="s">
        <v>43</v>
      </c>
      <c r="C20" s="74"/>
      <c r="D20" s="100"/>
      <c r="E20" s="103" cm="1">
        <f t="array" aca="1" ref="E20" ca="1">_xlfn.XLOOKUP($B$6,_xlfn.ANCHORARRAY( Billing!O5), OFFSET(Billing!X5, 0, 0, ROWS(_xlfn.ANCHORARRAY(Billing!O5))), "Not Found")</f>
        <v>73100.389904901385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50" workbookViewId="0">
      <selection activeCell="D6" sqref="D6"/>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Wood!N14+810*300</f>
        <v>4643360</v>
      </c>
      <c r="D4" t="s">
        <v>183</v>
      </c>
    </row>
    <row r="5" spans="1:4" x14ac:dyDescent="0.3">
      <c r="B5" t="s">
        <v>48</v>
      </c>
      <c r="C5" s="11">
        <f>SUM(Table8[Price])+Dyes!P41</f>
        <v>1313105</v>
      </c>
      <c r="D5" t="s">
        <v>189</v>
      </c>
    </row>
    <row r="6" spans="1:4" x14ac:dyDescent="0.3">
      <c r="B6" t="s">
        <v>49</v>
      </c>
      <c r="C6" s="11">
        <f>SUM(Table2[Price])+247000</f>
        <v>416100</v>
      </c>
      <c r="D6" t="s">
        <v>188</v>
      </c>
    </row>
    <row r="7" spans="1:4" x14ac:dyDescent="0.3">
      <c r="B7" t="s">
        <v>50</v>
      </c>
      <c r="C7" s="11">
        <f>SUMIFS(Table14[Debit], Table14[Party],Table12[[#This Row],[Type]])</f>
        <v>7920</v>
      </c>
    </row>
    <row r="8" spans="1:4" x14ac:dyDescent="0.3">
      <c r="B8" t="s">
        <v>51</v>
      </c>
      <c r="C8" s="11">
        <f>Electricity!E3</f>
        <v>0</v>
      </c>
    </row>
    <row r="9" spans="1:4" x14ac:dyDescent="0.3">
      <c r="B9" t="s">
        <v>52</v>
      </c>
      <c r="C9" s="11">
        <f>Table11[[#Totals],[Amount]]+'Salary Acc'!I35</f>
        <v>67000</v>
      </c>
    </row>
    <row r="10" spans="1:4" x14ac:dyDescent="0.3">
      <c r="B10" t="s">
        <v>53</v>
      </c>
      <c r="C10" s="11">
        <f>Table5[[#Totals],[Amount]]</f>
        <v>49180</v>
      </c>
    </row>
    <row r="11" spans="1:4" x14ac:dyDescent="0.3">
      <c r="B11" t="s">
        <v>54</v>
      </c>
      <c r="C11" s="11">
        <f>Table13[[#Totals],[Debit]]</f>
        <v>207592</v>
      </c>
    </row>
    <row r="12" spans="1:4" x14ac:dyDescent="0.3">
      <c r="B12" t="s">
        <v>55</v>
      </c>
      <c r="C12" s="11">
        <f>Table15[[#Totals],[Amount]]</f>
        <v>179957</v>
      </c>
    </row>
    <row r="13" spans="1:4" x14ac:dyDescent="0.3">
      <c r="C13" s="11"/>
    </row>
    <row r="14" spans="1:4" x14ac:dyDescent="0.3">
      <c r="C14" s="14">
        <f>SUM(Table12[Amount])</f>
        <v>6884214</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J19" sqref="J19"/>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66</v>
      </c>
      <c r="C2" s="11" t="s">
        <v>67</v>
      </c>
    </row>
    <row r="3" spans="1:4" x14ac:dyDescent="0.3">
      <c r="B3" s="11" t="s">
        <v>0</v>
      </c>
      <c r="C3" s="11">
        <f ca="1">Billing!C22 + SUMIFS(Table14[Credit], Table14[Party], "Transport")</f>
        <v>9021867.2275054865</v>
      </c>
      <c r="D3" t="s">
        <v>68</v>
      </c>
    </row>
    <row r="4" spans="1:4" x14ac:dyDescent="0.3">
      <c r="B4" s="11" t="s">
        <v>44</v>
      </c>
      <c r="C4" s="11">
        <f>Table12[[#Totals],[Amount]]</f>
        <v>6884214</v>
      </c>
    </row>
    <row r="5" spans="1:4" x14ac:dyDescent="0.3">
      <c r="A5" s="6"/>
      <c r="B5" s="15" t="s">
        <v>69</v>
      </c>
      <c r="C5" s="15">
        <f ca="1">C3-C4</f>
        <v>2137653.2275054865</v>
      </c>
    </row>
    <row r="10" spans="1:4" ht="15" thickBot="1" x14ac:dyDescent="0.35">
      <c r="B10" t="s">
        <v>66</v>
      </c>
      <c r="C10" s="14" t="s">
        <v>67</v>
      </c>
    </row>
    <row r="11" spans="1:4" x14ac:dyDescent="0.3">
      <c r="B11" s="64" t="s">
        <v>0</v>
      </c>
      <c r="C11" s="65">
        <f ca="1">C3</f>
        <v>9021867.2275054865</v>
      </c>
    </row>
    <row r="12" spans="1:4" x14ac:dyDescent="0.3">
      <c r="B12" s="66" t="s">
        <v>70</v>
      </c>
      <c r="C12" s="67">
        <f>SUM(Table14[Credit])</f>
        <v>9677777</v>
      </c>
    </row>
    <row r="13" spans="1:4" ht="15" thickBot="1" x14ac:dyDescent="0.35">
      <c r="B13" s="82" t="s">
        <v>97</v>
      </c>
      <c r="C13" s="81">
        <f ca="1">(C11-C12)</f>
        <v>-655909.77249451354</v>
      </c>
    </row>
    <row r="14" spans="1:4" ht="15" thickBot="1" x14ac:dyDescent="0.35">
      <c r="B14" s="66"/>
      <c r="C14" s="67"/>
    </row>
    <row r="15" spans="1:4" x14ac:dyDescent="0.3">
      <c r="B15" s="64" t="s">
        <v>44</v>
      </c>
      <c r="C15" s="65">
        <f>C4</f>
        <v>6884214</v>
      </c>
    </row>
    <row r="16" spans="1:4" x14ac:dyDescent="0.3">
      <c r="B16" s="66" t="s">
        <v>71</v>
      </c>
      <c r="C16" s="67">
        <f>SUM(Table14[Debit])</f>
        <v>9435725</v>
      </c>
    </row>
    <row r="17" spans="2:6" ht="15" thickBot="1" x14ac:dyDescent="0.35">
      <c r="B17" s="82" t="s">
        <v>72</v>
      </c>
      <c r="C17" s="81">
        <f>C15-C16</f>
        <v>-2551511</v>
      </c>
    </row>
    <row r="18" spans="2:6" ht="15" thickBot="1" x14ac:dyDescent="0.35">
      <c r="B18" s="66"/>
      <c r="C18" s="67"/>
    </row>
    <row r="19" spans="2:6" ht="15" thickBot="1" x14ac:dyDescent="0.35">
      <c r="B19" s="83" t="s">
        <v>73</v>
      </c>
      <c r="C19" s="84">
        <f>Table18[[#Totals],[amount]]</f>
        <v>242052</v>
      </c>
    </row>
    <row r="20" spans="2:6" ht="15" thickBot="1" x14ac:dyDescent="0.35">
      <c r="B20" s="79"/>
      <c r="C20" s="80"/>
    </row>
    <row r="21" spans="2:6" ht="15" thickBot="1" x14ac:dyDescent="0.35">
      <c r="B21" s="68" t="s">
        <v>74</v>
      </c>
      <c r="C21" s="69">
        <f ca="1">(C13-C17)+C19</f>
        <v>2137653.2275054865</v>
      </c>
      <c r="E21" s="87" t="s">
        <v>75</v>
      </c>
      <c r="F21" s="88">
        <f ca="1">C5*0.05</f>
        <v>106882.66137527433</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76</v>
      </c>
      <c r="C2" t="s">
        <v>45</v>
      </c>
      <c r="D2" t="s">
        <v>71</v>
      </c>
      <c r="E2" t="s">
        <v>70</v>
      </c>
      <c r="F2" t="s">
        <v>77</v>
      </c>
    </row>
    <row r="3" spans="2:6" x14ac:dyDescent="0.3">
      <c r="B3" s="1">
        <v>45916</v>
      </c>
      <c r="D3">
        <f>SUMIFS(Table14[Debit], Table14[Date], Table13[[#This Row],[Date]], Table14[Party], "Transport")</f>
        <v>20000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4500</v>
      </c>
      <c r="E5">
        <f>SUMIFS(Table14[Credit], Table14[Date], Table13[[#This Row],[Date]], Table14[Party], "Transport")</f>
        <v>0</v>
      </c>
    </row>
    <row r="6" spans="2:6" x14ac:dyDescent="0.3">
      <c r="B6" s="1">
        <v>45919</v>
      </c>
      <c r="D6">
        <f>SUMIFS(Table14[Debit], Table14[Date], Table13[[#This Row],[Date]], Table14[Party], "Transport")</f>
        <v>32310</v>
      </c>
      <c r="E6">
        <f>SUMIFS(Table14[Credit], Table14[Date], Table13[[#This Row],[Date]], Table14[Party], "Transport")</f>
        <v>0</v>
      </c>
    </row>
    <row r="7" spans="2:6" x14ac:dyDescent="0.3">
      <c r="B7" s="1">
        <v>45920</v>
      </c>
      <c r="D7">
        <f>SUMIFS(Table14[Debit], Table14[Date], Table13[[#This Row],[Date]], Table14[Party], "Transport")</f>
        <v>14300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3000</v>
      </c>
      <c r="E9">
        <f>SUMIFS(Table14[Credit], Table14[Date], Table13[[#This Row],[Date]], Table14[Party], "Transport")</f>
        <v>0</v>
      </c>
    </row>
    <row r="10" spans="2:6" x14ac:dyDescent="0.3">
      <c r="B10" s="1">
        <v>45923</v>
      </c>
      <c r="D10">
        <f>SUMIFS(Table14[Debit], Table14[Date], Table13[[#This Row],[Date]], Table14[Party], "Transport")</f>
        <v>44200</v>
      </c>
      <c r="E10">
        <f>SUMIFS(Table14[Credit], Table14[Date], Table13[[#This Row],[Date]], Table14[Party], "Transport")</f>
        <v>0</v>
      </c>
    </row>
    <row r="11" spans="2:6" x14ac:dyDescent="0.3">
      <c r="B11" s="1">
        <v>45924</v>
      </c>
      <c r="D11">
        <f>SUMIFS(Table14[Debit], Table14[Date], Table13[[#This Row],[Date]], Table14[Party], "Transport")</f>
        <v>6000</v>
      </c>
      <c r="E11">
        <f>SUMIFS(Table14[Credit], Table14[Date], Table13[[#This Row],[Date]], Table14[Party], "Transport")</f>
        <v>0</v>
      </c>
    </row>
    <row r="12" spans="2:6" x14ac:dyDescent="0.3">
      <c r="B12" s="1">
        <v>45925</v>
      </c>
      <c r="D12">
        <f>SUMIFS(Table14[Debit], Table14[Date], Table13[[#This Row],[Date]], Table14[Party], "Transport")</f>
        <v>7308</v>
      </c>
      <c r="E12">
        <f>SUMIFS(Table14[Credit], Table14[Date], Table13[[#This Row],[Date]], Table14[Party], "Transport")</f>
        <v>0</v>
      </c>
    </row>
    <row r="13" spans="2:6" x14ac:dyDescent="0.3">
      <c r="B13" s="1">
        <v>45926</v>
      </c>
      <c r="D13">
        <f>SUMIFS(Table14[Debit], Table14[Date], Table13[[#This Row],[Date]], Table14[Party], "Transport")</f>
        <v>14574</v>
      </c>
      <c r="E13">
        <f>SUMIFS(Table14[Credit], Table14[Date], Table13[[#This Row],[Date]], Table14[Party], "Transport")</f>
        <v>0</v>
      </c>
    </row>
    <row r="14" spans="2:6" x14ac:dyDescent="0.3">
      <c r="B14" s="1">
        <v>45927</v>
      </c>
      <c r="D14">
        <f>SUMIFS(Table14[Debit], Table14[Date], Table13[[#This Row],[Date]], Table14[Party], "Transport")</f>
        <v>24200</v>
      </c>
      <c r="E14">
        <f>SUMIFS(Table14[Credit], Table14[Date], Table13[[#This Row],[Date]], Table14[Party], "Transport")</f>
        <v>0</v>
      </c>
    </row>
    <row r="15" spans="2:6" x14ac:dyDescent="0.3">
      <c r="B15" s="1">
        <v>45928</v>
      </c>
      <c r="D15">
        <f>SUMIFS(Table14[Debit], Table14[Date], Table13[[#This Row],[Date]], Table14[Party], "Transport")</f>
        <v>8050</v>
      </c>
      <c r="E15">
        <f>SUMIFS(Table14[Credit], Table14[Date], Table13[[#This Row],[Date]], Table14[Party], "Transport")</f>
        <v>0</v>
      </c>
    </row>
    <row r="16" spans="2:6" x14ac:dyDescent="0.3">
      <c r="B16" s="1">
        <v>45929</v>
      </c>
      <c r="D16">
        <f>SUMIFS(Table14[Debit], Table14[Date], Table13[[#This Row],[Date]], Table14[Party], "Transport")</f>
        <v>20700</v>
      </c>
      <c r="E16">
        <f>SUMIFS(Table14[Credit], Table14[Date], Table13[[#This Row],[Date]], Table14[Party], "Transport")</f>
        <v>0</v>
      </c>
    </row>
    <row r="17" spans="2:5" x14ac:dyDescent="0.3">
      <c r="B17" s="1">
        <v>45930</v>
      </c>
      <c r="D17">
        <f>SUMIFS(Table14[Debit], Table14[Date], Table13[[#This Row],[Date]], Table14[Party], "Transport")</f>
        <v>3350</v>
      </c>
      <c r="E17">
        <f>SUMIFS(Table14[Credit], Table14[Date], Table13[[#This Row],[Date]], Table14[Party], "Transport")</f>
        <v>0</v>
      </c>
    </row>
    <row r="18" spans="2:5" x14ac:dyDescent="0.3">
      <c r="B18" s="1">
        <v>45931</v>
      </c>
      <c r="D18">
        <f>SUMIFS(Table14[Debit], Table14[Date], Table13[[#This Row],[Date]], Table14[Party], "Transport")</f>
        <v>5100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207592</v>
      </c>
      <c r="E35">
        <f>SUBTOTAL(109,Table13[Credit])</f>
        <v>0</v>
      </c>
      <c r="F35">
        <f>Table13[[#Totals],[Debit]]-Table13[[#Totals],[Credit]]</f>
        <v>207592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163"/>
  <sheetViews>
    <sheetView topLeftCell="A66" zoomScale="72" workbookViewId="0">
      <selection activeCell="D18" sqref="D18"/>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7.109375" style="10" bestFit="1" customWidth="1"/>
    <col min="5" max="5" width="15.5546875" style="10" bestFit="1" customWidth="1"/>
    <col min="6" max="6" width="17.5546875" style="10" bestFit="1" customWidth="1"/>
    <col min="7" max="7" width="12.88671875" style="10" bestFit="1" customWidth="1"/>
    <col min="8" max="8" width="18" style="10" bestFit="1" customWidth="1"/>
    <col min="9" max="9" width="13.5546875" style="10" bestFit="1" customWidth="1"/>
    <col min="10" max="10" width="17.5546875" style="10" bestFit="1" customWidth="1"/>
    <col min="11" max="11" width="12.332031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76</v>
      </c>
      <c r="B1" s="30" t="s">
        <v>2</v>
      </c>
      <c r="C1" s="30" t="s">
        <v>78</v>
      </c>
      <c r="D1" s="30" t="s">
        <v>79</v>
      </c>
      <c r="E1" s="30" t="s">
        <v>80</v>
      </c>
      <c r="F1" s="30" t="s">
        <v>81</v>
      </c>
      <c r="G1" s="30" t="s">
        <v>82</v>
      </c>
      <c r="H1" s="31" t="s">
        <v>83</v>
      </c>
      <c r="I1" s="31" t="s">
        <v>84</v>
      </c>
      <c r="J1" s="31" t="s">
        <v>85</v>
      </c>
      <c r="K1" s="31" t="s">
        <v>41</v>
      </c>
    </row>
    <row r="2" spans="1:28" x14ac:dyDescent="0.3">
      <c r="A2" s="28">
        <v>45916</v>
      </c>
      <c r="B2" s="29" t="s">
        <v>21</v>
      </c>
      <c r="C2" s="29" t="s">
        <v>164</v>
      </c>
      <c r="D2" s="29" t="s">
        <v>86</v>
      </c>
      <c r="E2" s="21"/>
      <c r="F2" s="11"/>
      <c r="G2" s="11"/>
      <c r="H2" s="32" t="e">
        <f>_xlfn.XLOOKUP(Table1[[#This Row],[Shipment Number]], 'pivot '!A:A,'pivot '!G:G, "NF")</f>
        <v>#DIV/0!</v>
      </c>
      <c r="I2" s="32">
        <f>_xlfn.XLOOKUP(Table1[[#This Row],[Party Name]],
[1]Billing!$O$5:$O$20,
[1]Billing!$R$5:$R$20)</f>
        <v>1073433.6137527432</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10734336.137527432</v>
      </c>
      <c r="K2" s="29"/>
    </row>
    <row r="3" spans="1:28" x14ac:dyDescent="0.3">
      <c r="A3" s="28">
        <v>45916</v>
      </c>
      <c r="B3" s="29" t="s">
        <v>22</v>
      </c>
      <c r="C3" s="29" t="s">
        <v>164</v>
      </c>
      <c r="D3" s="29" t="s">
        <v>86</v>
      </c>
      <c r="E3" s="21"/>
      <c r="F3" s="11"/>
      <c r="G3" s="11"/>
      <c r="H3" s="32" t="e">
        <f>_xlfn.XLOOKUP(Table1[[#This Row],[Shipment Number]], 'pivot '!A:A,'pivot '!G:G, "NF")</f>
        <v>#DIV/0!</v>
      </c>
      <c r="I3" s="32">
        <f>_xlfn.XLOOKUP(Table1[[#This Row],[Party Name]],
[1]Billing!$O$5:$O$20,
[1]Billing!$R$5:$R$20)</f>
        <v>85990.30724213607</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859903.07242136076</v>
      </c>
      <c r="K3" s="29"/>
    </row>
    <row r="4" spans="1:28" x14ac:dyDescent="0.3">
      <c r="A4" s="28">
        <v>45916</v>
      </c>
      <c r="B4" s="29" t="s">
        <v>9</v>
      </c>
      <c r="C4" s="29" t="s">
        <v>164</v>
      </c>
      <c r="D4" s="29" t="s">
        <v>86</v>
      </c>
      <c r="E4" s="21"/>
      <c r="F4" s="11"/>
      <c r="G4" s="11"/>
      <c r="H4" s="32" t="e">
        <f>_xlfn.XLOOKUP(Table1[[#This Row],[Shipment Number]], 'pivot '!A:A,'pivot '!G:G, "NF")</f>
        <v>#DIV/0!</v>
      </c>
      <c r="I4" s="32">
        <f>_xlfn.XLOOKUP(Table1[[#This Row],[Party Name]],
[1]Billing!$O$5:$O$20,
[1]Billing!$R$5:$R$20)</f>
        <v>143661.30212143381</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1436613.021214338</v>
      </c>
      <c r="K4" s="29"/>
    </row>
    <row r="5" spans="1:28" x14ac:dyDescent="0.3">
      <c r="A5" s="28">
        <v>45916</v>
      </c>
      <c r="B5" s="29" t="s">
        <v>23</v>
      </c>
      <c r="C5" s="29" t="s">
        <v>164</v>
      </c>
      <c r="D5" s="29" t="s">
        <v>86</v>
      </c>
      <c r="E5" s="21"/>
      <c r="F5" s="11"/>
      <c r="G5" s="11"/>
      <c r="H5" s="32" t="e">
        <f>_xlfn.XLOOKUP(Table1[[#This Row],[Shipment Number]], 'pivot '!A:A,'pivot '!G:G, "NF")</f>
        <v>#DIV/0!</v>
      </c>
      <c r="I5" s="32">
        <f>_xlfn.XLOOKUP(Table1[[#This Row],[Party Name]],
[1]Billing!$O$5:$O$20,
[1]Billing!$R$5:$R$20)</f>
        <v>109450.43891733725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1126095.508632041</v>
      </c>
      <c r="K5" s="29"/>
    </row>
    <row r="6" spans="1:28" x14ac:dyDescent="0.3">
      <c r="A6" s="28">
        <v>45916</v>
      </c>
      <c r="B6" s="29" t="s">
        <v>24</v>
      </c>
      <c r="C6" s="29" t="s">
        <v>164</v>
      </c>
      <c r="D6" s="29" t="s">
        <v>86</v>
      </c>
      <c r="E6" s="21"/>
      <c r="F6" s="11"/>
      <c r="G6" s="11"/>
      <c r="H6" s="32" t="e">
        <f>_xlfn.XLOOKUP(Table1[[#This Row],[Shipment Number]], 'pivot '!A:A,'pivot '!G:G, "NF")</f>
        <v>#DIV/0!</v>
      </c>
      <c r="I6" s="32">
        <f>_xlfn.XLOOKUP(Table1[[#This Row],[Party Name]],
[1]Billing!$O$5:$O$20,
[1]Billing!$R$5:$R$20)</f>
        <v>359403.80395025609</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3234634.2355523049</v>
      </c>
      <c r="K6" s="29"/>
      <c r="X6"/>
      <c r="Y6"/>
      <c r="Z6"/>
      <c r="AA6"/>
      <c r="AB6"/>
    </row>
    <row r="7" spans="1:28" x14ac:dyDescent="0.3">
      <c r="A7" s="28">
        <v>45916</v>
      </c>
      <c r="B7" s="29" t="s">
        <v>25</v>
      </c>
      <c r="C7" s="29" t="s">
        <v>164</v>
      </c>
      <c r="D7" s="29" t="s">
        <v>86</v>
      </c>
      <c r="E7" s="21"/>
      <c r="F7" s="11"/>
      <c r="G7" s="11"/>
      <c r="H7" s="32" t="e">
        <f>_xlfn.XLOOKUP(Table1[[#This Row],[Shipment Number]], 'pivot '!A:A,'pivot '!G:G, "NF")</f>
        <v>#DIV/0!</v>
      </c>
      <c r="I7" s="32">
        <f>_xlfn.XLOOKUP(Table1[[#This Row],[Party Name]],
[1]Billing!$O$5:$O$20,
[1]Billing!$R$5:$R$20)</f>
        <v>251057.05925384053</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2510570.5925384052</v>
      </c>
      <c r="K7" s="29"/>
      <c r="X7"/>
      <c r="Y7"/>
      <c r="Z7"/>
      <c r="AA7"/>
      <c r="AB7"/>
    </row>
    <row r="8" spans="1:28" x14ac:dyDescent="0.3">
      <c r="A8" s="28">
        <v>45916</v>
      </c>
      <c r="B8" s="29" t="s">
        <v>26</v>
      </c>
      <c r="C8" s="29" t="s">
        <v>164</v>
      </c>
      <c r="D8" s="29" t="s">
        <v>86</v>
      </c>
      <c r="E8" s="21"/>
      <c r="F8" s="11"/>
      <c r="G8" s="11"/>
      <c r="H8" s="32" t="e">
        <f>_xlfn.XLOOKUP(Table1[[#This Row],[Shipment Number]], 'pivot '!A:A,'pivot '!G:G, "NF")</f>
        <v>#DIV/0!</v>
      </c>
      <c r="I8" s="32">
        <f>_xlfn.XLOOKUP(Table1[[#This Row],[Party Name]],
[1]Billing!$O$5:$O$20,
[1]Billing!$R$5:$R$20)</f>
        <v>45582.479882955377</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455824.79882955377</v>
      </c>
      <c r="K8" s="29"/>
      <c r="X8"/>
      <c r="Y8"/>
      <c r="Z8"/>
      <c r="AA8"/>
      <c r="AB8"/>
    </row>
    <row r="9" spans="1:28" x14ac:dyDescent="0.3">
      <c r="A9" s="28">
        <v>45916</v>
      </c>
      <c r="B9" s="29" t="s">
        <v>162</v>
      </c>
      <c r="C9" s="29" t="s">
        <v>164</v>
      </c>
      <c r="D9" s="29" t="s">
        <v>86</v>
      </c>
      <c r="E9" s="21"/>
      <c r="F9" s="11"/>
      <c r="G9" s="11"/>
      <c r="H9" s="32" t="e">
        <f>_xlfn.XLOOKUP(Table1[[#This Row],[Shipment Number]], 'pivot '!A:A,'pivot '!G:G, "NF")</f>
        <v>#DIV/0!</v>
      </c>
      <c r="I9" s="32">
        <f>_xlfn.XLOOKUP(Table1[[#This Row],[Party Name]],
[1]Billing!$O$5:$O$20,
[1]Billing!$R$5:$R$20)</f>
        <v>26105.523043160207</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261055.23043160207</v>
      </c>
      <c r="K9" s="29"/>
      <c r="X9"/>
      <c r="Y9"/>
      <c r="Z9"/>
      <c r="AA9"/>
      <c r="AB9"/>
    </row>
    <row r="10" spans="1:28" x14ac:dyDescent="0.3">
      <c r="A10" s="28">
        <v>45916</v>
      </c>
      <c r="B10" s="29" t="s">
        <v>35</v>
      </c>
      <c r="C10" s="29" t="s">
        <v>164</v>
      </c>
      <c r="D10" s="29" t="s">
        <v>86</v>
      </c>
      <c r="E10" s="21"/>
      <c r="F10" s="11"/>
      <c r="G10" s="11"/>
      <c r="H10" s="32" t="e">
        <f>_xlfn.XLOOKUP(Table1[[#This Row],[Shipment Number]], 'pivot '!A:A,'pivot '!G:G, "NF")</f>
        <v>#DIV/0!</v>
      </c>
      <c r="I10" s="32">
        <f>_xlfn.XLOOKUP(Table1[[#This Row],[Party Name]],
[1]Billing!$O$5:$O$20,
[1]Billing!$R$5:$R$20)</f>
        <v>29529.078273591811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295290.78273591812</v>
      </c>
      <c r="K10" s="29"/>
      <c r="X10"/>
      <c r="Y10"/>
    </row>
    <row r="11" spans="1:28" x14ac:dyDescent="0.3">
      <c r="A11" s="28">
        <v>45916</v>
      </c>
      <c r="B11" s="29" t="s">
        <v>157</v>
      </c>
      <c r="C11" s="29" t="s">
        <v>164</v>
      </c>
      <c r="D11" s="29" t="s">
        <v>87</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45916</v>
      </c>
      <c r="B12" s="29" t="s">
        <v>27</v>
      </c>
      <c r="C12" s="29" t="s">
        <v>164</v>
      </c>
      <c r="D12" s="29" t="s">
        <v>86</v>
      </c>
      <c r="E12" s="21"/>
      <c r="F12" s="11"/>
      <c r="G12" s="11"/>
      <c r="H12" s="32" t="e">
        <f>_xlfn.XLOOKUP(Table1[[#This Row],[Shipment Number]], 'pivot '!A:A,'pivot '!G:G, "NF")</f>
        <v>#DIV/0!</v>
      </c>
      <c r="I12" s="32">
        <f>_xlfn.XLOOKUP(Table1[[#This Row],[Party Name]],
[1]Billing!$O$5:$O$20,
[1]Billing!$R$5:$R$20)</f>
        <v>19940.563277249454</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12" s="29"/>
      <c r="P12"/>
      <c r="Q12"/>
      <c r="R12"/>
      <c r="S12"/>
      <c r="T12"/>
      <c r="U12"/>
      <c r="V12"/>
      <c r="W12"/>
      <c r="X12"/>
      <c r="Y12"/>
    </row>
    <row r="13" spans="1:28" x14ac:dyDescent="0.3">
      <c r="A13" s="28">
        <v>45916</v>
      </c>
      <c r="B13" s="29" t="s">
        <v>24</v>
      </c>
      <c r="C13" s="29" t="s">
        <v>164</v>
      </c>
      <c r="D13" s="29" t="s">
        <v>88</v>
      </c>
      <c r="E13" s="11"/>
      <c r="F13" s="11"/>
      <c r="G13" s="11"/>
      <c r="H13" s="32" t="e">
        <f>_xlfn.XLOOKUP(Table1[[#This Row],[Shipment Number]], 'pivot '!A:A,'pivot '!G:G, "NF")</f>
        <v>#DIV/0!</v>
      </c>
      <c r="I13" s="32">
        <f>_xlfn.XLOOKUP(Table1[[#This Row],[Party Name]],
[1]Billing!$O$5:$O$20,
[1]Billing!$S$5:$S$20)</f>
        <v>217917.88588149232</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2615014.6305779079</v>
      </c>
      <c r="K13" s="29"/>
      <c r="P13"/>
      <c r="Q13"/>
      <c r="R13"/>
      <c r="S13"/>
      <c r="T13"/>
      <c r="U13"/>
      <c r="V13"/>
      <c r="W13"/>
      <c r="X13"/>
      <c r="Y13"/>
    </row>
    <row r="14" spans="1:28" x14ac:dyDescent="0.3">
      <c r="A14" s="28">
        <v>45916</v>
      </c>
      <c r="B14" s="29" t="s">
        <v>21</v>
      </c>
      <c r="C14" s="29" t="s">
        <v>164</v>
      </c>
      <c r="D14" s="29" t="s">
        <v>88</v>
      </c>
      <c r="E14" s="11"/>
      <c r="F14" s="11"/>
      <c r="G14" s="11"/>
      <c r="H14" s="32" t="e">
        <f>_xlfn.XLOOKUP(Table1[[#This Row],[Shipment Number]], 'pivot '!A:A,'pivot '!G:G, "NF")</f>
        <v>#DIV/0!</v>
      </c>
      <c r="I14" s="32">
        <f>_xlfn.XLOOKUP(Table1[[#This Row],[Party Name]],
[1]Billing!$O$5:$O$20,
[1]Billing!$S$5:$S$20)</f>
        <v>14551.938551572788</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174623.26261887344</v>
      </c>
      <c r="K14" s="29"/>
      <c r="P14"/>
      <c r="Q14"/>
      <c r="R14"/>
      <c r="S14"/>
      <c r="T14"/>
      <c r="U14"/>
      <c r="V14"/>
      <c r="W14"/>
      <c r="X14"/>
      <c r="Y14"/>
    </row>
    <row r="15" spans="1:28" x14ac:dyDescent="0.3">
      <c r="A15" s="28">
        <v>45917</v>
      </c>
      <c r="B15" s="29" t="s">
        <v>21</v>
      </c>
      <c r="C15" s="29">
        <v>835</v>
      </c>
      <c r="D15" s="29" t="s">
        <v>86</v>
      </c>
      <c r="E15" s="11">
        <v>1708</v>
      </c>
      <c r="F15" s="11">
        <v>29011</v>
      </c>
      <c r="G15" s="11">
        <v>19968</v>
      </c>
      <c r="H15" s="32">
        <v>1.7</v>
      </c>
      <c r="I15" s="32">
        <f>IF(Table1[[#This Row],[Shipment Number]]="RD",0,Table1[[#This Row],[Tiyaar/gaz]]/1.0936)</f>
        <v>18258.961228968546</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182589.61228968546</v>
      </c>
      <c r="K15" s="29"/>
      <c r="P15"/>
      <c r="Q15"/>
      <c r="R15"/>
      <c r="S15"/>
      <c r="T15"/>
      <c r="U15"/>
      <c r="V15"/>
      <c r="W15"/>
      <c r="X15"/>
      <c r="Y15"/>
    </row>
    <row r="16" spans="1:28" x14ac:dyDescent="0.3">
      <c r="A16" s="28">
        <v>45917</v>
      </c>
      <c r="B16" s="29" t="s">
        <v>24</v>
      </c>
      <c r="C16" s="29">
        <v>836</v>
      </c>
      <c r="D16" s="29" t="s">
        <v>88</v>
      </c>
      <c r="E16" s="11">
        <v>1720</v>
      </c>
      <c r="F16" s="11">
        <v>30020</v>
      </c>
      <c r="G16" s="11">
        <v>28988</v>
      </c>
      <c r="H16" s="32">
        <f>_xlfn.XLOOKUP(Table1[[#This Row],[Shipment Number]], 'pivot '!A:A,'pivot '!G:G, "NF")</f>
        <v>-0.4176927646869899</v>
      </c>
      <c r="I16" s="32">
        <f>IF(Table1[[#This Row],[Shipment Number]]="RD",0,Table1[[#This Row],[Tiyaar/gaz]]/1.0936)</f>
        <v>26506.949524506221</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318083.39429407462</v>
      </c>
      <c r="K16" s="29"/>
      <c r="P16"/>
      <c r="Q16"/>
      <c r="R16"/>
      <c r="S16"/>
      <c r="T16"/>
      <c r="U16"/>
      <c r="V16"/>
      <c r="W16"/>
      <c r="X16"/>
      <c r="Y16"/>
    </row>
    <row r="17" spans="1:25" x14ac:dyDescent="0.3">
      <c r="A17" s="28">
        <v>45917</v>
      </c>
      <c r="B17" s="29" t="s">
        <v>24</v>
      </c>
      <c r="C17" s="29">
        <v>837</v>
      </c>
      <c r="D17" s="29" t="s">
        <v>88</v>
      </c>
      <c r="E17" s="11">
        <v>1720</v>
      </c>
      <c r="F17" s="11">
        <v>30020</v>
      </c>
      <c r="G17" s="11">
        <v>3979</v>
      </c>
      <c r="H17" s="32">
        <f>_xlfn.XLOOKUP(Table1[[#This Row],[Shipment Number]], 'pivot '!A:A,'pivot '!G:G, "NF")</f>
        <v>-0.4176927646869899</v>
      </c>
      <c r="I17" s="32">
        <f>IF(Table1[[#This Row],[Shipment Number]]="RD",0,Table1[[#This Row],[Tiyaar/gaz]]/1.0936)</f>
        <v>3638.4418434528166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43661.3021214338</v>
      </c>
      <c r="K17" s="29"/>
      <c r="P17"/>
      <c r="Q17"/>
      <c r="R17"/>
      <c r="S17"/>
      <c r="T17"/>
      <c r="U17"/>
      <c r="V17"/>
      <c r="W17"/>
      <c r="X17"/>
      <c r="Y17"/>
    </row>
    <row r="18" spans="1:25" x14ac:dyDescent="0.3">
      <c r="A18" s="28">
        <v>45917</v>
      </c>
      <c r="B18" s="29" t="s">
        <v>24</v>
      </c>
      <c r="C18" s="29">
        <v>838</v>
      </c>
      <c r="D18" s="29" t="s">
        <v>88</v>
      </c>
      <c r="E18" s="11">
        <v>1723</v>
      </c>
      <c r="F18" s="11">
        <v>6003</v>
      </c>
      <c r="G18" s="11">
        <v>6476</v>
      </c>
      <c r="H18" s="32">
        <f>_xlfn.XLOOKUP(Table1[[#This Row],[Shipment Number]], 'pivot '!A:A,'pivot '!G:G, "NF")</f>
        <v>1.3538829219869228</v>
      </c>
      <c r="I18" s="32">
        <f>IF(Table1[[#This Row],[Shipment Number]]="RD",0,Table1[[#This Row],[Tiyaar/gaz]]/1.0936)</f>
        <v>5921.7264081931244</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71060.716898317492</v>
      </c>
      <c r="K18" s="29"/>
      <c r="P18"/>
      <c r="Q18"/>
      <c r="R18"/>
      <c r="S18"/>
      <c r="T18"/>
      <c r="U18"/>
      <c r="V18"/>
      <c r="W18"/>
      <c r="X18"/>
      <c r="Y18"/>
    </row>
    <row r="19" spans="1:25" x14ac:dyDescent="0.3">
      <c r="A19" s="28">
        <v>45917</v>
      </c>
      <c r="B19" s="29" t="s">
        <v>24</v>
      </c>
      <c r="C19" s="29">
        <v>839</v>
      </c>
      <c r="D19" s="29" t="s">
        <v>88</v>
      </c>
      <c r="E19" s="11">
        <v>1724</v>
      </c>
      <c r="F19" s="11">
        <v>10145</v>
      </c>
      <c r="G19" s="11">
        <v>10952</v>
      </c>
      <c r="H19" s="32">
        <f>_xlfn.XLOOKUP(Table1[[#This Row],[Shipment Number]], 'pivot '!A:A,'pivot '!G:G, "NF")</f>
        <v>1.2850608387597049</v>
      </c>
      <c r="I19" s="32">
        <f>IF(Table1[[#This Row],[Shipment Number]]="RD",0,Table1[[#This Row],[Tiyaar/gaz]]/1.0936)</f>
        <v>10014.630577907828</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120175.56693489394</v>
      </c>
      <c r="K19" s="29"/>
      <c r="P19"/>
      <c r="Q19"/>
      <c r="R19"/>
      <c r="S19"/>
      <c r="T19"/>
      <c r="U19"/>
      <c r="V19"/>
      <c r="W19"/>
      <c r="X19"/>
      <c r="Y19"/>
    </row>
    <row r="20" spans="1:25" x14ac:dyDescent="0.3">
      <c r="A20" s="28">
        <v>45917</v>
      </c>
      <c r="B20" s="29" t="s">
        <v>24</v>
      </c>
      <c r="C20" s="29">
        <v>840</v>
      </c>
      <c r="D20" s="29" t="s">
        <v>88</v>
      </c>
      <c r="E20" s="11">
        <v>1714</v>
      </c>
      <c r="F20" s="11">
        <v>2911</v>
      </c>
      <c r="G20" s="11">
        <v>3128</v>
      </c>
      <c r="H20" s="32">
        <f>_xlfn.XLOOKUP(Table1[[#This Row],[Shipment Number]], 'pivot '!A:A,'pivot '!G:G, "NF")</f>
        <v>1.7424259367829364</v>
      </c>
      <c r="I20" s="32">
        <f>IF(Table1[[#This Row],[Shipment Number]]="RD",0,Table1[[#This Row],[Tiyaar/gaz]]/1.0936)</f>
        <v>2860.2779809802491</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34323.335771762991</v>
      </c>
      <c r="K20" s="29"/>
      <c r="P20"/>
      <c r="Q20"/>
      <c r="R20"/>
      <c r="S20"/>
      <c r="T20"/>
      <c r="U20"/>
      <c r="V20"/>
      <c r="W20"/>
      <c r="X20"/>
      <c r="Y20"/>
    </row>
    <row r="21" spans="1:25" x14ac:dyDescent="0.3">
      <c r="A21" s="28">
        <v>45917</v>
      </c>
      <c r="B21" s="29" t="s">
        <v>35</v>
      </c>
      <c r="C21" s="29">
        <v>841</v>
      </c>
      <c r="D21" s="29" t="s">
        <v>86</v>
      </c>
      <c r="E21" s="11">
        <v>1690</v>
      </c>
      <c r="F21" s="11">
        <v>16016</v>
      </c>
      <c r="G21" s="11">
        <v>17060</v>
      </c>
      <c r="H21" s="32">
        <f>_xlfn.XLOOKUP(Table1[[#This Row],[Shipment Number]], 'pivot '!A:A,'pivot '!G:G, "NF")</f>
        <v>2.5983160950242024</v>
      </c>
      <c r="I21" s="32">
        <f>IF(Table1[[#This Row],[Shipment Number]]="RD",0,Table1[[#This Row],[Tiyaar/gaz]]/1.0936)</f>
        <v>15599.853694220923</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155998.53694220923</v>
      </c>
      <c r="K21" s="29"/>
      <c r="P21"/>
      <c r="Q21"/>
      <c r="R21"/>
      <c r="S21"/>
      <c r="T21"/>
      <c r="U21"/>
      <c r="V21"/>
      <c r="W21"/>
      <c r="X21"/>
      <c r="Y21"/>
    </row>
    <row r="22" spans="1:25" x14ac:dyDescent="0.3">
      <c r="A22" s="105">
        <v>45917</v>
      </c>
      <c r="B22" s="106" t="s">
        <v>21</v>
      </c>
      <c r="C22" s="106">
        <v>842</v>
      </c>
      <c r="D22" s="106" t="s">
        <v>86</v>
      </c>
      <c r="E22" s="107">
        <v>1716</v>
      </c>
      <c r="F22" s="107"/>
      <c r="G22" s="107"/>
      <c r="H22" s="108" t="e">
        <f>_xlfn.XLOOKUP(Table1[[#This Row],[Shipment Number]], 'pivot '!A:A,'pivot '!G:G, "NF")</f>
        <v>#DIV/0!</v>
      </c>
      <c r="I22" s="32">
        <f>IF(Table1[[#This Row],[Shipment Number]]="RD",0,Table1[[#This Row],[Tiyaar/gaz]]/1.0936)</f>
        <v>0</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2" s="106"/>
      <c r="P22"/>
      <c r="Q22"/>
      <c r="R22"/>
      <c r="S22"/>
      <c r="T22"/>
      <c r="U22"/>
      <c r="V22"/>
      <c r="W22"/>
      <c r="X22"/>
      <c r="Y22"/>
    </row>
    <row r="23" spans="1:25" x14ac:dyDescent="0.3">
      <c r="A23" s="28">
        <v>45918</v>
      </c>
      <c r="B23" s="29" t="s">
        <v>162</v>
      </c>
      <c r="C23" s="29">
        <v>843</v>
      </c>
      <c r="D23" s="29" t="s">
        <v>86</v>
      </c>
      <c r="E23" s="11">
        <v>1696</v>
      </c>
      <c r="F23" s="11">
        <v>34908</v>
      </c>
      <c r="G23" s="11">
        <v>37420</v>
      </c>
      <c r="H23" s="32">
        <f>_xlfn.XLOOKUP(Table1[[#This Row],[Shipment Number]], 'pivot '!A:A,'pivot '!G:G, "NF")</f>
        <v>1.9787324340230157</v>
      </c>
      <c r="I23" s="32">
        <f>IF(Table1[[#This Row],[Shipment Number]]="RD",0,Table1[[#This Row],[Tiyaar/gaz]]/1.0936)</f>
        <v>34217.264081931236</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342172.64081931236</v>
      </c>
      <c r="K23" s="29"/>
      <c r="P23"/>
      <c r="Q23"/>
      <c r="R23"/>
      <c r="S23"/>
      <c r="T23"/>
      <c r="U23"/>
      <c r="V23"/>
      <c r="W23"/>
      <c r="X23"/>
      <c r="Y23"/>
    </row>
    <row r="24" spans="1:25" x14ac:dyDescent="0.3">
      <c r="A24" s="28">
        <v>45919</v>
      </c>
      <c r="B24" s="29" t="s">
        <v>162</v>
      </c>
      <c r="C24" s="29">
        <v>844</v>
      </c>
      <c r="D24" s="29" t="s">
        <v>86</v>
      </c>
      <c r="E24" s="11">
        <v>1694</v>
      </c>
      <c r="F24" s="11">
        <v>33379</v>
      </c>
      <c r="G24" s="11">
        <v>2641</v>
      </c>
      <c r="H24" s="32">
        <f>_xlfn.XLOOKUP(Table1[[#This Row],[Shipment Number]], 'pivot '!A:A,'pivot '!G:G, "NF")</f>
        <v>1.8362034941172141</v>
      </c>
      <c r="I24" s="32">
        <f>IF(Table1[[#This Row],[Shipment Number]]="RD",0,Table1[[#This Row],[Tiyaar/gaz]]/1.0936)</f>
        <v>2414.9597659107535</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24149.597659107534</v>
      </c>
      <c r="K24" s="29"/>
      <c r="P24"/>
      <c r="Q24"/>
      <c r="R24"/>
      <c r="S24"/>
      <c r="T24"/>
      <c r="U24"/>
      <c r="V24"/>
      <c r="W24"/>
      <c r="X24"/>
      <c r="Y24"/>
    </row>
    <row r="25" spans="1:25" x14ac:dyDescent="0.3">
      <c r="A25" s="105">
        <v>45888</v>
      </c>
      <c r="B25" s="106" t="s">
        <v>21</v>
      </c>
      <c r="C25" s="106">
        <v>845</v>
      </c>
      <c r="D25" s="106" t="s">
        <v>86</v>
      </c>
      <c r="E25" s="107">
        <v>1716</v>
      </c>
      <c r="F25" s="107"/>
      <c r="G25" s="107"/>
      <c r="H25" s="108" t="e">
        <f>_xlfn.XLOOKUP(Table1[[#This Row],[Shipment Number]], 'pivot '!A:A,'pivot '!G:G, "NF")</f>
        <v>#DIV/0!</v>
      </c>
      <c r="I25" s="32">
        <f>IF(Table1[[#This Row],[Shipment Number]]="RD",0,Table1[[#This Row],[Tiyaar/gaz]]/1.0936)</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106"/>
      <c r="P25"/>
      <c r="Q25"/>
      <c r="R25"/>
      <c r="S25"/>
      <c r="T25"/>
      <c r="U25"/>
      <c r="V25"/>
      <c r="W25"/>
      <c r="X25"/>
      <c r="Y25"/>
    </row>
    <row r="26" spans="1:25" x14ac:dyDescent="0.3">
      <c r="A26" s="28">
        <v>45888</v>
      </c>
      <c r="B26" s="29" t="s">
        <v>25</v>
      </c>
      <c r="C26" s="29">
        <v>846</v>
      </c>
      <c r="D26" s="29" t="s">
        <v>86</v>
      </c>
      <c r="E26" s="11">
        <v>1687</v>
      </c>
      <c r="F26" s="11">
        <v>25625</v>
      </c>
      <c r="G26" s="11">
        <v>2190</v>
      </c>
      <c r="H26" s="32">
        <f>_xlfn.XLOOKUP(Table1[[#This Row],[Shipment Number]], 'pivot '!A:A,'pivot '!G:G, "NF")</f>
        <v>1.5219369457776395</v>
      </c>
      <c r="I26" s="32">
        <f>IF(Table1[[#This Row],[Shipment Number]]="RD",0,Table1[[#This Row],[Tiyaar/gaz]]/1.0936)</f>
        <v>2002.56035113387</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20025.603511338701</v>
      </c>
      <c r="K26" s="29"/>
      <c r="P26"/>
      <c r="Q26"/>
      <c r="R26"/>
      <c r="S26"/>
      <c r="T26"/>
      <c r="U26"/>
      <c r="V26"/>
      <c r="W26"/>
      <c r="X26"/>
      <c r="Y26"/>
    </row>
    <row r="27" spans="1:25" x14ac:dyDescent="0.3">
      <c r="A27" s="28">
        <v>45919</v>
      </c>
      <c r="B27" s="29" t="s">
        <v>21</v>
      </c>
      <c r="C27" s="29">
        <v>847</v>
      </c>
      <c r="D27" s="29" t="s">
        <v>86</v>
      </c>
      <c r="E27" s="11">
        <v>1719</v>
      </c>
      <c r="F27" s="11">
        <v>30808</v>
      </c>
      <c r="G27" s="11">
        <v>26284</v>
      </c>
      <c r="H27" s="32">
        <f>_xlfn.XLOOKUP(Table1[[#This Row],[Shipment Number]], 'pivot '!A:A,'pivot '!G:G, "NF")</f>
        <v>1.557148819115568</v>
      </c>
      <c r="I27" s="32">
        <f>IF(Table1[[#This Row],[Shipment Number]]="RD",0,Table1[[#This Row],[Tiyaar/gaz]]/1.0936)</f>
        <v>24034.381858083398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240343.81858083396</v>
      </c>
      <c r="K27" s="29"/>
      <c r="P27"/>
      <c r="Q27"/>
      <c r="R27"/>
      <c r="S27"/>
      <c r="T27"/>
      <c r="U27"/>
      <c r="V27"/>
      <c r="W27"/>
      <c r="X27"/>
      <c r="Y27"/>
    </row>
    <row r="28" spans="1:25" x14ac:dyDescent="0.3">
      <c r="A28" s="105">
        <v>45919</v>
      </c>
      <c r="B28" s="106" t="s">
        <v>9</v>
      </c>
      <c r="C28" s="106">
        <v>848</v>
      </c>
      <c r="D28" s="106" t="s">
        <v>86</v>
      </c>
      <c r="E28" s="107">
        <v>1716</v>
      </c>
      <c r="F28" s="107"/>
      <c r="G28" s="107"/>
      <c r="H28" s="108" t="e">
        <f>_xlfn.XLOOKUP(Table1[[#This Row],[Shipment Number]], 'pivot '!A:A,'pivot '!G:G, "NF")</f>
        <v>#DIV/0!</v>
      </c>
      <c r="I28" s="32">
        <f>IF(Table1[[#This Row],[Shipment Number]]="RD",0,Table1[[#This Row],[Tiyaar/gaz]]/1.0936)</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45920</v>
      </c>
      <c r="B29" s="29" t="s">
        <v>21</v>
      </c>
      <c r="C29" s="29">
        <v>849</v>
      </c>
      <c r="D29" s="29" t="s">
        <v>86</v>
      </c>
      <c r="E29" s="11">
        <v>1719</v>
      </c>
      <c r="F29" s="11">
        <v>30808</v>
      </c>
      <c r="G29" s="11">
        <v>6883</v>
      </c>
      <c r="H29" s="32">
        <f>_xlfn.XLOOKUP(Table1[[#This Row],[Shipment Number]], 'pivot '!A:A,'pivot '!G:G, "NF")</f>
        <v>1.557148819115568</v>
      </c>
      <c r="I29" s="32">
        <f>IF(Table1[[#This Row],[Shipment Number]]="RD",0,Table1[[#This Row],[Tiyaar/gaz]]/1.0936)</f>
        <v>6293.8917337234825</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62938.917337234823</v>
      </c>
      <c r="K29" s="29"/>
      <c r="P29"/>
      <c r="Q29"/>
      <c r="R29"/>
      <c r="S29"/>
      <c r="T29"/>
      <c r="U29"/>
      <c r="V29"/>
      <c r="W29"/>
      <c r="X29"/>
      <c r="Y29"/>
    </row>
    <row r="30" spans="1:25" x14ac:dyDescent="0.3">
      <c r="A30" s="105">
        <v>45920</v>
      </c>
      <c r="B30" s="106" t="s">
        <v>21</v>
      </c>
      <c r="C30" s="106">
        <v>850</v>
      </c>
      <c r="D30" s="106" t="s">
        <v>86</v>
      </c>
      <c r="E30" s="107">
        <v>1716</v>
      </c>
      <c r="F30" s="107"/>
      <c r="G30" s="107"/>
      <c r="H30" s="108" t="e">
        <f>_xlfn.XLOOKUP(Table1[[#This Row],[Shipment Number]], 'pivot '!A:A,'pivot '!G:G, "NF")</f>
        <v>#DIV/0!</v>
      </c>
      <c r="I30" s="32">
        <f>IF(Table1[[#This Row],[Shipment Number]]="RD",0,Table1[[#This Row],[Tiyaar/gaz]]/1.0936)</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105">
        <v>45920</v>
      </c>
      <c r="B31" s="106" t="s">
        <v>21</v>
      </c>
      <c r="C31" s="106">
        <v>851</v>
      </c>
      <c r="D31" s="106" t="s">
        <v>86</v>
      </c>
      <c r="E31" s="107">
        <v>1716</v>
      </c>
      <c r="F31" s="107"/>
      <c r="G31" s="107"/>
      <c r="H31" s="108" t="e">
        <f>_xlfn.XLOOKUP(Table1[[#This Row],[Shipment Number]], 'pivot '!A:A,'pivot '!G:G, "NF")</f>
        <v>#DIV/0!</v>
      </c>
      <c r="I31" s="32">
        <f>IF(Table1[[#This Row],[Shipment Number]]="RD",0,Table1[[#This Row],[Tiyaar/gaz]]/1.0936)</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45920</v>
      </c>
      <c r="B32" s="29" t="s">
        <v>162</v>
      </c>
      <c r="C32" s="29">
        <v>852</v>
      </c>
      <c r="D32" s="29" t="s">
        <v>86</v>
      </c>
      <c r="E32" s="11">
        <v>1694</v>
      </c>
      <c r="F32" s="11">
        <v>33379</v>
      </c>
      <c r="G32" s="11">
        <v>10423</v>
      </c>
      <c r="H32" s="32">
        <f>_xlfn.XLOOKUP(Table1[[#This Row],[Shipment Number]], 'pivot '!A:A,'pivot '!G:G, "NF")</f>
        <v>1.8362034941172141</v>
      </c>
      <c r="I32" s="32">
        <f>IF(Table1[[#This Row],[Shipment Number]]="RD",0,Table1[[#This Row],[Tiyaar/gaz]]/1.0936)</f>
        <v>9530.9070958302855</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95309.070958302851</v>
      </c>
      <c r="K32" s="29"/>
      <c r="P32"/>
      <c r="Q32"/>
      <c r="R32"/>
      <c r="S32"/>
      <c r="T32"/>
      <c r="U32"/>
      <c r="V32"/>
      <c r="W32"/>
      <c r="X32"/>
      <c r="Y32"/>
    </row>
    <row r="33" spans="1:25" x14ac:dyDescent="0.3">
      <c r="A33" s="28">
        <v>45920</v>
      </c>
      <c r="B33" s="29" t="s">
        <v>162</v>
      </c>
      <c r="C33" s="29">
        <v>853</v>
      </c>
      <c r="D33" s="29" t="s">
        <v>86</v>
      </c>
      <c r="E33" s="11">
        <v>1694</v>
      </c>
      <c r="F33" s="11">
        <v>33379</v>
      </c>
      <c r="G33" s="11">
        <v>22769</v>
      </c>
      <c r="H33" s="32">
        <f>_xlfn.XLOOKUP(Table1[[#This Row],[Shipment Number]], 'pivot '!A:A,'pivot '!G:G, "NF")</f>
        <v>1.8362034941172141</v>
      </c>
      <c r="I33" s="32">
        <f>IF(Table1[[#This Row],[Shipment Number]]="RD",0,Table1[[#This Row],[Tiyaar/gaz]]/1.0936)</f>
        <v>20820.226773957573</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208202.26773957573</v>
      </c>
      <c r="K33" s="29"/>
      <c r="P33"/>
      <c r="Q33"/>
      <c r="R33"/>
      <c r="S33"/>
      <c r="T33"/>
      <c r="U33"/>
      <c r="V33"/>
      <c r="W33"/>
      <c r="X33"/>
      <c r="Y33"/>
    </row>
    <row r="34" spans="1:25" x14ac:dyDescent="0.3">
      <c r="A34" s="28">
        <v>45920</v>
      </c>
      <c r="B34" s="29" t="s">
        <v>25</v>
      </c>
      <c r="C34" s="29">
        <v>854</v>
      </c>
      <c r="D34" s="29" t="s">
        <v>86</v>
      </c>
      <c r="E34" s="11">
        <v>1687</v>
      </c>
      <c r="F34" s="11">
        <v>25625</v>
      </c>
      <c r="G34" s="11">
        <v>25407</v>
      </c>
      <c r="H34" s="32">
        <f>_xlfn.XLOOKUP(Table1[[#This Row],[Shipment Number]], 'pivot '!A:A,'pivot '!G:G, "NF")</f>
        <v>1.5219369457776395</v>
      </c>
      <c r="I34" s="32">
        <f>IF(Table1[[#This Row],[Shipment Number]]="RD",0,Table1[[#This Row],[Tiyaar/gaz]]/1.0936)</f>
        <v>23232.44330651061</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232324.4330651061</v>
      </c>
      <c r="K34" s="29"/>
      <c r="P34"/>
      <c r="Q34"/>
      <c r="R34"/>
      <c r="S34"/>
      <c r="T34"/>
      <c r="U34"/>
      <c r="V34"/>
      <c r="W34"/>
      <c r="X34"/>
      <c r="Y34"/>
    </row>
    <row r="35" spans="1:25" x14ac:dyDescent="0.3">
      <c r="A35" s="105">
        <v>45920</v>
      </c>
      <c r="B35" s="106" t="s">
        <v>21</v>
      </c>
      <c r="C35" s="106">
        <v>855</v>
      </c>
      <c r="D35" s="106" t="s">
        <v>86</v>
      </c>
      <c r="E35" s="107">
        <v>1716</v>
      </c>
      <c r="F35" s="107"/>
      <c r="G35" s="107"/>
      <c r="H35" s="108" t="e">
        <f>_xlfn.XLOOKUP(Table1[[#This Row],[Shipment Number]], 'pivot '!A:A,'pivot '!G:G, "NF")</f>
        <v>#DIV/0!</v>
      </c>
      <c r="I35" s="32">
        <f>IF(Table1[[#This Row],[Shipment Number]]="RD",0,Table1[[#This Row],[Tiyaar/gaz]]/1.0936)</f>
        <v>0</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5" s="29"/>
      <c r="P35"/>
      <c r="Q35"/>
      <c r="R35"/>
      <c r="S35"/>
      <c r="T35"/>
      <c r="U35"/>
      <c r="V35"/>
      <c r="W35"/>
      <c r="X35"/>
      <c r="Y35"/>
    </row>
    <row r="36" spans="1:25" x14ac:dyDescent="0.3">
      <c r="A36" s="28">
        <v>45922</v>
      </c>
      <c r="B36" s="29" t="s">
        <v>26</v>
      </c>
      <c r="C36" s="29">
        <v>856</v>
      </c>
      <c r="D36" s="29" t="s">
        <v>86</v>
      </c>
      <c r="E36" s="11">
        <v>1688</v>
      </c>
      <c r="F36" s="11">
        <v>23958</v>
      </c>
      <c r="G36" s="11">
        <v>25710</v>
      </c>
      <c r="H36" s="32">
        <f>_xlfn.XLOOKUP(Table1[[#This Row],[Shipment Number]], 'pivot '!A:A,'pivot '!G:G, "NF")</f>
        <v>1.8719848249432829</v>
      </c>
      <c r="I36" s="32">
        <f>IF(Table1[[#This Row],[Shipment Number]]="RD",0,Table1[[#This Row],[Tiyaar/gaz]]/1.0936)</f>
        <v>23509.509875640091</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235095.09875640093</v>
      </c>
      <c r="K36" s="29"/>
      <c r="P36"/>
      <c r="Q36"/>
      <c r="R36"/>
      <c r="S36"/>
      <c r="T36"/>
      <c r="U36"/>
      <c r="V36"/>
      <c r="W36"/>
      <c r="X36"/>
      <c r="Y36"/>
    </row>
    <row r="37" spans="1:25" x14ac:dyDescent="0.3">
      <c r="A37" s="28">
        <v>45922</v>
      </c>
      <c r="B37" s="29" t="s">
        <v>24</v>
      </c>
      <c r="C37" s="29">
        <v>857</v>
      </c>
      <c r="D37" s="29" t="s">
        <v>86</v>
      </c>
      <c r="E37" s="11" t="s">
        <v>232</v>
      </c>
      <c r="F37" s="11">
        <v>16582</v>
      </c>
      <c r="G37" s="11">
        <v>18018</v>
      </c>
      <c r="H37" s="32">
        <f>_xlfn.XLOOKUP(Table1[[#This Row],[Shipment Number]], 'pivot '!A:A,'pivot '!G:G, "NF")</f>
        <v>0.64009440084376479</v>
      </c>
      <c r="I37" s="32">
        <f>IF(Table1[[#This Row],[Shipment Number]]="RD",0,Table1[[#This Row],[Tiyaar/gaz]]/1.0936)</f>
        <v>16475.859546452088</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148282.73591806879</v>
      </c>
      <c r="K37" s="29"/>
      <c r="P37"/>
      <c r="Q37"/>
      <c r="R37"/>
      <c r="S37"/>
      <c r="T37"/>
      <c r="U37"/>
      <c r="V37"/>
      <c r="W37"/>
      <c r="X37"/>
      <c r="Y37"/>
    </row>
    <row r="38" spans="1:25" x14ac:dyDescent="0.3">
      <c r="A38" s="28">
        <v>45922</v>
      </c>
      <c r="B38" s="29" t="s">
        <v>24</v>
      </c>
      <c r="C38" s="29">
        <v>858</v>
      </c>
      <c r="D38" s="29" t="s">
        <v>86</v>
      </c>
      <c r="E38" s="11">
        <v>1710</v>
      </c>
      <c r="F38" s="11">
        <v>100795</v>
      </c>
      <c r="G38" s="11">
        <v>52061</v>
      </c>
      <c r="H38" s="32">
        <f>_xlfn.XLOOKUP(Table1[[#This Row],[Shipment Number]], 'pivot '!A:A,'pivot '!G:G, "NF")</f>
        <v>1.3412137225226104</v>
      </c>
      <c r="I38" s="32">
        <f>IF(Table1[[#This Row],[Shipment Number]]="RD",0,Table1[[#This Row],[Tiyaar/gaz]]/1.0936)</f>
        <v>47605.157278712511</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428446.41550841258</v>
      </c>
      <c r="K38" s="29"/>
      <c r="P38"/>
      <c r="Q38"/>
      <c r="R38"/>
      <c r="S38"/>
      <c r="T38"/>
      <c r="U38"/>
      <c r="V38"/>
      <c r="W38"/>
      <c r="X38"/>
      <c r="Y38"/>
    </row>
    <row r="39" spans="1:25" x14ac:dyDescent="0.3">
      <c r="A39" s="28">
        <v>45922</v>
      </c>
      <c r="B39" s="29" t="s">
        <v>24</v>
      </c>
      <c r="C39" s="29">
        <v>859</v>
      </c>
      <c r="D39" s="29" t="s">
        <v>86</v>
      </c>
      <c r="E39" s="11">
        <v>1710</v>
      </c>
      <c r="F39" s="11">
        <v>100795</v>
      </c>
      <c r="G39" s="11">
        <v>45821</v>
      </c>
      <c r="H39" s="32">
        <f>_xlfn.XLOOKUP(Table1[[#This Row],[Shipment Number]], 'pivot '!A:A,'pivot '!G:G, "NF")</f>
        <v>1.3412137225226104</v>
      </c>
      <c r="I39" s="32">
        <f>IF(Table1[[#This Row],[Shipment Number]]="RD",0,Table1[[#This Row],[Tiyaar/gaz]]/1.0936)</f>
        <v>41899.231894659846</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377093.08705193864</v>
      </c>
      <c r="K39" s="29"/>
      <c r="P39"/>
      <c r="Q39"/>
      <c r="R39"/>
      <c r="S39"/>
      <c r="T39"/>
      <c r="U39"/>
      <c r="V39"/>
      <c r="W39"/>
      <c r="X39"/>
      <c r="Y39"/>
    </row>
    <row r="40" spans="1:25" x14ac:dyDescent="0.3">
      <c r="A40" s="28">
        <v>45923</v>
      </c>
      <c r="B40" s="29" t="s">
        <v>243</v>
      </c>
      <c r="C40" s="29">
        <v>860</v>
      </c>
      <c r="D40" s="29" t="s">
        <v>86</v>
      </c>
      <c r="E40" s="11">
        <v>1725</v>
      </c>
      <c r="F40" s="11">
        <v>54293</v>
      </c>
      <c r="G40" s="11">
        <v>41491</v>
      </c>
      <c r="H40" s="32">
        <f>_xlfn.XLOOKUP(Table1[[#This Row],[Shipment Number]], 'pivot '!A:A,'pivot '!G:G, "NF")</f>
        <v>2.3795014212824981</v>
      </c>
      <c r="I40" s="32">
        <f>IF(Table1[[#This Row],[Shipment Number]]="RD",0,Table1[[#This Row],[Tiyaar/gaz]]/1.0936)</f>
        <v>37939.831748354067</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379398.31748354068</v>
      </c>
      <c r="K40" s="29"/>
      <c r="P40"/>
      <c r="Q40"/>
      <c r="R40"/>
      <c r="S40"/>
      <c r="T40"/>
      <c r="U40"/>
      <c r="V40"/>
      <c r="W40"/>
      <c r="X40"/>
      <c r="Y40"/>
    </row>
    <row r="41" spans="1:25" x14ac:dyDescent="0.3">
      <c r="A41" s="28">
        <v>45923</v>
      </c>
      <c r="B41" s="29" t="s">
        <v>243</v>
      </c>
      <c r="C41" s="29">
        <v>861</v>
      </c>
      <c r="D41" s="29" t="s">
        <v>86</v>
      </c>
      <c r="E41" s="11">
        <v>1736</v>
      </c>
      <c r="F41" s="11">
        <v>21346</v>
      </c>
      <c r="G41" s="11">
        <v>7116</v>
      </c>
      <c r="H41" s="32">
        <f>_xlfn.XLOOKUP(Table1[[#This Row],[Shipment Number]], 'pivot '!A:A,'pivot '!G:G, "NF")</f>
        <v>1.8505220462438672</v>
      </c>
      <c r="I41" s="32">
        <f>IF(Table1[[#This Row],[Shipment Number]]="RD",0,Table1[[#This Row],[Tiyaar/gaz]]/1.0936)</f>
        <v>6506.9495245062189</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65069.495245062193</v>
      </c>
      <c r="K41" s="29"/>
      <c r="P41"/>
      <c r="Q41"/>
      <c r="R41"/>
      <c r="S41"/>
      <c r="T41"/>
      <c r="U41"/>
      <c r="V41"/>
      <c r="W41"/>
      <c r="X41"/>
      <c r="Y41"/>
    </row>
    <row r="42" spans="1:25" x14ac:dyDescent="0.3">
      <c r="A42" s="105">
        <v>45923</v>
      </c>
      <c r="B42" s="106" t="s">
        <v>21</v>
      </c>
      <c r="C42" s="106">
        <v>862</v>
      </c>
      <c r="D42" s="106" t="s">
        <v>86</v>
      </c>
      <c r="E42" s="107">
        <v>1716</v>
      </c>
      <c r="F42" s="107"/>
      <c r="G42" s="107"/>
      <c r="H42" s="108" t="e">
        <f>_xlfn.XLOOKUP(Table1[[#This Row],[Shipment Number]], 'pivot '!A:A,'pivot '!G:G, "NF")</f>
        <v>#DIV/0!</v>
      </c>
      <c r="I42" s="32">
        <f>IF(Table1[[#This Row],[Shipment Number]]="RD",0,Table1[[#This Row],[Tiyaar/gaz]]/1.0936)</f>
        <v>0</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2" s="29"/>
      <c r="P42"/>
      <c r="Q42"/>
      <c r="R42"/>
      <c r="S42"/>
      <c r="T42"/>
      <c r="U42"/>
      <c r="V42"/>
      <c r="W42"/>
      <c r="X42"/>
      <c r="Y42"/>
    </row>
    <row r="43" spans="1:25" x14ac:dyDescent="0.3">
      <c r="A43" s="28">
        <v>45923</v>
      </c>
      <c r="B43" s="29" t="s">
        <v>24</v>
      </c>
      <c r="C43" s="29">
        <v>863</v>
      </c>
      <c r="D43" s="29" t="s">
        <v>86</v>
      </c>
      <c r="E43" s="11">
        <v>1710</v>
      </c>
      <c r="F43" s="11">
        <v>100795</v>
      </c>
      <c r="G43" s="11">
        <v>10869</v>
      </c>
      <c r="H43" s="32">
        <f>_xlfn.XLOOKUP(Table1[[#This Row],[Shipment Number]], 'pivot '!A:A,'pivot '!G:G, "NF")</f>
        <v>1.3412137225226104</v>
      </c>
      <c r="I43" s="32">
        <f>IF(Table1[[#This Row],[Shipment Number]]="RD",0,Table1[[#This Row],[Tiyaar/gaz]]/1.0936)</f>
        <v>9938.7344550109738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89448.61009509876</v>
      </c>
      <c r="K43" s="29"/>
      <c r="P43"/>
      <c r="Q43"/>
      <c r="R43"/>
      <c r="S43"/>
      <c r="T43"/>
      <c r="U43"/>
      <c r="V43"/>
      <c r="W43"/>
      <c r="X43"/>
      <c r="Y43"/>
    </row>
    <row r="44" spans="1:25" x14ac:dyDescent="0.3">
      <c r="A44" s="28">
        <v>45924</v>
      </c>
      <c r="B44" s="29" t="s">
        <v>24</v>
      </c>
      <c r="C44" s="29">
        <v>864</v>
      </c>
      <c r="D44" s="29" t="s">
        <v>88</v>
      </c>
      <c r="E44" s="11">
        <v>1728</v>
      </c>
      <c r="F44" s="11">
        <v>33574</v>
      </c>
      <c r="G44" s="11">
        <v>35692</v>
      </c>
      <c r="H44" s="32">
        <f>_xlfn.XLOOKUP(Table1[[#This Row],[Shipment Number]], 'pivot '!A:A,'pivot '!G:G, "NF")</f>
        <v>2.790368535515924</v>
      </c>
      <c r="I44" s="32">
        <f>IF(Table1[[#This Row],[Shipment Number]]="RD",0,Table1[[#This Row],[Tiyaar/gaz]]/1.0936)</f>
        <v>32637.161667885885</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391645.94001463061</v>
      </c>
      <c r="K44" s="29"/>
      <c r="P44"/>
      <c r="Q44"/>
      <c r="R44"/>
      <c r="S44"/>
      <c r="T44"/>
      <c r="U44"/>
      <c r="V44"/>
      <c r="W44"/>
      <c r="X44"/>
      <c r="Y44"/>
    </row>
    <row r="45" spans="1:25" x14ac:dyDescent="0.3">
      <c r="A45" s="28">
        <v>45924</v>
      </c>
      <c r="B45" s="29" t="s">
        <v>24</v>
      </c>
      <c r="C45" s="29">
        <v>865</v>
      </c>
      <c r="D45" s="29" t="s">
        <v>88</v>
      </c>
      <c r="E45" s="11" t="s">
        <v>252</v>
      </c>
      <c r="F45" s="11">
        <v>25839</v>
      </c>
      <c r="G45" s="11">
        <v>28089</v>
      </c>
      <c r="H45" s="32">
        <f>_xlfn.XLOOKUP(Table1[[#This Row],[Shipment Number]], 'pivot '!A:A,'pivot '!G:G, "NF")</f>
        <v>0.59640880719001643</v>
      </c>
      <c r="I45" s="32">
        <f>IF(Table1[[#This Row],[Shipment Number]]="RD",0,Table1[[#This Row],[Tiyaar/gaz]]/1.0936)</f>
        <v>25684.893928310172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308218.72713972209</v>
      </c>
      <c r="K45" s="29"/>
      <c r="P45"/>
      <c r="Q45"/>
      <c r="R45"/>
      <c r="S45"/>
      <c r="T45"/>
      <c r="U45"/>
      <c r="V45"/>
      <c r="W45"/>
      <c r="X45"/>
      <c r="Y45"/>
    </row>
    <row r="46" spans="1:25" x14ac:dyDescent="0.3">
      <c r="A46" s="28">
        <v>45924</v>
      </c>
      <c r="B46" s="29" t="s">
        <v>24</v>
      </c>
      <c r="C46" s="29">
        <v>866</v>
      </c>
      <c r="D46" s="29" t="s">
        <v>88</v>
      </c>
      <c r="E46" s="11" t="s">
        <v>253</v>
      </c>
      <c r="F46" s="11">
        <v>13580</v>
      </c>
      <c r="G46" s="11">
        <v>14996</v>
      </c>
      <c r="H46" s="32">
        <f>_xlfn.XLOOKUP(Table1[[#This Row],[Shipment Number]], 'pivot '!A:A,'pivot '!G:G, "NF")</f>
        <v>-0.97576689330776389</v>
      </c>
      <c r="I46" s="32">
        <f>IF(Table1[[#This Row],[Shipment Number]]="RD",0,Table1[[#This Row],[Tiyaar/gaz]]/1.0936)</f>
        <v>13712.509144111194</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164550.10972933433</v>
      </c>
      <c r="K46" s="29"/>
      <c r="P46"/>
      <c r="Q46"/>
      <c r="R46"/>
      <c r="S46"/>
      <c r="T46"/>
      <c r="U46"/>
      <c r="V46"/>
      <c r="W46"/>
      <c r="X46"/>
      <c r="Y46"/>
    </row>
    <row r="47" spans="1:25" x14ac:dyDescent="0.3">
      <c r="A47" s="28">
        <v>45924</v>
      </c>
      <c r="B47" s="29" t="s">
        <v>9</v>
      </c>
      <c r="C47" s="29">
        <v>867</v>
      </c>
      <c r="D47" s="29" t="s">
        <v>88</v>
      </c>
      <c r="E47" s="11">
        <v>1726</v>
      </c>
      <c r="F47" s="11">
        <v>14869</v>
      </c>
      <c r="G47" s="11">
        <v>13485</v>
      </c>
      <c r="H47" s="32">
        <f>_xlfn.XLOOKUP(Table1[[#This Row],[Shipment Number]], 'pivot '!A:A,'pivot '!G:G, "NF")</f>
        <v>0.50267335953205361</v>
      </c>
      <c r="I47" s="32">
        <f>IF(Table1[[#This Row],[Shipment Number]]="RD",0,Table1[[#This Row],[Tiyaar/gaz]]/1.0936)</f>
        <v>12330.833942940748</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147970.00731528897</v>
      </c>
      <c r="K47" s="29"/>
      <c r="P47"/>
      <c r="Q47"/>
      <c r="R47"/>
      <c r="S47"/>
      <c r="T47"/>
      <c r="U47"/>
      <c r="V47"/>
      <c r="W47"/>
      <c r="X47"/>
      <c r="Y47"/>
    </row>
    <row r="48" spans="1:25" x14ac:dyDescent="0.3">
      <c r="A48" s="28">
        <v>45924</v>
      </c>
      <c r="B48" s="29" t="s">
        <v>24</v>
      </c>
      <c r="C48" s="29">
        <v>868</v>
      </c>
      <c r="D48" s="29" t="s">
        <v>88</v>
      </c>
      <c r="E48" s="11">
        <v>1730</v>
      </c>
      <c r="F48" s="11">
        <v>13899</v>
      </c>
      <c r="G48" s="11">
        <v>15066</v>
      </c>
      <c r="H48" s="32">
        <f>_xlfn.XLOOKUP(Table1[[#This Row],[Shipment Number]], 'pivot '!A:A,'pivot '!G:G, "NF")</f>
        <v>0.88122942328269005</v>
      </c>
      <c r="I48" s="32">
        <f>IF(Table1[[#This Row],[Shipment Number]]="RD",0,Table1[[#This Row],[Tiyaar/gaz]]/1.0936)</f>
        <v>13776.517922457939</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165318.21506949526</v>
      </c>
      <c r="K48" s="29"/>
      <c r="P48"/>
      <c r="Q48"/>
      <c r="R48"/>
      <c r="S48"/>
      <c r="T48"/>
      <c r="U48"/>
      <c r="V48"/>
      <c r="W48"/>
      <c r="X48"/>
      <c r="Y48"/>
    </row>
    <row r="49" spans="1:25" x14ac:dyDescent="0.3">
      <c r="A49" s="28">
        <v>45924</v>
      </c>
      <c r="B49" s="29" t="s">
        <v>9</v>
      </c>
      <c r="C49" s="29">
        <v>869</v>
      </c>
      <c r="D49" s="29" t="s">
        <v>88</v>
      </c>
      <c r="E49" s="11">
        <v>1726</v>
      </c>
      <c r="F49" s="11">
        <v>14869</v>
      </c>
      <c r="G49" s="11">
        <v>2694</v>
      </c>
      <c r="H49" s="32">
        <f>_xlfn.XLOOKUP(Table1[[#This Row],[Shipment Number]], 'pivot '!A:A,'pivot '!G:G, "NF")</f>
        <v>0.50267335953205361</v>
      </c>
      <c r="I49" s="32">
        <f>IF(Table1[[#This Row],[Shipment Number]]="RD",0,Table1[[#This Row],[Tiyaar/gaz]]/1.0936)</f>
        <v>2463.4235552304317</v>
      </c>
      <c r="J49" s="32" cm="1">
        <f t="array" ref="J4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29561.08266276518</v>
      </c>
      <c r="K49" s="29"/>
      <c r="P49"/>
      <c r="Q49"/>
      <c r="R49"/>
      <c r="S49"/>
      <c r="T49"/>
      <c r="U49"/>
      <c r="V49"/>
      <c r="W49"/>
      <c r="X49"/>
      <c r="Y49"/>
    </row>
    <row r="50" spans="1:25" x14ac:dyDescent="0.3">
      <c r="A50" s="28">
        <v>45925</v>
      </c>
      <c r="B50" s="29" t="s">
        <v>243</v>
      </c>
      <c r="C50" s="29">
        <v>870</v>
      </c>
      <c r="D50" s="29" t="s">
        <v>88</v>
      </c>
      <c r="E50" s="11" t="s">
        <v>254</v>
      </c>
      <c r="F50" s="11">
        <v>30434</v>
      </c>
      <c r="G50" s="11">
        <v>32937</v>
      </c>
      <c r="H50" s="32">
        <f>_xlfn.XLOOKUP(Table1[[#This Row],[Shipment Number]], 'pivot '!A:A,'pivot '!G:G, "NF")</f>
        <v>1.038447018525801</v>
      </c>
      <c r="I50" s="32">
        <f>IF(Table1[[#This Row],[Shipment Number]]="RD",0,Table1[[#This Row],[Tiyaar/gaz]]/1.0936)</f>
        <v>30117.95903438186</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361415.50841258233</v>
      </c>
      <c r="K50" s="29"/>
      <c r="P50"/>
      <c r="Q50"/>
      <c r="R50"/>
      <c r="S50"/>
      <c r="T50"/>
      <c r="U50"/>
      <c r="V50"/>
      <c r="W50"/>
      <c r="X50"/>
      <c r="Y50"/>
    </row>
    <row r="51" spans="1:25" x14ac:dyDescent="0.3">
      <c r="A51" s="28">
        <v>45925</v>
      </c>
      <c r="B51" s="29" t="s">
        <v>21</v>
      </c>
      <c r="C51" s="29">
        <v>871</v>
      </c>
      <c r="D51" s="29" t="s">
        <v>86</v>
      </c>
      <c r="E51" s="11" t="s">
        <v>255</v>
      </c>
      <c r="F51" s="11">
        <v>32916</v>
      </c>
      <c r="G51" s="11">
        <v>25630</v>
      </c>
      <c r="H51" s="32">
        <f>_xlfn.XLOOKUP(Table1[[#This Row],[Shipment Number]], 'pivot '!A:A,'pivot '!G:G, "NF")</f>
        <v>-0.95303218238210263</v>
      </c>
      <c r="I51" s="32">
        <f>IF(Table1[[#This Row],[Shipment Number]]="RD",0,Table1[[#This Row],[Tiyaar/gaz]]/1.0936)</f>
        <v>23436.356986100953</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234363.56986100954</v>
      </c>
      <c r="K51" s="29"/>
      <c r="P51"/>
      <c r="Q51"/>
      <c r="R51"/>
      <c r="S51"/>
      <c r="T51"/>
      <c r="U51"/>
      <c r="V51"/>
      <c r="W51"/>
      <c r="X51"/>
      <c r="Y51"/>
    </row>
    <row r="52" spans="1:25" x14ac:dyDescent="0.3">
      <c r="A52" s="28">
        <v>45925</v>
      </c>
      <c r="B52" s="29" t="s">
        <v>23</v>
      </c>
      <c r="C52" s="29">
        <v>872</v>
      </c>
      <c r="D52" s="29" t="s">
        <v>86</v>
      </c>
      <c r="E52" s="11">
        <v>1729</v>
      </c>
      <c r="F52" s="11">
        <v>9911</v>
      </c>
      <c r="G52" s="11">
        <v>10710</v>
      </c>
      <c r="H52" s="32">
        <f>_xlfn.XLOOKUP(Table1[[#This Row],[Shipment Number]], 'pivot '!A:A,'pivot '!G:G, "NF")</f>
        <v>1.1871346276668362</v>
      </c>
      <c r="I52" s="32">
        <f>IF(Table1[[#This Row],[Shipment Number]]="RD",0,Table1[[#This Row],[Tiyaar/gaz]]/1.0936)</f>
        <v>9793.3430870519387</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102830.10241404535</v>
      </c>
      <c r="K52" s="29"/>
      <c r="P52"/>
      <c r="Q52"/>
      <c r="R52"/>
      <c r="S52"/>
      <c r="T52"/>
      <c r="U52"/>
      <c r="V52"/>
      <c r="W52"/>
      <c r="X52"/>
      <c r="Y52"/>
    </row>
    <row r="53" spans="1:25" x14ac:dyDescent="0.3">
      <c r="A53" s="28">
        <v>45926</v>
      </c>
      <c r="B53" s="29" t="s">
        <v>21</v>
      </c>
      <c r="C53" s="29">
        <v>873</v>
      </c>
      <c r="D53" s="29" t="s">
        <v>86</v>
      </c>
      <c r="E53" s="11" t="s">
        <v>255</v>
      </c>
      <c r="F53" s="11">
        <v>32916</v>
      </c>
      <c r="G53" s="11">
        <v>10710</v>
      </c>
      <c r="H53" s="32">
        <f>_xlfn.XLOOKUP(Table1[[#This Row],[Shipment Number]], 'pivot '!A:A,'pivot '!G:G, "NF")</f>
        <v>-0.95303218238210263</v>
      </c>
      <c r="I53" s="32">
        <f>IF(Table1[[#This Row],[Shipment Number]]="RD",0,Table1[[#This Row],[Tiyaar/gaz]]/1.0936)</f>
        <v>9793.3430870519387</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97933.430870519383</v>
      </c>
      <c r="K53" s="29"/>
      <c r="P53"/>
      <c r="Q53"/>
      <c r="R53"/>
      <c r="S53"/>
      <c r="T53"/>
      <c r="U53"/>
      <c r="V53"/>
      <c r="W53"/>
      <c r="X53"/>
      <c r="Y53"/>
    </row>
    <row r="54" spans="1:25" x14ac:dyDescent="0.3">
      <c r="A54" s="28">
        <v>45926</v>
      </c>
      <c r="B54" s="29" t="s">
        <v>21</v>
      </c>
      <c r="C54" s="29">
        <v>874</v>
      </c>
      <c r="D54" s="29" t="s">
        <v>86</v>
      </c>
      <c r="E54" s="11">
        <v>1748</v>
      </c>
      <c r="F54" s="11">
        <v>19125</v>
      </c>
      <c r="G54" s="11">
        <v>20984</v>
      </c>
      <c r="H54" s="32">
        <f>_xlfn.XLOOKUP(Table1[[#This Row],[Shipment Number]], 'pivot '!A:A,'pivot '!G:G, "NF")</f>
        <v>-0.32942706465664173</v>
      </c>
      <c r="I54" s="32">
        <f>IF(Table1[[#This Row],[Shipment Number]]="RD",0,Table1[[#This Row],[Tiyaar/gaz]]/1.0936)</f>
        <v>19188.002926115583</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191880.02926115584</v>
      </c>
      <c r="K54" s="29"/>
      <c r="P54"/>
      <c r="Q54"/>
      <c r="R54"/>
      <c r="S54"/>
      <c r="T54"/>
      <c r="U54"/>
      <c r="V54"/>
      <c r="W54"/>
      <c r="X54"/>
      <c r="Y54"/>
    </row>
    <row r="55" spans="1:25" x14ac:dyDescent="0.3">
      <c r="A55" s="28">
        <v>45926</v>
      </c>
      <c r="B55" s="29" t="s">
        <v>21</v>
      </c>
      <c r="C55" s="29">
        <v>875</v>
      </c>
      <c r="D55" s="29" t="s">
        <v>86</v>
      </c>
      <c r="E55" s="11">
        <v>1756</v>
      </c>
      <c r="F55" s="11">
        <v>17080</v>
      </c>
      <c r="G55" s="11">
        <v>13939</v>
      </c>
      <c r="H55" s="32">
        <f>_xlfn.XLOOKUP(Table1[[#This Row],[Shipment Number]], 'pivot '!A:A,'pivot '!G:G, "NF")</f>
        <v>1.5616086097695785</v>
      </c>
      <c r="I55" s="32">
        <f>IF(Table1[[#This Row],[Shipment Number]]="RD",0,Table1[[#This Row],[Tiyaar/gaz]]/1.0936)</f>
        <v>12745.976591075349</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127459.76591075349</v>
      </c>
      <c r="K55" s="29"/>
      <c r="P55"/>
      <c r="Q55"/>
      <c r="R55"/>
      <c r="S55"/>
      <c r="T55"/>
      <c r="U55"/>
      <c r="V55"/>
      <c r="W55"/>
      <c r="X55"/>
      <c r="Y55"/>
    </row>
    <row r="56" spans="1:25" x14ac:dyDescent="0.3">
      <c r="A56" s="28">
        <v>45926</v>
      </c>
      <c r="B56" s="29" t="s">
        <v>21</v>
      </c>
      <c r="C56" s="29">
        <v>876</v>
      </c>
      <c r="D56" s="29" t="s">
        <v>88</v>
      </c>
      <c r="E56" s="11">
        <v>1757</v>
      </c>
      <c r="F56" s="11">
        <v>190</v>
      </c>
      <c r="G56" s="11">
        <v>210</v>
      </c>
      <c r="H56" s="32">
        <f>_xlfn.XLOOKUP(Table1[[#This Row],[Shipment Number]], 'pivot '!A:A,'pivot '!G:G, "NF")</f>
        <v>-1.0664921264389875</v>
      </c>
      <c r="I56" s="32">
        <f>IF(Table1[[#This Row],[Shipment Number]]="RD",0,Table1[[#This Row],[Tiyaar/gaz]]/1.0936)</f>
        <v>192.0263350402341</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2304.3160204828091</v>
      </c>
      <c r="K56" s="29"/>
      <c r="P56"/>
      <c r="Q56"/>
      <c r="R56"/>
      <c r="S56"/>
      <c r="T56"/>
      <c r="U56"/>
      <c r="V56"/>
      <c r="W56"/>
      <c r="X56"/>
      <c r="Y56"/>
    </row>
    <row r="57" spans="1:25" x14ac:dyDescent="0.3">
      <c r="A57" s="28">
        <v>45926</v>
      </c>
      <c r="B57" s="29" t="s">
        <v>162</v>
      </c>
      <c r="C57" s="29">
        <v>877</v>
      </c>
      <c r="D57" s="29" t="s">
        <v>86</v>
      </c>
      <c r="E57" s="11">
        <v>1697</v>
      </c>
      <c r="F57" s="11">
        <v>29554</v>
      </c>
      <c r="G57" s="11">
        <v>19288</v>
      </c>
      <c r="H57" s="32">
        <f>_xlfn.XLOOKUP(Table1[[#This Row],[Shipment Number]], 'pivot '!A:A,'pivot '!G:G, "NF")</f>
        <v>1.6158734196102102</v>
      </c>
      <c r="I57" s="32">
        <f>IF(Table1[[#This Row],[Shipment Number]]="RD",0,Table1[[#This Row],[Tiyaar/gaz]]/1.0936)</f>
        <v>17637.161667885885</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176371.61667885885</v>
      </c>
      <c r="K57" s="29"/>
      <c r="P57"/>
      <c r="Q57"/>
      <c r="R57"/>
      <c r="S57"/>
      <c r="T57"/>
      <c r="U57"/>
      <c r="V57"/>
      <c r="W57"/>
      <c r="X57"/>
      <c r="Y57"/>
    </row>
    <row r="58" spans="1:25" x14ac:dyDescent="0.3">
      <c r="A58" s="28">
        <v>45927</v>
      </c>
      <c r="B58" s="29" t="s">
        <v>162</v>
      </c>
      <c r="C58" s="29">
        <v>878</v>
      </c>
      <c r="D58" s="29" t="s">
        <v>86</v>
      </c>
      <c r="E58" s="11">
        <v>1697</v>
      </c>
      <c r="F58" s="11">
        <v>29554</v>
      </c>
      <c r="G58" s="11">
        <v>12510</v>
      </c>
      <c r="H58" s="32">
        <f>_xlfn.XLOOKUP(Table1[[#This Row],[Shipment Number]], 'pivot '!A:A,'pivot '!G:G, "NF")</f>
        <v>1.6158734196102102</v>
      </c>
      <c r="I58" s="32">
        <f>IF(Table1[[#This Row],[Shipment Number]]="RD",0,Table1[[#This Row],[Tiyaar/gaz]]/1.0936)</f>
        <v>11439.283101682517</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114392.83101682516</v>
      </c>
      <c r="K58" s="29"/>
      <c r="P58"/>
      <c r="Q58"/>
      <c r="R58"/>
      <c r="S58"/>
      <c r="T58"/>
      <c r="U58"/>
      <c r="V58"/>
      <c r="W58"/>
    </row>
    <row r="59" spans="1:25" x14ac:dyDescent="0.3">
      <c r="A59" s="28">
        <v>45927</v>
      </c>
      <c r="B59" s="29" t="s">
        <v>243</v>
      </c>
      <c r="C59" s="29">
        <v>879</v>
      </c>
      <c r="D59" s="29" t="s">
        <v>86</v>
      </c>
      <c r="E59" s="11">
        <v>1725</v>
      </c>
      <c r="F59" s="11">
        <v>54293</v>
      </c>
      <c r="G59" s="11">
        <v>16471</v>
      </c>
      <c r="H59" s="32">
        <f>_xlfn.XLOOKUP(Table1[[#This Row],[Shipment Number]], 'pivot '!A:A,'pivot '!G:G, "NF")</f>
        <v>2.3795014212824981</v>
      </c>
      <c r="I59" s="32">
        <f>IF(Table1[[#This Row],[Shipment Number]]="RD",0,Table1[[#This Row],[Tiyaar/gaz]]/1.0936)</f>
        <v>15061.265544989028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150612.65544989027</v>
      </c>
      <c r="K59" s="29"/>
      <c r="P59"/>
      <c r="Q59"/>
      <c r="R59"/>
      <c r="S59"/>
      <c r="T59"/>
      <c r="U59"/>
    </row>
    <row r="60" spans="1:25" x14ac:dyDescent="0.3">
      <c r="A60" s="28">
        <v>45927</v>
      </c>
      <c r="B60" s="29" t="s">
        <v>243</v>
      </c>
      <c r="C60" s="29">
        <v>880</v>
      </c>
      <c r="D60" s="29" t="s">
        <v>86</v>
      </c>
      <c r="E60" s="11">
        <v>1727</v>
      </c>
      <c r="F60" s="11">
        <v>10376</v>
      </c>
      <c r="G60" s="11">
        <v>11222</v>
      </c>
      <c r="H60" s="32">
        <f>_xlfn.XLOOKUP(Table1[[#This Row],[Shipment Number]], 'pivot '!A:A,'pivot '!G:G, "NF")</f>
        <v>1.1033001146644636</v>
      </c>
      <c r="I60" s="32">
        <f>IF(Table1[[#This Row],[Shipment Number]]="RD",0,Table1[[#This Row],[Tiyaar/gaz]]/1.0936)</f>
        <v>10261.521580102415</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102615.21580102415</v>
      </c>
      <c r="K60" s="29"/>
      <c r="M60"/>
      <c r="P60"/>
      <c r="Q60"/>
      <c r="R60"/>
      <c r="S60"/>
      <c r="T60"/>
      <c r="U60"/>
    </row>
    <row r="61" spans="1:25" x14ac:dyDescent="0.3">
      <c r="A61" s="28">
        <v>45927</v>
      </c>
      <c r="B61" s="29" t="s">
        <v>243</v>
      </c>
      <c r="C61" s="29">
        <v>881</v>
      </c>
      <c r="D61" s="29" t="s">
        <v>86</v>
      </c>
      <c r="E61" s="11">
        <v>1736</v>
      </c>
      <c r="F61" s="11">
        <v>21346</v>
      </c>
      <c r="G61" s="11">
        <v>15796</v>
      </c>
      <c r="H61" s="32">
        <f>_xlfn.XLOOKUP(Table1[[#This Row],[Shipment Number]], 'pivot '!A:A,'pivot '!G:G, "NF")</f>
        <v>1.8505220462438672</v>
      </c>
      <c r="I61" s="32">
        <f>IF(Table1[[#This Row],[Shipment Number]]="RD",0,Table1[[#This Row],[Tiyaar/gaz]]/1.0936)</f>
        <v>14444.038039502562</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144440.38039502563</v>
      </c>
      <c r="K61" s="29"/>
      <c r="M61"/>
      <c r="P61"/>
      <c r="Q61"/>
      <c r="R61"/>
      <c r="S61"/>
    </row>
    <row r="62" spans="1:25" x14ac:dyDescent="0.3">
      <c r="A62" s="28">
        <v>45927</v>
      </c>
      <c r="B62" s="29" t="s">
        <v>22</v>
      </c>
      <c r="C62" s="29">
        <v>882</v>
      </c>
      <c r="D62" s="29" t="s">
        <v>86</v>
      </c>
      <c r="E62" s="11">
        <v>1755</v>
      </c>
      <c r="F62" s="11">
        <v>28470</v>
      </c>
      <c r="G62" s="11">
        <v>17234</v>
      </c>
      <c r="H62" s="32">
        <f>_xlfn.XLOOKUP(Table1[[#This Row],[Shipment Number]], 'pivot '!A:A,'pivot '!G:G, "NF")</f>
        <v>2.0677575106331147</v>
      </c>
      <c r="I62" s="32">
        <f>IF(Table1[[#This Row],[Shipment Number]]="RD",0,Table1[[#This Row],[Tiyaar/gaz]]/1.0936)</f>
        <v>15758.961228968546</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157589.61228968546</v>
      </c>
      <c r="K62" s="29"/>
      <c r="M62"/>
      <c r="P62"/>
      <c r="Q62"/>
      <c r="R62"/>
      <c r="S62"/>
    </row>
    <row r="63" spans="1:25" x14ac:dyDescent="0.3">
      <c r="A63" s="28">
        <v>45927</v>
      </c>
      <c r="B63" s="29" t="s">
        <v>22</v>
      </c>
      <c r="C63" s="29">
        <v>883</v>
      </c>
      <c r="D63" s="29" t="s">
        <v>86</v>
      </c>
      <c r="E63" s="11">
        <v>1755</v>
      </c>
      <c r="F63" s="11">
        <v>28470</v>
      </c>
      <c r="G63" s="11">
        <v>13257</v>
      </c>
      <c r="H63" s="32">
        <f>_xlfn.XLOOKUP(Table1[[#This Row],[Shipment Number]], 'pivot '!A:A,'pivot '!G:G, "NF")</f>
        <v>2.0677575106331147</v>
      </c>
      <c r="I63" s="32">
        <f>IF(Table1[[#This Row],[Shipment Number]]="RD",0,Table1[[#This Row],[Tiyaar/gaz]]/1.0936)</f>
        <v>12122.348207754207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121223.48207754207</v>
      </c>
      <c r="K63" s="29"/>
      <c r="M63"/>
      <c r="P63"/>
      <c r="Q63"/>
      <c r="R63"/>
      <c r="S63"/>
    </row>
    <row r="64" spans="1:25" x14ac:dyDescent="0.3">
      <c r="A64" s="28">
        <v>45927</v>
      </c>
      <c r="B64" s="29" t="s">
        <v>21</v>
      </c>
      <c r="C64" s="29">
        <v>884</v>
      </c>
      <c r="D64" s="29" t="s">
        <v>86</v>
      </c>
      <c r="E64" s="11">
        <v>1756</v>
      </c>
      <c r="F64" s="11">
        <v>17080</v>
      </c>
      <c r="G64" s="11">
        <v>4448</v>
      </c>
      <c r="H64" s="32">
        <f>_xlfn.XLOOKUP(Table1[[#This Row],[Shipment Number]], 'pivot '!A:A,'pivot '!G:G, "NF")</f>
        <v>1.5616086097695785</v>
      </c>
      <c r="I64" s="32">
        <f>IF(Table1[[#This Row],[Shipment Number]]="RD",0,Table1[[#This Row],[Tiyaar/gaz]]/1.0936)</f>
        <v>4067.3006583760061</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40673.006583760063</v>
      </c>
      <c r="K64" s="29"/>
      <c r="M64"/>
      <c r="P64"/>
      <c r="Q64"/>
      <c r="R64"/>
      <c r="S64"/>
    </row>
    <row r="65" spans="1:19" x14ac:dyDescent="0.3">
      <c r="A65" s="28">
        <v>45929</v>
      </c>
      <c r="B65" s="29" t="s">
        <v>21</v>
      </c>
      <c r="C65" s="29">
        <v>885</v>
      </c>
      <c r="D65" s="29" t="s">
        <v>86</v>
      </c>
      <c r="E65" s="11" t="s">
        <v>284</v>
      </c>
      <c r="F65" s="11">
        <v>5818</v>
      </c>
      <c r="G65" s="11">
        <v>1850</v>
      </c>
      <c r="H65" s="32">
        <f>_xlfn.XLOOKUP(Table1[[#This Row],[Shipment Number]], 'pivot '!A:A,'pivot '!G:G, "NF")</f>
        <v>3.9381099898581624</v>
      </c>
      <c r="I65" s="32">
        <f>IF(Table1[[#This Row],[Shipment Number]]="RD",0,Table1[[#This Row],[Tiyaar/gaz]]/1.0936)</f>
        <v>1691.6605705925385</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16916.605705925387</v>
      </c>
      <c r="K65" s="29"/>
      <c r="M65"/>
      <c r="P65"/>
      <c r="Q65"/>
      <c r="R65"/>
      <c r="S65"/>
    </row>
    <row r="66" spans="1:19" x14ac:dyDescent="0.3">
      <c r="A66" s="28">
        <v>45929</v>
      </c>
      <c r="B66" s="29" t="s">
        <v>21</v>
      </c>
      <c r="C66" s="29">
        <v>886</v>
      </c>
      <c r="D66" s="29" t="s">
        <v>86</v>
      </c>
      <c r="E66" s="11">
        <v>1763</v>
      </c>
      <c r="F66" s="11">
        <v>12019</v>
      </c>
      <c r="G66" s="11">
        <v>12863</v>
      </c>
      <c r="H66" s="32">
        <f>_xlfn.XLOOKUP(Table1[[#This Row],[Shipment Number]], 'pivot '!A:A,'pivot '!G:G, "NF")</f>
        <v>2.1376967570183893</v>
      </c>
      <c r="I66" s="32">
        <f>IF(Table1[[#This Row],[Shipment Number]]="RD",0,Table1[[#This Row],[Tiyaar/gaz]]/1.0936)</f>
        <v>11762.070226773958</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117620.70226773957</v>
      </c>
      <c r="K66" s="29"/>
      <c r="M66"/>
      <c r="P66"/>
      <c r="Q66"/>
      <c r="R66"/>
      <c r="S66"/>
    </row>
    <row r="67" spans="1:19" x14ac:dyDescent="0.3">
      <c r="A67" s="28">
        <v>45929</v>
      </c>
      <c r="B67" s="29" t="s">
        <v>21</v>
      </c>
      <c r="C67" s="29">
        <v>887</v>
      </c>
      <c r="D67" s="29" t="s">
        <v>86</v>
      </c>
      <c r="E67" s="11" t="s">
        <v>284</v>
      </c>
      <c r="F67" s="11">
        <v>5818</v>
      </c>
      <c r="G67" s="11">
        <v>4262</v>
      </c>
      <c r="H67" s="32">
        <f>_xlfn.XLOOKUP(Table1[[#This Row],[Shipment Number]], 'pivot '!A:A,'pivot '!G:G, "NF")</f>
        <v>3.9381099898581624</v>
      </c>
      <c r="I67" s="32">
        <f>IF(Table1[[#This Row],[Shipment Number]]="RD",0,Table1[[#This Row],[Tiyaar/gaz]]/1.0936)</f>
        <v>3897.2201901975131</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38972.201901975131</v>
      </c>
      <c r="K67" s="29"/>
      <c r="M67"/>
      <c r="P67"/>
      <c r="Q67"/>
      <c r="R67"/>
      <c r="S67"/>
    </row>
    <row r="68" spans="1:19" x14ac:dyDescent="0.3">
      <c r="A68" s="28">
        <v>45929</v>
      </c>
      <c r="B68" s="29" t="s">
        <v>21</v>
      </c>
      <c r="C68" s="29">
        <v>888</v>
      </c>
      <c r="D68" s="29" t="s">
        <v>86</v>
      </c>
      <c r="E68" s="11">
        <v>1701</v>
      </c>
      <c r="F68" s="11">
        <v>3843</v>
      </c>
      <c r="G68" s="11">
        <v>4440</v>
      </c>
      <c r="H68" s="32">
        <f>_xlfn.XLOOKUP(Table1[[#This Row],[Shipment Number]], 'pivot '!A:A,'pivot '!G:G, "NF")</f>
        <v>-5.6462495295886725</v>
      </c>
      <c r="I68" s="32">
        <f>IF(Table1[[#This Row],[Shipment Number]]="RD",0,Table1[[#This Row],[Tiyaar/gaz]]/1.0936)</f>
        <v>4059.9853694220924</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40599.853694220925</v>
      </c>
      <c r="K68" s="29"/>
      <c r="M68"/>
      <c r="P68"/>
      <c r="Q68"/>
      <c r="R68"/>
      <c r="S68"/>
    </row>
    <row r="69" spans="1:19" x14ac:dyDescent="0.3">
      <c r="A69" s="28">
        <v>45929</v>
      </c>
      <c r="B69" s="29" t="s">
        <v>9</v>
      </c>
      <c r="C69" s="29">
        <v>889</v>
      </c>
      <c r="D69" s="29" t="s">
        <v>86</v>
      </c>
      <c r="E69" s="11">
        <v>1753</v>
      </c>
      <c r="F69" s="11">
        <v>30199</v>
      </c>
      <c r="G69" s="11">
        <v>16998</v>
      </c>
      <c r="H69" s="32">
        <f>_xlfn.XLOOKUP(Table1[[#This Row],[Shipment Number]], 'pivot '!A:A,'pivot '!G:G, "NF")</f>
        <v>3.0904073934536882</v>
      </c>
      <c r="I69" s="32">
        <f>IF(Table1[[#This Row],[Shipment Number]]="RD",0,Table1[[#This Row],[Tiyaar/gaz]]/1.0936)</f>
        <v>15543.160204828093</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155431.60204828094</v>
      </c>
      <c r="K69" s="29"/>
      <c r="M69"/>
      <c r="P69"/>
      <c r="Q69"/>
      <c r="R69"/>
      <c r="S69"/>
    </row>
    <row r="70" spans="1:19" x14ac:dyDescent="0.3">
      <c r="A70" s="28">
        <v>45929</v>
      </c>
      <c r="B70" s="29" t="s">
        <v>9</v>
      </c>
      <c r="C70" s="29">
        <v>890</v>
      </c>
      <c r="D70" s="29" t="s">
        <v>86</v>
      </c>
      <c r="E70" s="11">
        <v>1753</v>
      </c>
      <c r="F70" s="11">
        <v>30199</v>
      </c>
      <c r="G70" s="11">
        <v>15007</v>
      </c>
      <c r="H70" s="32">
        <f>_xlfn.XLOOKUP(Table1[[#This Row],[Shipment Number]], 'pivot '!A:A,'pivot '!G:G, "NF")</f>
        <v>3.0904073934536882</v>
      </c>
      <c r="I70" s="32">
        <f>IF(Table1[[#This Row],[Shipment Number]]="RD",0,Table1[[#This Row],[Tiyaar/gaz]]/1.0936)</f>
        <v>13722.567666422825</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137225.67666422826</v>
      </c>
      <c r="K70" s="29"/>
      <c r="P70"/>
      <c r="Q70"/>
      <c r="R70"/>
      <c r="S70"/>
    </row>
    <row r="71" spans="1:19" x14ac:dyDescent="0.3">
      <c r="A71" s="28">
        <v>45929</v>
      </c>
      <c r="B71" s="29" t="s">
        <v>25</v>
      </c>
      <c r="C71" s="29">
        <v>891</v>
      </c>
      <c r="D71" s="29" t="s">
        <v>86</v>
      </c>
      <c r="E71" s="11">
        <v>1751</v>
      </c>
      <c r="F71" s="11">
        <v>50317</v>
      </c>
      <c r="G71" s="11">
        <v>36453</v>
      </c>
      <c r="H71" s="32">
        <f>_xlfn.XLOOKUP(Table1[[#This Row],[Shipment Number]], 'pivot '!A:A,'pivot '!G:G, "NF")</f>
        <v>1.0298118851136309</v>
      </c>
      <c r="I71" s="32">
        <f>IF(Table1[[#This Row],[Shipment Number]]="RD",0,Table1[[#This Row],[Tiyaar/gaz]]/1.0936)</f>
        <v>33333.028529626921</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333330.28529626923</v>
      </c>
      <c r="K71" s="29"/>
      <c r="L71"/>
      <c r="P71"/>
      <c r="Q71"/>
      <c r="R71"/>
      <c r="S71"/>
    </row>
    <row r="72" spans="1:19" x14ac:dyDescent="0.3">
      <c r="A72" s="28">
        <v>45929</v>
      </c>
      <c r="B72" s="29" t="s">
        <v>25</v>
      </c>
      <c r="C72" s="29">
        <v>892</v>
      </c>
      <c r="D72" s="29" t="s">
        <v>86</v>
      </c>
      <c r="E72" s="11">
        <v>1751</v>
      </c>
      <c r="F72" s="11">
        <v>50317</v>
      </c>
      <c r="G72" s="11">
        <v>18007</v>
      </c>
      <c r="H72" s="32">
        <f>_xlfn.XLOOKUP(Table1[[#This Row],[Shipment Number]], 'pivot '!A:A,'pivot '!G:G, "NF")</f>
        <v>1.0298118851136309</v>
      </c>
      <c r="I72" s="32">
        <f>IF(Table1[[#This Row],[Shipment Number]]="RD",0,Table1[[#This Row],[Tiyaar/gaz]]/1.0936)</f>
        <v>16465.801024140455</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164658.01024140455</v>
      </c>
      <c r="K72" s="29"/>
      <c r="L72"/>
      <c r="P72"/>
      <c r="Q72"/>
      <c r="R72"/>
      <c r="S72"/>
    </row>
    <row r="73" spans="1:19" x14ac:dyDescent="0.3">
      <c r="A73" s="28">
        <v>45930</v>
      </c>
      <c r="B73" s="29" t="s">
        <v>24</v>
      </c>
      <c r="C73" s="29">
        <v>893</v>
      </c>
      <c r="D73" s="29" t="s">
        <v>88</v>
      </c>
      <c r="E73" s="11">
        <v>1760</v>
      </c>
      <c r="F73" s="11">
        <v>25118</v>
      </c>
      <c r="G73" s="11">
        <v>19462</v>
      </c>
      <c r="H73" s="32">
        <f>_xlfn.XLOOKUP(Table1[[#This Row],[Shipment Number]], 'pivot '!A:A,'pivot '!G:G, "NF")</f>
        <v>3.6369841298594991</v>
      </c>
      <c r="I73" s="32">
        <f>IF(Table1[[#This Row],[Shipment Number]]="RD",0,Table1[[#This Row],[Tiyaar/gaz]]/1.0936)</f>
        <v>17796.269202633506</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213555.23043160207</v>
      </c>
      <c r="K73" s="29"/>
      <c r="L73"/>
      <c r="O73"/>
      <c r="P73"/>
      <c r="Q73"/>
    </row>
    <row r="74" spans="1:19" x14ac:dyDescent="0.3">
      <c r="A74" s="28">
        <v>45930</v>
      </c>
      <c r="B74" s="29" t="s">
        <v>24</v>
      </c>
      <c r="C74" s="29">
        <v>894</v>
      </c>
      <c r="D74" s="29" t="s">
        <v>88</v>
      </c>
      <c r="E74" s="11">
        <v>1760</v>
      </c>
      <c r="F74" s="11">
        <v>25118</v>
      </c>
      <c r="G74" s="11">
        <v>2846</v>
      </c>
      <c r="H74" s="32">
        <f>_xlfn.XLOOKUP(Table1[[#This Row],[Shipment Number]], 'pivot '!A:A,'pivot '!G:G, "NF")</f>
        <v>3.6369841298594991</v>
      </c>
      <c r="I74" s="32">
        <f>IF(Table1[[#This Row],[Shipment Number]]="RD",0,Table1[[#This Row],[Tiyaar/gaz]]/1.0936)</f>
        <v>2602.4140453547916</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31228.968544257499</v>
      </c>
      <c r="K74" s="29"/>
      <c r="L74"/>
      <c r="O74"/>
      <c r="P74"/>
      <c r="Q74"/>
    </row>
    <row r="75" spans="1:19" x14ac:dyDescent="0.3">
      <c r="A75" s="28">
        <v>45930</v>
      </c>
      <c r="B75" s="29" t="s">
        <v>24</v>
      </c>
      <c r="C75" s="29">
        <v>895</v>
      </c>
      <c r="D75" s="29" t="s">
        <v>88</v>
      </c>
      <c r="E75" s="11">
        <v>1762</v>
      </c>
      <c r="F75" s="11">
        <v>9526</v>
      </c>
      <c r="G75" s="11">
        <v>8529</v>
      </c>
      <c r="H75" s="32">
        <f>_xlfn.XLOOKUP(Table1[[#This Row],[Shipment Number]], 'pivot '!A:A,'pivot '!G:G, "NF")</f>
        <v>-0.37788236284295351</v>
      </c>
      <c r="I75" s="32">
        <f>IF(Table1[[#This Row],[Shipment Number]]="RD",0,Table1[[#This Row],[Tiyaar/gaz]]/1.0936)</f>
        <v>7799.0124359912224</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93588.149231894669</v>
      </c>
      <c r="K75" s="29"/>
      <c r="L75"/>
      <c r="O75"/>
      <c r="P75"/>
      <c r="Q75"/>
    </row>
    <row r="76" spans="1:19" x14ac:dyDescent="0.3">
      <c r="A76" s="28">
        <v>45930</v>
      </c>
      <c r="B76" s="29" t="s">
        <v>24</v>
      </c>
      <c r="C76" s="29">
        <v>896</v>
      </c>
      <c r="D76" s="29" t="s">
        <v>88</v>
      </c>
      <c r="E76" s="11">
        <v>1767</v>
      </c>
      <c r="F76" s="11">
        <v>15626</v>
      </c>
      <c r="G76" s="11">
        <v>13770</v>
      </c>
      <c r="H76" s="32">
        <f>_xlfn.XLOOKUP(Table1[[#This Row],[Shipment Number]], 'pivot '!A:A,'pivot '!G:G, "NF")</f>
        <v>1.1387338510993743</v>
      </c>
      <c r="I76" s="32">
        <f>IF(Table1[[#This Row],[Shipment Number]]="RD",0,Table1[[#This Row],[Tiyaar/gaz]]/1.0936)</f>
        <v>12591.441111923921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151097.29334308705</v>
      </c>
      <c r="K76" s="29"/>
      <c r="L76"/>
      <c r="O76"/>
      <c r="P76"/>
      <c r="Q76"/>
    </row>
    <row r="77" spans="1:19" x14ac:dyDescent="0.3">
      <c r="A77" s="28">
        <v>45930</v>
      </c>
      <c r="B77" s="29" t="s">
        <v>24</v>
      </c>
      <c r="C77" s="29">
        <v>897</v>
      </c>
      <c r="D77" s="29" t="s">
        <v>88</v>
      </c>
      <c r="E77" s="11">
        <v>1764</v>
      </c>
      <c r="F77" s="11">
        <v>11093</v>
      </c>
      <c r="G77" s="11">
        <v>9238</v>
      </c>
      <c r="H77" s="32">
        <f>_xlfn.XLOOKUP(Table1[[#This Row],[Shipment Number]], 'pivot '!A:A,'pivot '!G:G, "NF")</f>
        <v>2.5991004693905495</v>
      </c>
      <c r="I77" s="32">
        <f>IF(Table1[[#This Row],[Shipment Number]]="RD",0,Table1[[#This Row],[Tiyaar/gaz]]/1.0936)</f>
        <v>8447.3299195318214</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101367.95903438186</v>
      </c>
      <c r="K77" s="29"/>
      <c r="O77"/>
      <c r="P77"/>
      <c r="Q77"/>
    </row>
    <row r="78" spans="1:19" x14ac:dyDescent="0.3">
      <c r="A78" s="28">
        <v>45930</v>
      </c>
      <c r="B78" s="29" t="s">
        <v>24</v>
      </c>
      <c r="C78" s="29">
        <v>898</v>
      </c>
      <c r="D78" s="29" t="s">
        <v>88</v>
      </c>
      <c r="E78" s="11">
        <v>1765</v>
      </c>
      <c r="F78" s="11">
        <v>7371</v>
      </c>
      <c r="G78" s="11">
        <v>6756</v>
      </c>
      <c r="H78" s="32">
        <f>_xlfn.XLOOKUP(Table1[[#This Row],[Shipment Number]], 'pivot '!A:A,'pivot '!G:G, "NF")</f>
        <v>-0.9809593081965744</v>
      </c>
      <c r="I78" s="32">
        <f>IF(Table1[[#This Row],[Shipment Number]]="RD",0,Table1[[#This Row],[Tiyaar/gaz]]/1.0936)</f>
        <v>6177.7615215801034</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74133.138258961233</v>
      </c>
      <c r="K78" s="29"/>
      <c r="O78"/>
      <c r="P78"/>
      <c r="Q78"/>
    </row>
    <row r="79" spans="1:19" x14ac:dyDescent="0.3">
      <c r="A79" s="28">
        <v>45930</v>
      </c>
      <c r="B79" s="29" t="s">
        <v>24</v>
      </c>
      <c r="C79" s="116" t="s">
        <v>295</v>
      </c>
      <c r="D79" s="29" t="s">
        <v>88</v>
      </c>
      <c r="E79" s="11">
        <v>1767</v>
      </c>
      <c r="F79" s="11">
        <v>15626</v>
      </c>
      <c r="G79" s="11">
        <v>3124</v>
      </c>
      <c r="H79" s="32">
        <f>_xlfn.XLOOKUP(Table1[[#This Row],[Shipment Number]], 'pivot '!A:A,'pivot '!G:G, "NF")</f>
        <v>1.1387338510993743</v>
      </c>
      <c r="I79" s="32">
        <f>IF(Table1[[#This Row],[Shipment Number]]="RD",0,Table1[[#This Row],[Tiyaar/gaz]]/1.0936)</f>
        <v>2856.620336503292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34279.444038039503</v>
      </c>
      <c r="K79" s="29"/>
      <c r="O79"/>
      <c r="P79"/>
      <c r="Q79"/>
    </row>
    <row r="80" spans="1:19" x14ac:dyDescent="0.3">
      <c r="A80" s="28">
        <v>45930</v>
      </c>
      <c r="B80" s="29" t="s">
        <v>24</v>
      </c>
      <c r="C80" s="116" t="s">
        <v>296</v>
      </c>
      <c r="D80" s="29" t="s">
        <v>88</v>
      </c>
      <c r="E80" s="11">
        <v>1762</v>
      </c>
      <c r="F80" s="11">
        <v>9526</v>
      </c>
      <c r="G80" s="11">
        <v>1928</v>
      </c>
      <c r="H80" s="32">
        <f>_xlfn.XLOOKUP(Table1[[#This Row],[Shipment Number]], 'pivot '!A:A,'pivot '!G:G, "NF")</f>
        <v>-0.37788236284295351</v>
      </c>
      <c r="I80" s="32">
        <f>IF(Table1[[#This Row],[Shipment Number]]="RD",0,Table1[[#This Row],[Tiyaar/gaz]]/1.0936)</f>
        <v>1762.984637893197</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21155.815654718364</v>
      </c>
      <c r="K80" s="29"/>
      <c r="O80"/>
      <c r="P80"/>
      <c r="Q80"/>
    </row>
    <row r="81" spans="1:17" x14ac:dyDescent="0.3">
      <c r="A81" s="28">
        <v>45930</v>
      </c>
      <c r="B81" s="29" t="s">
        <v>24</v>
      </c>
      <c r="C81" s="116" t="s">
        <v>297</v>
      </c>
      <c r="D81" s="29" t="s">
        <v>88</v>
      </c>
      <c r="E81" s="11">
        <v>1764</v>
      </c>
      <c r="F81" s="11">
        <v>11093</v>
      </c>
      <c r="G81" s="11">
        <v>2578</v>
      </c>
      <c r="H81" s="32">
        <f>_xlfn.XLOOKUP(Table1[[#This Row],[Shipment Number]], 'pivot '!A:A,'pivot '!G:G, "NF")</f>
        <v>2.5991004693905495</v>
      </c>
      <c r="I81" s="32">
        <f>IF(Table1[[#This Row],[Shipment Number]]="RD",0,Table1[[#This Row],[Tiyaar/gaz]]/1.0936)</f>
        <v>2357.3518653986835</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28288.222384784203</v>
      </c>
      <c r="K81" s="29"/>
      <c r="O81"/>
      <c r="P81"/>
      <c r="Q81"/>
    </row>
    <row r="82" spans="1:17" x14ac:dyDescent="0.3">
      <c r="A82" s="28">
        <v>45930</v>
      </c>
      <c r="B82" s="29" t="s">
        <v>24</v>
      </c>
      <c r="C82" s="116" t="s">
        <v>298</v>
      </c>
      <c r="D82" s="29" t="s">
        <v>88</v>
      </c>
      <c r="E82" s="11">
        <v>1760</v>
      </c>
      <c r="F82" s="11">
        <v>25118</v>
      </c>
      <c r="G82" s="11">
        <v>4162</v>
      </c>
      <c r="H82" s="32">
        <f>_xlfn.XLOOKUP(Table1[[#This Row],[Shipment Number]], 'pivot '!A:A,'pivot '!G:G, "NF")</f>
        <v>3.6369841298594991</v>
      </c>
      <c r="I82" s="32">
        <f>IF(Table1[[#This Row],[Shipment Number]]="RD",0,Table1[[#This Row],[Tiyaar/gaz]]/1.0936)</f>
        <v>3805.7790782735919</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45669.348939283103</v>
      </c>
      <c r="K82" s="29"/>
      <c r="O82"/>
      <c r="P82"/>
      <c r="Q82"/>
    </row>
    <row r="83" spans="1:17" x14ac:dyDescent="0.3">
      <c r="A83" s="28">
        <v>45930</v>
      </c>
      <c r="B83" s="29" t="s">
        <v>24</v>
      </c>
      <c r="C83" s="116" t="s">
        <v>299</v>
      </c>
      <c r="D83" s="29" t="s">
        <v>88</v>
      </c>
      <c r="E83" s="11">
        <v>1765</v>
      </c>
      <c r="F83" s="11">
        <v>7371</v>
      </c>
      <c r="G83" s="11">
        <v>1384</v>
      </c>
      <c r="H83" s="32">
        <f>_xlfn.XLOOKUP(Table1[[#This Row],[Shipment Number]], 'pivot '!A:A,'pivot '!G:G, "NF")</f>
        <v>-0.9809593081965744</v>
      </c>
      <c r="I83" s="32">
        <f>IF(Table1[[#This Row],[Shipment Number]]="RD",0,Table1[[#This Row],[Tiyaar/gaz]]/1.0936)</f>
        <v>1265.5449890270668</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15186.539868324802</v>
      </c>
      <c r="K83" s="29"/>
      <c r="O83"/>
      <c r="P83"/>
      <c r="Q83"/>
    </row>
    <row r="84" spans="1:17" x14ac:dyDescent="0.3">
      <c r="A84"/>
      <c r="B84"/>
      <c r="C84"/>
      <c r="D84"/>
      <c r="E84" s="14"/>
      <c r="F84" s="14"/>
      <c r="G84" s="14"/>
      <c r="H84" s="50"/>
      <c r="I84" s="117" cm="1">
        <f t="array" aca="1" ref="I84" ca="1">SUMPRODUCT( SUBTOTAL(109, OFFSET(Table1[tiyar/meters], ROW(Table1[tiyar/meters])-MIN(ROW(Table1[tiyar/meters])), 0, 1)), --(Table1[Bill Number]&lt;&gt;"August Closing CF") )</f>
        <v>863824.98171177751</v>
      </c>
      <c r="J84" s="50" cm="1">
        <f t="array" aca="1" ref="J84" ca="1">SUMPRODUCT( SUBTOTAL(109, OFFSET(Table1[billing], ROW(Table1[billing])-MIN(ROW(Table1[billing])), 0, 1)), --(Table1[Bill Number]&lt;&gt;"August Closing CF") )</f>
        <v>9021867.2275054902</v>
      </c>
      <c r="K84" s="14">
        <f>SUMIFS(Table1[billing], Table1[Bill Number], "&lt;&gt;August Closing CF")</f>
        <v>9021867.2275054902</v>
      </c>
      <c r="P84"/>
      <c r="Q84"/>
    </row>
    <row r="85" spans="1:17" x14ac:dyDescent="0.3">
      <c r="P85"/>
      <c r="Q85"/>
    </row>
    <row r="86" spans="1:17" x14ac:dyDescent="0.3">
      <c r="P86"/>
      <c r="Q86"/>
    </row>
    <row r="87" spans="1:17" x14ac:dyDescent="0.3">
      <c r="D87" s="3" t="s">
        <v>2</v>
      </c>
      <c r="E87" t="s">
        <v>89</v>
      </c>
      <c r="P87"/>
      <c r="Q87"/>
    </row>
    <row r="88" spans="1:17" x14ac:dyDescent="0.3">
      <c r="D88" s="3" t="s">
        <v>76</v>
      </c>
      <c r="E88" t="s">
        <v>89</v>
      </c>
      <c r="P88"/>
      <c r="Q88"/>
    </row>
    <row r="89" spans="1:17" x14ac:dyDescent="0.3">
      <c r="D89" s="3" t="s">
        <v>80</v>
      </c>
      <c r="E89" t="s">
        <v>89</v>
      </c>
      <c r="P89"/>
      <c r="Q89"/>
    </row>
    <row r="90" spans="1:17" x14ac:dyDescent="0.3">
      <c r="P90"/>
      <c r="Q90"/>
    </row>
    <row r="91" spans="1:17" x14ac:dyDescent="0.3">
      <c r="D91" s="3" t="s">
        <v>6</v>
      </c>
      <c r="E91" t="s">
        <v>90</v>
      </c>
      <c r="F91" t="s">
        <v>91</v>
      </c>
      <c r="G91" t="s">
        <v>92</v>
      </c>
      <c r="I91" s="3" t="s">
        <v>6</v>
      </c>
      <c r="J91" t="s">
        <v>91</v>
      </c>
      <c r="K91" t="s">
        <v>92</v>
      </c>
      <c r="P91"/>
      <c r="Q91"/>
    </row>
    <row r="92" spans="1:17" x14ac:dyDescent="0.3">
      <c r="D92" s="16" t="s">
        <v>164</v>
      </c>
      <c r="E92"/>
      <c r="F92" s="33">
        <v>2397934.3452816382</v>
      </c>
      <c r="G92">
        <v>24159091.119458668</v>
      </c>
      <c r="I92" s="27">
        <v>45888</v>
      </c>
      <c r="J92" s="50">
        <v>2002.56035113387</v>
      </c>
      <c r="K92" s="14">
        <v>20025.603511338701</v>
      </c>
      <c r="P92"/>
      <c r="Q92"/>
    </row>
    <row r="93" spans="1:17" x14ac:dyDescent="0.3">
      <c r="D93" s="16">
        <v>835</v>
      </c>
      <c r="E93">
        <v>19968</v>
      </c>
      <c r="F93" s="33">
        <v>18258.961228968546</v>
      </c>
      <c r="G93">
        <v>182589.61228968546</v>
      </c>
      <c r="I93" s="27">
        <v>45916</v>
      </c>
      <c r="J93" s="50">
        <v>2397934.3452816382</v>
      </c>
      <c r="K93" s="14">
        <v>24159091.119458668</v>
      </c>
      <c r="P93"/>
      <c r="Q93"/>
    </row>
    <row r="94" spans="1:17" x14ac:dyDescent="0.3">
      <c r="D94" s="16">
        <v>836</v>
      </c>
      <c r="E94">
        <v>28988</v>
      </c>
      <c r="F94" s="33">
        <v>26506.949524506221</v>
      </c>
      <c r="G94">
        <v>318083.39429407462</v>
      </c>
      <c r="I94" s="27">
        <v>45917</v>
      </c>
      <c r="J94" s="50">
        <v>82800.841258229702</v>
      </c>
      <c r="K94" s="14">
        <v>925892.46525237756</v>
      </c>
      <c r="P94"/>
      <c r="Q94"/>
    </row>
    <row r="95" spans="1:17" x14ac:dyDescent="0.3">
      <c r="D95" s="16">
        <v>837</v>
      </c>
      <c r="E95">
        <v>3979</v>
      </c>
      <c r="F95" s="33">
        <v>3638.4418434528166</v>
      </c>
      <c r="G95">
        <v>43661.3021214338</v>
      </c>
      <c r="I95" s="27">
        <v>45918</v>
      </c>
      <c r="J95" s="50">
        <v>34217.264081931236</v>
      </c>
      <c r="K95" s="14">
        <v>342172.64081931236</v>
      </c>
      <c r="O95"/>
      <c r="P95"/>
      <c r="Q95"/>
    </row>
    <row r="96" spans="1:17" x14ac:dyDescent="0.3">
      <c r="D96" s="16">
        <v>838</v>
      </c>
      <c r="E96">
        <v>6476</v>
      </c>
      <c r="F96" s="33">
        <v>5921.7264081931244</v>
      </c>
      <c r="G96">
        <v>71060.716898317492</v>
      </c>
      <c r="I96" s="27">
        <v>45919</v>
      </c>
      <c r="J96" s="50">
        <v>26449.341623994151</v>
      </c>
      <c r="K96" s="14">
        <v>264493.41623994149</v>
      </c>
      <c r="O96"/>
      <c r="P96"/>
      <c r="Q96"/>
    </row>
    <row r="97" spans="4:17" x14ac:dyDescent="0.3">
      <c r="D97" s="16">
        <v>839</v>
      </c>
      <c r="E97">
        <v>10952</v>
      </c>
      <c r="F97" s="33">
        <v>10014.630577907828</v>
      </c>
      <c r="G97">
        <v>120175.56693489394</v>
      </c>
      <c r="I97" s="27">
        <v>45920</v>
      </c>
      <c r="J97" s="50">
        <v>59877.468910021955</v>
      </c>
      <c r="K97" s="14">
        <v>598774.68910021952</v>
      </c>
      <c r="O97"/>
      <c r="P97"/>
      <c r="Q97"/>
    </row>
    <row r="98" spans="4:17" x14ac:dyDescent="0.3">
      <c r="D98" s="16">
        <v>840</v>
      </c>
      <c r="E98">
        <v>3128</v>
      </c>
      <c r="F98" s="33">
        <v>2860.2779809802491</v>
      </c>
      <c r="G98">
        <v>34323.335771762991</v>
      </c>
      <c r="I98" s="27">
        <v>45922</v>
      </c>
      <c r="J98" s="50">
        <v>129489.75859546452</v>
      </c>
      <c r="K98" s="14">
        <v>1188917.3372348209</v>
      </c>
      <c r="L98"/>
      <c r="M98"/>
      <c r="O98"/>
      <c r="P98"/>
      <c r="Q98"/>
    </row>
    <row r="99" spans="4:17" x14ac:dyDescent="0.3">
      <c r="D99" s="16">
        <v>841</v>
      </c>
      <c r="E99">
        <v>17060</v>
      </c>
      <c r="F99" s="33">
        <v>15599.853694220923</v>
      </c>
      <c r="G99">
        <v>155998.53694220923</v>
      </c>
      <c r="I99" s="27">
        <v>45923</v>
      </c>
      <c r="J99" s="50">
        <v>54385.515727871258</v>
      </c>
      <c r="K99" s="14">
        <v>533916.42282370164</v>
      </c>
      <c r="L99"/>
      <c r="M99"/>
      <c r="O99"/>
      <c r="P99"/>
      <c r="Q99"/>
    </row>
    <row r="100" spans="4:17" x14ac:dyDescent="0.3">
      <c r="D100" s="16">
        <v>842</v>
      </c>
      <c r="E100"/>
      <c r="F100" s="33">
        <v>0</v>
      </c>
      <c r="G100">
        <v>0</v>
      </c>
      <c r="I100" s="27">
        <v>45924</v>
      </c>
      <c r="J100" s="50">
        <v>100605.34016093636</v>
      </c>
      <c r="K100" s="14">
        <v>1207264.0819312364</v>
      </c>
      <c r="L100"/>
      <c r="M100"/>
      <c r="O100"/>
      <c r="P100"/>
      <c r="Q100"/>
    </row>
    <row r="101" spans="4:17" x14ac:dyDescent="0.3">
      <c r="D101" s="16">
        <v>843</v>
      </c>
      <c r="E101">
        <v>37420</v>
      </c>
      <c r="F101" s="33">
        <v>34217.264081931236</v>
      </c>
      <c r="G101">
        <v>342172.64081931236</v>
      </c>
      <c r="I101" s="27">
        <v>45925</v>
      </c>
      <c r="J101" s="50">
        <v>63347.659107534753</v>
      </c>
      <c r="K101" s="14">
        <v>698609.18068763718</v>
      </c>
      <c r="L101"/>
      <c r="M101"/>
      <c r="N101"/>
      <c r="O101"/>
      <c r="P101"/>
      <c r="Q101"/>
    </row>
    <row r="102" spans="4:17" x14ac:dyDescent="0.3">
      <c r="D102" s="16">
        <v>844</v>
      </c>
      <c r="E102">
        <v>2641</v>
      </c>
      <c r="F102" s="33">
        <v>2414.9597659107535</v>
      </c>
      <c r="G102">
        <v>24149.597659107534</v>
      </c>
      <c r="I102" s="27">
        <v>45926</v>
      </c>
      <c r="J102" s="50">
        <v>59556.510607168988</v>
      </c>
      <c r="K102" s="14">
        <v>595949.15874177043</v>
      </c>
      <c r="L102"/>
      <c r="M102"/>
      <c r="N102"/>
      <c r="O102"/>
      <c r="P102"/>
      <c r="Q102"/>
    </row>
    <row r="103" spans="4:17" x14ac:dyDescent="0.3">
      <c r="D103" s="16">
        <v>845</v>
      </c>
      <c r="E103"/>
      <c r="F103" s="33">
        <v>0</v>
      </c>
      <c r="G103">
        <v>0</v>
      </c>
      <c r="I103" s="27">
        <v>45927</v>
      </c>
      <c r="J103" s="50">
        <v>83154.718361375286</v>
      </c>
      <c r="K103" s="14">
        <v>831547.18361375283</v>
      </c>
      <c r="L103"/>
      <c r="M103"/>
      <c r="N103"/>
      <c r="O103"/>
      <c r="P103"/>
      <c r="Q103"/>
    </row>
    <row r="104" spans="4:17" x14ac:dyDescent="0.3">
      <c r="D104" s="16">
        <v>846</v>
      </c>
      <c r="E104">
        <v>2190</v>
      </c>
      <c r="F104" s="33">
        <v>2002.56035113387</v>
      </c>
      <c r="G104">
        <v>20025.603511338701</v>
      </c>
      <c r="I104" s="27">
        <v>45929</v>
      </c>
      <c r="J104" s="50">
        <v>100475.49378200439</v>
      </c>
      <c r="K104" s="14">
        <v>1004754.937820044</v>
      </c>
      <c r="L104"/>
      <c r="M104"/>
      <c r="N104"/>
      <c r="O104"/>
      <c r="P104"/>
      <c r="Q104"/>
    </row>
    <row r="105" spans="4:17" x14ac:dyDescent="0.3">
      <c r="D105" s="16">
        <v>847</v>
      </c>
      <c r="E105">
        <v>26284</v>
      </c>
      <c r="F105" s="33">
        <v>24034.381858083398</v>
      </c>
      <c r="G105">
        <v>240343.81858083396</v>
      </c>
      <c r="I105" s="27">
        <v>45930</v>
      </c>
      <c r="J105" s="50">
        <v>67462.509144111202</v>
      </c>
      <c r="K105" s="14">
        <v>809550.10972933436</v>
      </c>
      <c r="L105"/>
      <c r="M105"/>
      <c r="N105"/>
      <c r="O105"/>
    </row>
    <row r="106" spans="4:17" x14ac:dyDescent="0.3">
      <c r="D106" s="16">
        <v>848</v>
      </c>
      <c r="E106"/>
      <c r="F106" s="33">
        <v>0</v>
      </c>
      <c r="G106">
        <v>0</v>
      </c>
      <c r="I106" s="27" t="s">
        <v>28</v>
      </c>
      <c r="J106" s="50">
        <v>3261759.3269934161</v>
      </c>
      <c r="K106" s="14">
        <v>33180958.346964154</v>
      </c>
      <c r="L106"/>
      <c r="M106"/>
      <c r="N106"/>
      <c r="O106"/>
    </row>
    <row r="107" spans="4:17" x14ac:dyDescent="0.3">
      <c r="D107" s="16">
        <v>849</v>
      </c>
      <c r="E107">
        <v>6883</v>
      </c>
      <c r="F107" s="33">
        <v>6293.8917337234825</v>
      </c>
      <c r="G107">
        <v>62938.917337234823</v>
      </c>
      <c r="I107"/>
      <c r="J107"/>
      <c r="K107"/>
      <c r="L107"/>
      <c r="M107"/>
      <c r="N107"/>
      <c r="O107"/>
    </row>
    <row r="108" spans="4:17" x14ac:dyDescent="0.3">
      <c r="D108" s="16">
        <v>850</v>
      </c>
      <c r="E108"/>
      <c r="F108" s="33">
        <v>0</v>
      </c>
      <c r="G108">
        <v>0</v>
      </c>
      <c r="I108"/>
      <c r="J108"/>
      <c r="K108"/>
      <c r="L108"/>
      <c r="M108"/>
      <c r="N108"/>
      <c r="O108"/>
    </row>
    <row r="109" spans="4:17" x14ac:dyDescent="0.3">
      <c r="D109" s="16">
        <v>851</v>
      </c>
      <c r="E109"/>
      <c r="F109" s="33">
        <v>0</v>
      </c>
      <c r="G109">
        <v>0</v>
      </c>
      <c r="I109"/>
      <c r="J109"/>
      <c r="K109"/>
      <c r="L109"/>
      <c r="M109"/>
      <c r="N109"/>
      <c r="O109"/>
    </row>
    <row r="110" spans="4:17" x14ac:dyDescent="0.3">
      <c r="D110" s="16">
        <v>852</v>
      </c>
      <c r="E110">
        <v>10423</v>
      </c>
      <c r="F110" s="33">
        <v>9530.9070958302855</v>
      </c>
      <c r="G110">
        <v>95309.070958302851</v>
      </c>
      <c r="I110"/>
      <c r="J110"/>
      <c r="K110"/>
      <c r="L110"/>
      <c r="M110"/>
      <c r="N110"/>
      <c r="O110"/>
    </row>
    <row r="111" spans="4:17" x14ac:dyDescent="0.3">
      <c r="D111" s="16">
        <v>853</v>
      </c>
      <c r="E111">
        <v>22769</v>
      </c>
      <c r="F111" s="33">
        <v>20820.226773957573</v>
      </c>
      <c r="G111">
        <v>208202.26773957573</v>
      </c>
      <c r="I111"/>
      <c r="J111"/>
      <c r="K111"/>
      <c r="L111"/>
      <c r="M111"/>
      <c r="N111"/>
      <c r="O111"/>
    </row>
    <row r="112" spans="4:17" x14ac:dyDescent="0.3">
      <c r="D112" s="16">
        <v>854</v>
      </c>
      <c r="E112">
        <v>25407</v>
      </c>
      <c r="F112" s="33">
        <v>23232.44330651061</v>
      </c>
      <c r="G112">
        <v>232324.4330651061</v>
      </c>
      <c r="I112"/>
      <c r="J112"/>
      <c r="K112"/>
      <c r="L112"/>
      <c r="M112"/>
      <c r="N112"/>
      <c r="O112"/>
    </row>
    <row r="113" spans="4:15" x14ac:dyDescent="0.3">
      <c r="D113" s="16">
        <v>855</v>
      </c>
      <c r="E113"/>
      <c r="F113" s="33">
        <v>0</v>
      </c>
      <c r="G113">
        <v>0</v>
      </c>
      <c r="I113"/>
      <c r="J113"/>
      <c r="K113"/>
      <c r="L113"/>
      <c r="M113"/>
      <c r="N113"/>
      <c r="O113"/>
    </row>
    <row r="114" spans="4:15" x14ac:dyDescent="0.3">
      <c r="D114" s="16">
        <v>856</v>
      </c>
      <c r="E114">
        <v>25710</v>
      </c>
      <c r="F114" s="33">
        <v>23509.509875640091</v>
      </c>
      <c r="G114">
        <v>235095.09875640093</v>
      </c>
      <c r="I114"/>
      <c r="J114"/>
      <c r="K114"/>
      <c r="L114"/>
      <c r="M114"/>
      <c r="N114"/>
      <c r="O114"/>
    </row>
    <row r="115" spans="4:15" x14ac:dyDescent="0.3">
      <c r="D115" s="16">
        <v>857</v>
      </c>
      <c r="E115">
        <v>18018</v>
      </c>
      <c r="F115" s="33">
        <v>16475.859546452088</v>
      </c>
      <c r="G115">
        <v>148282.73591806879</v>
      </c>
      <c r="I115"/>
      <c r="J115"/>
      <c r="K115"/>
      <c r="L115"/>
      <c r="M115"/>
      <c r="N115"/>
      <c r="O115"/>
    </row>
    <row r="116" spans="4:15" x14ac:dyDescent="0.3">
      <c r="D116" s="16">
        <v>858</v>
      </c>
      <c r="E116">
        <v>52061</v>
      </c>
      <c r="F116" s="33">
        <v>47605.157278712511</v>
      </c>
      <c r="G116">
        <v>428446.41550841258</v>
      </c>
      <c r="I116"/>
      <c r="J116"/>
      <c r="K116"/>
      <c r="L116"/>
      <c r="M116"/>
      <c r="N116"/>
    </row>
    <row r="117" spans="4:15" x14ac:dyDescent="0.3">
      <c r="D117" s="16">
        <v>859</v>
      </c>
      <c r="E117">
        <v>45821</v>
      </c>
      <c r="F117" s="33">
        <v>41899.231894659846</v>
      </c>
      <c r="G117">
        <v>377093.08705193864</v>
      </c>
      <c r="I117"/>
      <c r="J117"/>
      <c r="K117"/>
      <c r="L117"/>
      <c r="M117"/>
      <c r="N117"/>
    </row>
    <row r="118" spans="4:15" x14ac:dyDescent="0.3">
      <c r="D118" s="16">
        <v>860</v>
      </c>
      <c r="E118">
        <v>41491</v>
      </c>
      <c r="F118" s="33">
        <v>37939.831748354067</v>
      </c>
      <c r="G118">
        <v>379398.31748354068</v>
      </c>
      <c r="L118"/>
      <c r="M118"/>
      <c r="N118"/>
    </row>
    <row r="119" spans="4:15" x14ac:dyDescent="0.3">
      <c r="D119" s="16">
        <v>861</v>
      </c>
      <c r="E119">
        <v>7116</v>
      </c>
      <c r="F119" s="33">
        <v>6506.9495245062189</v>
      </c>
      <c r="G119">
        <v>65069.495245062193</v>
      </c>
      <c r="L119"/>
      <c r="M119"/>
      <c r="N119"/>
    </row>
    <row r="120" spans="4:15" x14ac:dyDescent="0.3">
      <c r="D120" s="16">
        <v>862</v>
      </c>
      <c r="E120"/>
      <c r="F120" s="33">
        <v>0</v>
      </c>
      <c r="G120">
        <v>0</v>
      </c>
      <c r="L120"/>
      <c r="M120"/>
      <c r="N120"/>
    </row>
    <row r="121" spans="4:15" x14ac:dyDescent="0.3">
      <c r="D121" s="16">
        <v>863</v>
      </c>
      <c r="E121">
        <v>10869</v>
      </c>
      <c r="F121" s="33">
        <v>9938.7344550109738</v>
      </c>
      <c r="G121">
        <v>89448.61009509876</v>
      </c>
      <c r="L121"/>
      <c r="M121"/>
      <c r="N121"/>
    </row>
    <row r="122" spans="4:15" x14ac:dyDescent="0.3">
      <c r="D122" s="16">
        <v>864</v>
      </c>
      <c r="E122">
        <v>35692</v>
      </c>
      <c r="F122" s="33">
        <v>32637.161667885885</v>
      </c>
      <c r="G122">
        <v>391645.94001463061</v>
      </c>
      <c r="L122"/>
      <c r="M122"/>
      <c r="N122"/>
    </row>
    <row r="123" spans="4:15" x14ac:dyDescent="0.3">
      <c r="D123" s="16">
        <v>865</v>
      </c>
      <c r="E123">
        <v>28089</v>
      </c>
      <c r="F123" s="33">
        <v>25684.893928310172</v>
      </c>
      <c r="G123">
        <v>308218.72713972209</v>
      </c>
      <c r="L123"/>
      <c r="M123"/>
      <c r="N123"/>
    </row>
    <row r="124" spans="4:15" x14ac:dyDescent="0.3">
      <c r="D124" s="16">
        <v>866</v>
      </c>
      <c r="E124">
        <v>14996</v>
      </c>
      <c r="F124" s="33">
        <v>13712.509144111194</v>
      </c>
      <c r="G124">
        <v>164550.10972933433</v>
      </c>
      <c r="L124"/>
      <c r="M124"/>
      <c r="N124"/>
    </row>
    <row r="125" spans="4:15" x14ac:dyDescent="0.3">
      <c r="D125" s="16">
        <v>867</v>
      </c>
      <c r="E125">
        <v>13485</v>
      </c>
      <c r="F125" s="33">
        <v>12330.833942940748</v>
      </c>
      <c r="G125">
        <v>147970.00731528897</v>
      </c>
      <c r="L125"/>
      <c r="M125"/>
      <c r="N125"/>
    </row>
    <row r="126" spans="4:15" x14ac:dyDescent="0.3">
      <c r="D126" s="16">
        <v>868</v>
      </c>
      <c r="E126">
        <v>15066</v>
      </c>
      <c r="F126" s="33">
        <v>13776.517922457939</v>
      </c>
      <c r="G126">
        <v>165318.21506949526</v>
      </c>
      <c r="L126"/>
      <c r="M126"/>
      <c r="N126"/>
    </row>
    <row r="127" spans="4:15" x14ac:dyDescent="0.3">
      <c r="D127" s="16">
        <v>869</v>
      </c>
      <c r="E127">
        <v>2694</v>
      </c>
      <c r="F127" s="33">
        <v>2463.4235552304317</v>
      </c>
      <c r="G127">
        <v>29561.08266276518</v>
      </c>
      <c r="L127"/>
      <c r="M127"/>
      <c r="N127"/>
    </row>
    <row r="128" spans="4:15" x14ac:dyDescent="0.3">
      <c r="D128" s="16">
        <v>870</v>
      </c>
      <c r="E128">
        <v>32937</v>
      </c>
      <c r="F128" s="33">
        <v>30117.95903438186</v>
      </c>
      <c r="G128">
        <v>361415.50841258233</v>
      </c>
      <c r="L128"/>
      <c r="M128"/>
      <c r="N128"/>
    </row>
    <row r="129" spans="4:14" x14ac:dyDescent="0.3">
      <c r="D129" s="16">
        <v>871</v>
      </c>
      <c r="E129">
        <v>25630</v>
      </c>
      <c r="F129" s="33">
        <v>23436.356986100953</v>
      </c>
      <c r="G129">
        <v>234363.56986100954</v>
      </c>
      <c r="L129"/>
      <c r="M129"/>
      <c r="N129"/>
    </row>
    <row r="130" spans="4:14" x14ac:dyDescent="0.3">
      <c r="D130" s="16">
        <v>872</v>
      </c>
      <c r="E130">
        <v>10710</v>
      </c>
      <c r="F130" s="33">
        <v>9793.3430870519387</v>
      </c>
      <c r="G130">
        <v>102830.10241404535</v>
      </c>
      <c r="L130"/>
      <c r="M130"/>
      <c r="N130"/>
    </row>
    <row r="131" spans="4:14" x14ac:dyDescent="0.3">
      <c r="D131" s="16">
        <v>873</v>
      </c>
      <c r="E131">
        <v>10710</v>
      </c>
      <c r="F131" s="33">
        <v>9793.3430870519387</v>
      </c>
      <c r="G131">
        <v>97933.430870519383</v>
      </c>
      <c r="L131"/>
      <c r="M131"/>
      <c r="N131"/>
    </row>
    <row r="132" spans="4:14" x14ac:dyDescent="0.3">
      <c r="D132" s="16">
        <v>874</v>
      </c>
      <c r="E132">
        <v>20984</v>
      </c>
      <c r="F132" s="33">
        <v>19188.002926115583</v>
      </c>
      <c r="G132">
        <v>191880.02926115584</v>
      </c>
      <c r="L132"/>
      <c r="M132"/>
      <c r="N132"/>
    </row>
    <row r="133" spans="4:14" x14ac:dyDescent="0.3">
      <c r="D133" s="16">
        <v>875</v>
      </c>
      <c r="E133">
        <v>13939</v>
      </c>
      <c r="F133" s="33">
        <v>12745.976591075349</v>
      </c>
      <c r="G133">
        <v>127459.76591075349</v>
      </c>
    </row>
    <row r="134" spans="4:14" x14ac:dyDescent="0.3">
      <c r="D134" s="16">
        <v>876</v>
      </c>
      <c r="E134">
        <v>210</v>
      </c>
      <c r="F134" s="33">
        <v>192.0263350402341</v>
      </c>
      <c r="G134">
        <v>2304.3160204828091</v>
      </c>
    </row>
    <row r="135" spans="4:14" x14ac:dyDescent="0.3">
      <c r="D135" s="16">
        <v>877</v>
      </c>
      <c r="E135">
        <v>19288</v>
      </c>
      <c r="F135" s="33">
        <v>17637.161667885885</v>
      </c>
      <c r="G135">
        <v>176371.61667885885</v>
      </c>
    </row>
    <row r="136" spans="4:14" x14ac:dyDescent="0.3">
      <c r="D136" s="16">
        <v>878</v>
      </c>
      <c r="E136">
        <v>12510</v>
      </c>
      <c r="F136" s="33">
        <v>11439.283101682517</v>
      </c>
      <c r="G136">
        <v>114392.83101682516</v>
      </c>
    </row>
    <row r="137" spans="4:14" x14ac:dyDescent="0.3">
      <c r="D137" s="16">
        <v>879</v>
      </c>
      <c r="E137">
        <v>16471</v>
      </c>
      <c r="F137" s="33">
        <v>15061.265544989028</v>
      </c>
      <c r="G137">
        <v>150612.65544989027</v>
      </c>
    </row>
    <row r="138" spans="4:14" x14ac:dyDescent="0.3">
      <c r="D138" s="16">
        <v>880</v>
      </c>
      <c r="E138">
        <v>11222</v>
      </c>
      <c r="F138" s="33">
        <v>10261.521580102415</v>
      </c>
      <c r="G138">
        <v>102615.21580102415</v>
      </c>
    </row>
    <row r="139" spans="4:14" x14ac:dyDescent="0.3">
      <c r="D139" s="16">
        <v>881</v>
      </c>
      <c r="E139">
        <v>15796</v>
      </c>
      <c r="F139" s="33">
        <v>14444.038039502562</v>
      </c>
      <c r="G139">
        <v>144440.38039502563</v>
      </c>
    </row>
    <row r="140" spans="4:14" x14ac:dyDescent="0.3">
      <c r="D140" s="16">
        <v>882</v>
      </c>
      <c r="E140">
        <v>17234</v>
      </c>
      <c r="F140" s="33">
        <v>15758.961228968546</v>
      </c>
      <c r="G140">
        <v>157589.61228968546</v>
      </c>
    </row>
    <row r="141" spans="4:14" x14ac:dyDescent="0.3">
      <c r="D141" s="16">
        <v>883</v>
      </c>
      <c r="E141">
        <v>13257</v>
      </c>
      <c r="F141" s="33">
        <v>12122.348207754207</v>
      </c>
      <c r="G141">
        <v>121223.48207754207</v>
      </c>
    </row>
    <row r="142" spans="4:14" x14ac:dyDescent="0.3">
      <c r="D142" s="16">
        <v>884</v>
      </c>
      <c r="E142">
        <v>4448</v>
      </c>
      <c r="F142" s="33">
        <v>4067.3006583760061</v>
      </c>
      <c r="G142">
        <v>40673.006583760063</v>
      </c>
    </row>
    <row r="143" spans="4:14" x14ac:dyDescent="0.3">
      <c r="D143" s="16">
        <v>885</v>
      </c>
      <c r="E143">
        <v>1850</v>
      </c>
      <c r="F143" s="33">
        <v>1691.6605705925385</v>
      </c>
      <c r="G143">
        <v>16916.605705925387</v>
      </c>
    </row>
    <row r="144" spans="4:14" x14ac:dyDescent="0.3">
      <c r="D144" s="16">
        <v>886</v>
      </c>
      <c r="E144">
        <v>12863</v>
      </c>
      <c r="F144" s="33">
        <v>11762.070226773958</v>
      </c>
      <c r="G144">
        <v>117620.70226773957</v>
      </c>
    </row>
    <row r="145" spans="4:7" x14ac:dyDescent="0.3">
      <c r="D145" s="16">
        <v>887</v>
      </c>
      <c r="E145">
        <v>4262</v>
      </c>
      <c r="F145" s="33">
        <v>3897.2201901975131</v>
      </c>
      <c r="G145">
        <v>38972.201901975131</v>
      </c>
    </row>
    <row r="146" spans="4:7" x14ac:dyDescent="0.3">
      <c r="D146" s="16">
        <v>888</v>
      </c>
      <c r="E146">
        <v>4440</v>
      </c>
      <c r="F146" s="33">
        <v>4059.9853694220924</v>
      </c>
      <c r="G146">
        <v>40599.853694220925</v>
      </c>
    </row>
    <row r="147" spans="4:7" x14ac:dyDescent="0.3">
      <c r="D147" s="16">
        <v>889</v>
      </c>
      <c r="E147">
        <v>16998</v>
      </c>
      <c r="F147" s="33">
        <v>15543.160204828093</v>
      </c>
      <c r="G147">
        <v>155431.60204828094</v>
      </c>
    </row>
    <row r="148" spans="4:7" x14ac:dyDescent="0.3">
      <c r="D148" s="16">
        <v>890</v>
      </c>
      <c r="E148">
        <v>15007</v>
      </c>
      <c r="F148" s="33">
        <v>13722.567666422825</v>
      </c>
      <c r="G148">
        <v>137225.67666422826</v>
      </c>
    </row>
    <row r="149" spans="4:7" x14ac:dyDescent="0.3">
      <c r="D149" s="16">
        <v>891</v>
      </c>
      <c r="E149">
        <v>36453</v>
      </c>
      <c r="F149" s="33">
        <v>33333.028529626921</v>
      </c>
      <c r="G149">
        <v>333330.28529626923</v>
      </c>
    </row>
    <row r="150" spans="4:7" x14ac:dyDescent="0.3">
      <c r="D150" s="16">
        <v>892</v>
      </c>
      <c r="E150">
        <v>18007</v>
      </c>
      <c r="F150" s="33">
        <v>16465.801024140455</v>
      </c>
      <c r="G150">
        <v>164658.01024140455</v>
      </c>
    </row>
    <row r="151" spans="4:7" x14ac:dyDescent="0.3">
      <c r="D151" s="16">
        <v>893</v>
      </c>
      <c r="E151">
        <v>19462</v>
      </c>
      <c r="F151" s="33">
        <v>17796.269202633506</v>
      </c>
      <c r="G151">
        <v>213555.23043160207</v>
      </c>
    </row>
    <row r="152" spans="4:7" x14ac:dyDescent="0.3">
      <c r="D152" s="16">
        <v>894</v>
      </c>
      <c r="E152">
        <v>2846</v>
      </c>
      <c r="F152" s="33">
        <v>2602.4140453547916</v>
      </c>
      <c r="G152">
        <v>31228.968544257499</v>
      </c>
    </row>
    <row r="153" spans="4:7" x14ac:dyDescent="0.3">
      <c r="D153" s="16">
        <v>895</v>
      </c>
      <c r="E153">
        <v>8529</v>
      </c>
      <c r="F153" s="33">
        <v>7799.0124359912224</v>
      </c>
      <c r="G153">
        <v>93588.149231894669</v>
      </c>
    </row>
    <row r="154" spans="4:7" x14ac:dyDescent="0.3">
      <c r="D154" s="16">
        <v>896</v>
      </c>
      <c r="E154">
        <v>13770</v>
      </c>
      <c r="F154" s="33">
        <v>12591.441111923921</v>
      </c>
      <c r="G154">
        <v>151097.29334308705</v>
      </c>
    </row>
    <row r="155" spans="4:7" x14ac:dyDescent="0.3">
      <c r="D155" s="16">
        <v>897</v>
      </c>
      <c r="E155">
        <v>9238</v>
      </c>
      <c r="F155" s="33">
        <v>8447.3299195318214</v>
      </c>
      <c r="G155">
        <v>101367.95903438186</v>
      </c>
    </row>
    <row r="156" spans="4:7" x14ac:dyDescent="0.3">
      <c r="D156" s="16">
        <v>898</v>
      </c>
      <c r="E156">
        <v>6756</v>
      </c>
      <c r="F156" s="33">
        <v>6177.7615215801034</v>
      </c>
      <c r="G156">
        <v>74133.138258961233</v>
      </c>
    </row>
    <row r="157" spans="4:7" x14ac:dyDescent="0.3">
      <c r="D157" s="16" t="s">
        <v>295</v>
      </c>
      <c r="E157">
        <v>3124</v>
      </c>
      <c r="F157" s="33">
        <v>2856.620336503292</v>
      </c>
      <c r="G157">
        <v>34279.444038039503</v>
      </c>
    </row>
    <row r="158" spans="4:7" x14ac:dyDescent="0.3">
      <c r="D158" s="16" t="s">
        <v>296</v>
      </c>
      <c r="E158">
        <v>1928</v>
      </c>
      <c r="F158" s="33">
        <v>1762.984637893197</v>
      </c>
      <c r="G158">
        <v>21155.815654718364</v>
      </c>
    </row>
    <row r="159" spans="4:7" x14ac:dyDescent="0.3">
      <c r="D159" s="16" t="s">
        <v>297</v>
      </c>
      <c r="E159">
        <v>2578</v>
      </c>
      <c r="F159" s="33">
        <v>2357.3518653986835</v>
      </c>
      <c r="G159">
        <v>28288.222384784203</v>
      </c>
    </row>
    <row r="160" spans="4:7" x14ac:dyDescent="0.3">
      <c r="D160" s="16" t="s">
        <v>298</v>
      </c>
      <c r="E160">
        <v>4162</v>
      </c>
      <c r="F160" s="33">
        <v>3805.7790782735919</v>
      </c>
      <c r="G160">
        <v>45669.348939283103</v>
      </c>
    </row>
    <row r="161" spans="4:7" x14ac:dyDescent="0.3">
      <c r="D161" s="16" t="s">
        <v>299</v>
      </c>
      <c r="E161">
        <v>1384</v>
      </c>
      <c r="F161" s="33">
        <v>1265.5449890270668</v>
      </c>
      <c r="G161">
        <v>15186.539868324802</v>
      </c>
    </row>
    <row r="162" spans="4:7" x14ac:dyDescent="0.3">
      <c r="D162" s="16" t="s">
        <v>28</v>
      </c>
      <c r="E162">
        <v>944679</v>
      </c>
      <c r="F162" s="33">
        <v>3261759.326993417</v>
      </c>
      <c r="G162">
        <v>33180958.346964147</v>
      </c>
    </row>
    <row r="163" spans="4:7" x14ac:dyDescent="0.3">
      <c r="D163"/>
      <c r="E163"/>
      <c r="F163"/>
      <c r="G163"/>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01"/>
  <sheetViews>
    <sheetView tabSelected="1" topLeftCell="A39" zoomScale="152" workbookViewId="0">
      <selection activeCell="A49" sqref="A49"/>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21" bestFit="1" customWidth="1"/>
    <col min="6" max="6" width="13.21875" bestFit="1" customWidth="1"/>
    <col min="7" max="7" width="11.109375" bestFit="1" customWidth="1"/>
    <col min="8" max="8" width="10.88671875" bestFit="1" customWidth="1"/>
    <col min="9" max="9" width="14.109375" bestFit="1" customWidth="1"/>
    <col min="10" max="10" width="12.88671875" customWidth="1"/>
    <col min="11" max="11" width="11.5546875" customWidth="1"/>
    <col min="14" max="14" width="11" customWidth="1"/>
  </cols>
  <sheetData>
    <row r="1" spans="1:14" x14ac:dyDescent="0.3">
      <c r="A1" s="8" t="s">
        <v>76</v>
      </c>
      <c r="B1" s="8" t="s">
        <v>2</v>
      </c>
      <c r="C1" s="8" t="s">
        <v>93</v>
      </c>
      <c r="D1" s="12" t="s">
        <v>94</v>
      </c>
      <c r="E1" s="12" t="s">
        <v>4</v>
      </c>
      <c r="F1" s="12" t="s">
        <v>95</v>
      </c>
      <c r="G1" s="12" t="s">
        <v>5</v>
      </c>
      <c r="H1" s="12" t="s">
        <v>96</v>
      </c>
      <c r="I1" s="13" t="s">
        <v>97</v>
      </c>
      <c r="J1" s="11"/>
    </row>
    <row r="2" spans="1:14" x14ac:dyDescent="0.3">
      <c r="A2" s="93">
        <v>45916</v>
      </c>
      <c r="B2" s="90" t="s">
        <v>98</v>
      </c>
      <c r="C2" s="90" t="s">
        <v>99</v>
      </c>
      <c r="D2" s="91"/>
      <c r="E2" s="91"/>
      <c r="F2" s="91"/>
      <c r="G2" s="91">
        <f>D2*E2</f>
        <v>0</v>
      </c>
      <c r="H2" s="11"/>
      <c r="I2" s="92">
        <v>2448147</v>
      </c>
    </row>
    <row r="3" spans="1:14" x14ac:dyDescent="0.3">
      <c r="A3" s="93">
        <v>45916</v>
      </c>
      <c r="B3" s="90" t="s">
        <v>100</v>
      </c>
      <c r="C3" s="90" t="s">
        <v>99</v>
      </c>
      <c r="D3" s="91"/>
      <c r="E3" s="91"/>
      <c r="F3" s="91"/>
      <c r="G3" s="91">
        <f>D3*E3</f>
        <v>0</v>
      </c>
      <c r="H3" s="11">
        <v>0</v>
      </c>
      <c r="I3" s="92">
        <v>0</v>
      </c>
      <c r="J3" s="11"/>
    </row>
    <row r="4" spans="1:14" x14ac:dyDescent="0.3">
      <c r="A4" s="93">
        <v>45916</v>
      </c>
      <c r="B4" s="90" t="s">
        <v>159</v>
      </c>
      <c r="C4" s="90" t="s">
        <v>99</v>
      </c>
      <c r="D4" s="11"/>
      <c r="E4" s="11"/>
      <c r="F4" s="11"/>
      <c r="G4" s="11">
        <f>D4*E4</f>
        <v>0</v>
      </c>
      <c r="H4" s="11">
        <v>0</v>
      </c>
      <c r="I4" s="95">
        <v>106730</v>
      </c>
      <c r="J4" s="11"/>
    </row>
    <row r="5" spans="1:14" x14ac:dyDescent="0.3">
      <c r="A5" s="1">
        <v>45916</v>
      </c>
      <c r="B5" t="s">
        <v>98</v>
      </c>
      <c r="C5">
        <v>112</v>
      </c>
      <c r="D5" s="11">
        <v>237</v>
      </c>
      <c r="E5" s="11">
        <v>810</v>
      </c>
      <c r="F5" s="11">
        <v>38800</v>
      </c>
      <c r="G5" s="114">
        <f>D5*E5</f>
        <v>191970</v>
      </c>
      <c r="H5" s="11">
        <f>SUMIFS(Table14[Debit], Table14[Date], Table3[[#This Row],[Date]], Table14[Party], Table3[[#This Row],[Party Name]])</f>
        <v>361826</v>
      </c>
      <c r="I5" s="11">
        <f>(D5*E5)-Table3[[#This Row],[Paid]]</f>
        <v>-169856</v>
      </c>
      <c r="J5" s="11"/>
    </row>
    <row r="6" spans="1:14" x14ac:dyDescent="0.3">
      <c r="A6" s="1">
        <v>45916</v>
      </c>
      <c r="B6" t="s">
        <v>98</v>
      </c>
      <c r="C6">
        <v>1435</v>
      </c>
      <c r="D6" s="11">
        <v>262</v>
      </c>
      <c r="E6" s="11">
        <v>810</v>
      </c>
      <c r="F6" s="11">
        <v>42510</v>
      </c>
      <c r="G6" s="114">
        <f t="shared" ref="G6:G7" si="0">D6*E6</f>
        <v>212220</v>
      </c>
      <c r="H6" s="11"/>
      <c r="I6" s="11">
        <f>(D6*E6)-Table3[[#This Row],[Paid]]</f>
        <v>212220</v>
      </c>
      <c r="J6" s="11"/>
    </row>
    <row r="7" spans="1:14" x14ac:dyDescent="0.3">
      <c r="A7" s="1">
        <v>45916</v>
      </c>
      <c r="B7" t="s">
        <v>159</v>
      </c>
      <c r="D7" s="11">
        <v>40</v>
      </c>
      <c r="E7" s="11">
        <v>550</v>
      </c>
      <c r="F7" s="11"/>
      <c r="G7" s="11">
        <f t="shared" si="0"/>
        <v>22000</v>
      </c>
      <c r="H7" s="11">
        <f>SUMIFS(Table14[Debit], Table14[Date], Table3[[#This Row],[Date]], Table14[Party], Table3[[#This Row],[Party Name]])</f>
        <v>0</v>
      </c>
      <c r="I7" s="11">
        <f>(D7*E7)-Table3[[#This Row],[Paid]]</f>
        <v>22000</v>
      </c>
      <c r="J7" s="11"/>
    </row>
    <row r="8" spans="1:14" x14ac:dyDescent="0.3">
      <c r="A8" s="1">
        <v>45916</v>
      </c>
      <c r="B8" t="s">
        <v>159</v>
      </c>
      <c r="D8" s="11">
        <v>40</v>
      </c>
      <c r="E8" s="11">
        <v>550</v>
      </c>
      <c r="F8" s="11"/>
      <c r="G8" s="11">
        <f>D8*E8</f>
        <v>22000</v>
      </c>
      <c r="H8" s="11">
        <f>SUMIFS(Table14[Debit], Table14[Date], Table3[[#This Row],[Date]], Table14[Party], Table3[[#This Row],[Party Name]])</f>
        <v>0</v>
      </c>
      <c r="I8" s="11">
        <f>(D8*E8)-Table3[[#This Row],[Paid]]</f>
        <v>22000</v>
      </c>
      <c r="J8" s="11"/>
    </row>
    <row r="9" spans="1:14" x14ac:dyDescent="0.3">
      <c r="A9" s="1">
        <v>45917</v>
      </c>
      <c r="B9" t="s">
        <v>98</v>
      </c>
      <c r="D9" s="11"/>
      <c r="E9" s="11"/>
      <c r="F9" s="11"/>
      <c r="G9" s="11">
        <f>D9*E9</f>
        <v>0</v>
      </c>
      <c r="H9" s="11">
        <f>SUMIFS(Table14[Debit], Table14[Date], Table3[[#This Row],[Date]], Table14[Party], Table3[[#This Row],[Party Name]])</f>
        <v>120000</v>
      </c>
      <c r="I9" s="11">
        <f>(D9*E9)-Table3[[#This Row],[Paid]]</f>
        <v>-120000</v>
      </c>
      <c r="J9" s="11"/>
    </row>
    <row r="10" spans="1:14" x14ac:dyDescent="0.3">
      <c r="A10" s="1">
        <v>45917</v>
      </c>
      <c r="B10" t="s">
        <v>159</v>
      </c>
      <c r="D10" s="11">
        <v>219</v>
      </c>
      <c r="E10" s="11">
        <v>550</v>
      </c>
      <c r="F10" s="11"/>
      <c r="G10" s="11">
        <f>D10*E10</f>
        <v>120450</v>
      </c>
      <c r="H10" s="11">
        <f>SUMIFS(Table14[Debit], Table14[Date], Table3[[#This Row],[Date]], Table14[Party], Table3[[#This Row],[Party Name]])</f>
        <v>0</v>
      </c>
      <c r="I10" s="11">
        <f>(D10*E10)-Table3[[#This Row],[Paid]]</f>
        <v>120450</v>
      </c>
      <c r="J10" s="11"/>
    </row>
    <row r="11" spans="1:14" x14ac:dyDescent="0.3">
      <c r="A11" s="1">
        <v>45917</v>
      </c>
      <c r="B11" t="s">
        <v>159</v>
      </c>
      <c r="D11" s="11">
        <v>42</v>
      </c>
      <c r="E11" s="11">
        <v>550</v>
      </c>
      <c r="F11" s="11"/>
      <c r="G11" s="11">
        <f>D11*E11</f>
        <v>23100</v>
      </c>
      <c r="H11" s="11">
        <f>SUMIFS(Table14[Debit], Table14[Date], Table3[[#This Row],[Date]], Table14[Party], Table3[[#This Row],[Party Name]])</f>
        <v>0</v>
      </c>
      <c r="I11" s="11">
        <f>(D11*E11)-Table3[[#This Row],[Paid]]</f>
        <v>23100</v>
      </c>
      <c r="J11" s="11"/>
    </row>
    <row r="12" spans="1:14" x14ac:dyDescent="0.3">
      <c r="A12" s="1">
        <v>45918</v>
      </c>
      <c r="B12" t="s">
        <v>159</v>
      </c>
      <c r="D12" s="11">
        <v>32</v>
      </c>
      <c r="E12" s="11">
        <v>550</v>
      </c>
      <c r="F12" s="11"/>
      <c r="G12" s="11">
        <f t="shared" ref="G12:G13" si="1">D12*E12</f>
        <v>17600</v>
      </c>
      <c r="H12" s="11">
        <f>SUMIFS(Table14[Debit], Table14[Date], Table3[[#This Row],[Date]], Table14[Party], Table3[[#This Row],[Party Name]])</f>
        <v>120000</v>
      </c>
      <c r="I12" s="11">
        <f>(D12*E12)-Table3[[#This Row],[Paid]]</f>
        <v>-102400</v>
      </c>
      <c r="J12" s="11"/>
    </row>
    <row r="13" spans="1:14" ht="16.8" thickBot="1" x14ac:dyDescent="0.5">
      <c r="A13" s="1">
        <v>45918</v>
      </c>
      <c r="B13" t="s">
        <v>98</v>
      </c>
      <c r="C13">
        <v>4646</v>
      </c>
      <c r="D13" s="11">
        <v>259</v>
      </c>
      <c r="E13" s="11">
        <v>810</v>
      </c>
      <c r="F13" s="11">
        <v>40750</v>
      </c>
      <c r="G13" s="114">
        <f t="shared" si="1"/>
        <v>209790</v>
      </c>
      <c r="H13" s="11">
        <f>SUMIFS(Table14[Debit], Table14[Date], Table3[[#This Row],[Date]], Table14[Party], Table3[[#This Row],[Party Name]])</f>
        <v>241760</v>
      </c>
      <c r="I13" s="11">
        <f>(D13*E13)-Table3[[#This Row],[Paid]]</f>
        <v>-31970</v>
      </c>
      <c r="J13" s="48"/>
    </row>
    <row r="14" spans="1:14" ht="15" thickTop="1" x14ac:dyDescent="0.3">
      <c r="A14" s="1">
        <v>45919</v>
      </c>
      <c r="B14" t="s">
        <v>98</v>
      </c>
      <c r="C14">
        <v>1196</v>
      </c>
      <c r="D14" s="11">
        <v>171</v>
      </c>
      <c r="E14" s="11">
        <v>810</v>
      </c>
      <c r="F14" s="11">
        <v>34300</v>
      </c>
      <c r="G14" s="114">
        <f t="shared" ref="G14:G21" si="2">D14*E14</f>
        <v>138510</v>
      </c>
      <c r="H14" s="11">
        <f>SUMIFS(Table14[Debit], Table14[Date], Table3[[#This Row],[Date]], Table14[Party], Table3[[#This Row],[Party Name]])</f>
        <v>234300</v>
      </c>
      <c r="I14" s="11">
        <f>(D14*E14)-Table3[[#This Row],[Paid]]</f>
        <v>-95790</v>
      </c>
      <c r="N14" s="17">
        <f>SUM(Table3[Total])</f>
        <v>4400360</v>
      </c>
    </row>
    <row r="15" spans="1:14" x14ac:dyDescent="0.3">
      <c r="A15" s="1">
        <v>45919</v>
      </c>
      <c r="B15" t="s">
        <v>98</v>
      </c>
      <c r="C15">
        <v>1196</v>
      </c>
      <c r="D15" s="11">
        <v>35</v>
      </c>
      <c r="E15" s="11">
        <v>765</v>
      </c>
      <c r="F15" s="11"/>
      <c r="G15" s="114">
        <f t="shared" si="2"/>
        <v>26775</v>
      </c>
      <c r="H15" s="11"/>
      <c r="I15" s="11">
        <f>(D15*E15)-Table3[[#This Row],[Paid]]</f>
        <v>26775</v>
      </c>
    </row>
    <row r="16" spans="1:14" x14ac:dyDescent="0.3">
      <c r="A16" s="1">
        <v>45920</v>
      </c>
      <c r="B16" t="s">
        <v>98</v>
      </c>
      <c r="C16">
        <v>4366</v>
      </c>
      <c r="D16" s="11">
        <v>262</v>
      </c>
      <c r="E16" s="11">
        <v>810</v>
      </c>
      <c r="F16" s="11">
        <v>43000</v>
      </c>
      <c r="G16" s="114">
        <f t="shared" si="2"/>
        <v>212220</v>
      </c>
      <c r="H16" s="11">
        <f>SUMIFS(Table14[Debit], Table14[Date], Table3[[#This Row],[Date]], Table14[Party], Table3[[#This Row],[Party Name]])</f>
        <v>223385</v>
      </c>
      <c r="I16" s="11">
        <f>(D16*E16)-Table3[[#This Row],[Paid]]</f>
        <v>-11165</v>
      </c>
    </row>
    <row r="17" spans="1:11" x14ac:dyDescent="0.3">
      <c r="A17" s="1">
        <v>45920</v>
      </c>
      <c r="B17" t="s">
        <v>98</v>
      </c>
      <c r="C17">
        <v>442</v>
      </c>
      <c r="D17" s="11">
        <v>287</v>
      </c>
      <c r="E17" s="11">
        <v>765</v>
      </c>
      <c r="F17" s="11">
        <v>30385</v>
      </c>
      <c r="G17" s="114">
        <f t="shared" si="2"/>
        <v>219555</v>
      </c>
      <c r="H17" s="11"/>
      <c r="I17" s="11">
        <f>(D17*E17)-Table3[[#This Row],[Paid]]</f>
        <v>219555</v>
      </c>
    </row>
    <row r="18" spans="1:11" x14ac:dyDescent="0.3">
      <c r="A18" s="1">
        <v>45920</v>
      </c>
      <c r="B18" t="s">
        <v>159</v>
      </c>
      <c r="D18" s="11">
        <v>40</v>
      </c>
      <c r="E18" s="11">
        <v>550</v>
      </c>
      <c r="F18" s="11"/>
      <c r="G18" s="11">
        <f t="shared" si="2"/>
        <v>22000</v>
      </c>
      <c r="H18" s="11">
        <f>SUMIFS(Table14[Debit], Table14[Date], Table3[[#This Row],[Date]], Table14[Party], Table3[[#This Row],[Party Name]])</f>
        <v>0</v>
      </c>
      <c r="I18" s="11">
        <f>(D18*E18)-Table3[[#This Row],[Paid]]</f>
        <v>22000</v>
      </c>
    </row>
    <row r="19" spans="1:11" x14ac:dyDescent="0.3">
      <c r="A19" s="1">
        <v>45921</v>
      </c>
      <c r="B19" t="s">
        <v>98</v>
      </c>
      <c r="C19">
        <v>6613</v>
      </c>
      <c r="D19" s="11">
        <v>75</v>
      </c>
      <c r="E19" s="11">
        <v>765</v>
      </c>
      <c r="F19" s="11">
        <v>36000</v>
      </c>
      <c r="G19" s="114">
        <f t="shared" si="2"/>
        <v>57375</v>
      </c>
      <c r="H19" s="11">
        <f>SUMIFS(Table14[Debit], Table14[Date], Table3[[#This Row],[Date]], Table14[Party], Table3[[#This Row],[Party Name]])</f>
        <v>36000</v>
      </c>
      <c r="I19" s="11">
        <f>(D19*E19)-Table3[[#This Row],[Paid]]</f>
        <v>21375</v>
      </c>
    </row>
    <row r="20" spans="1:11" x14ac:dyDescent="0.3">
      <c r="A20" s="1">
        <v>45921</v>
      </c>
      <c r="B20" t="s">
        <v>159</v>
      </c>
      <c r="D20" s="11">
        <v>43</v>
      </c>
      <c r="E20" s="11">
        <v>550</v>
      </c>
      <c r="F20" s="11"/>
      <c r="G20" s="11">
        <f t="shared" si="2"/>
        <v>23650</v>
      </c>
      <c r="H20" s="11">
        <f>SUMIFS(Table14[Debit], Table14[Date], Table3[[#This Row],[Date]], Table14[Party], Table3[[#This Row],[Party Name]])</f>
        <v>0</v>
      </c>
      <c r="I20" s="11">
        <f>(D20*E20)-Table3[[#This Row],[Paid]]</f>
        <v>23650</v>
      </c>
    </row>
    <row r="21" spans="1:11" x14ac:dyDescent="0.3">
      <c r="A21" s="1">
        <v>45921</v>
      </c>
      <c r="B21" t="s">
        <v>159</v>
      </c>
      <c r="D21" s="11">
        <v>40</v>
      </c>
      <c r="E21" s="11">
        <v>550</v>
      </c>
      <c r="F21" s="11"/>
      <c r="G21" s="11">
        <f t="shared" si="2"/>
        <v>22000</v>
      </c>
      <c r="H21" s="11">
        <f>SUMIFS(Table14[Debit], Table14[Date], Table3[[#This Row],[Date]], Table14[Party], Table3[[#This Row],[Party Name]])</f>
        <v>0</v>
      </c>
      <c r="I21" s="11">
        <f>(D21*E21)-Table3[[#This Row],[Paid]]</f>
        <v>22000</v>
      </c>
    </row>
    <row r="22" spans="1:11" x14ac:dyDescent="0.3">
      <c r="A22" s="1">
        <v>45920</v>
      </c>
      <c r="B22" t="s">
        <v>159</v>
      </c>
      <c r="D22" s="11">
        <v>44</v>
      </c>
      <c r="E22" s="11">
        <v>550</v>
      </c>
      <c r="F22" s="11"/>
      <c r="G22" s="11">
        <f>D22*E22</f>
        <v>24200</v>
      </c>
      <c r="H22" s="11">
        <f>SUMIFS(Table14[Debit], Table14[Date], Table3[[#This Row],[Date]], Table14[Party], Table3[[#This Row],[Party Name]])</f>
        <v>0</v>
      </c>
      <c r="I22" s="11">
        <f>(D22*E22)-Table3[[#This Row],[Paid]]</f>
        <v>24200</v>
      </c>
    </row>
    <row r="23" spans="1:11" x14ac:dyDescent="0.3">
      <c r="A23" s="1">
        <v>45921</v>
      </c>
      <c r="B23" t="s">
        <v>98</v>
      </c>
      <c r="C23">
        <v>6613</v>
      </c>
      <c r="D23" s="11">
        <v>140</v>
      </c>
      <c r="E23" s="11">
        <v>810</v>
      </c>
      <c r="F23" s="11"/>
      <c r="G23" s="114">
        <f>D23*E23</f>
        <v>113400</v>
      </c>
      <c r="H23" s="11"/>
      <c r="I23" s="11">
        <f>(D23*E23)-Table3[[#This Row],[Paid]]</f>
        <v>113400</v>
      </c>
    </row>
    <row r="24" spans="1:11" x14ac:dyDescent="0.3">
      <c r="A24" s="1">
        <v>45922</v>
      </c>
      <c r="B24" t="s">
        <v>98</v>
      </c>
      <c r="C24">
        <v>4095</v>
      </c>
      <c r="D24" s="11">
        <v>217</v>
      </c>
      <c r="E24" s="11">
        <v>810</v>
      </c>
      <c r="F24" s="11">
        <v>37400</v>
      </c>
      <c r="G24" s="114">
        <f>D24*E24</f>
        <v>175770</v>
      </c>
      <c r="H24" s="11">
        <f>SUMIFS(Table14[Debit], Table14[Date], Table3[[#This Row],[Date]], Table14[Party], Table3[[#This Row],[Party Name]])</f>
        <v>249402</v>
      </c>
      <c r="I24" s="11">
        <f>(D24*E24)-Table3[[#This Row],[Paid]]</f>
        <v>-73632</v>
      </c>
    </row>
    <row r="25" spans="1:11" x14ac:dyDescent="0.3">
      <c r="A25" s="1">
        <v>45922</v>
      </c>
      <c r="B25" t="s">
        <v>159</v>
      </c>
      <c r="D25" s="11"/>
      <c r="E25" s="11"/>
      <c r="F25" s="11"/>
      <c r="G25" s="11">
        <f>D25*E25</f>
        <v>0</v>
      </c>
      <c r="H25" s="11">
        <f>SUMIFS(Table14[Debit], Table14[Date], Table3[[#This Row],[Date]], Table14[Party], Table3[[#This Row],[Party Name]])</f>
        <v>150000</v>
      </c>
      <c r="I25" s="11">
        <f>(D25*E25)-Table3[[#This Row],[Paid]]</f>
        <v>-150000</v>
      </c>
    </row>
    <row r="26" spans="1:11" x14ac:dyDescent="0.3">
      <c r="A26" s="1">
        <v>45923</v>
      </c>
      <c r="B26" t="s">
        <v>98</v>
      </c>
      <c r="C26">
        <v>3229</v>
      </c>
      <c r="D26" s="11">
        <v>100</v>
      </c>
      <c r="E26" s="11">
        <v>765</v>
      </c>
      <c r="F26" s="11">
        <v>34500</v>
      </c>
      <c r="G26" s="114">
        <f t="shared" ref="G26:G30" si="3">D26*E26</f>
        <v>76500</v>
      </c>
      <c r="H26" s="11"/>
      <c r="I26" s="11">
        <f>(D26*E26)-Table3[[#This Row],[Paid]]</f>
        <v>76500</v>
      </c>
    </row>
    <row r="27" spans="1:11" x14ac:dyDescent="0.3">
      <c r="A27" s="1">
        <v>45923</v>
      </c>
      <c r="B27" t="s">
        <v>98</v>
      </c>
      <c r="C27">
        <v>3229</v>
      </c>
      <c r="D27" s="11">
        <v>104</v>
      </c>
      <c r="E27" s="11">
        <v>810</v>
      </c>
      <c r="F27" s="11"/>
      <c r="G27" s="114">
        <f t="shared" si="3"/>
        <v>84240</v>
      </c>
      <c r="H27" s="11">
        <f>SUMIFS(Table14[Debit], Table14[Date], Table3[[#This Row],[Date]], Table14[Party], Table3[[#This Row],[Party Name]])</f>
        <v>362400</v>
      </c>
      <c r="I27" s="11">
        <f>(D27*E27)-Table3[[#This Row],[Paid]]</f>
        <v>-278160</v>
      </c>
    </row>
    <row r="28" spans="1:11" x14ac:dyDescent="0.3">
      <c r="A28" s="1">
        <v>45923</v>
      </c>
      <c r="B28" t="s">
        <v>159</v>
      </c>
      <c r="D28" s="11">
        <v>45</v>
      </c>
      <c r="E28" s="11">
        <v>550</v>
      </c>
      <c r="F28" s="11"/>
      <c r="G28" s="11">
        <f t="shared" si="3"/>
        <v>24750</v>
      </c>
      <c r="H28" s="11">
        <f>SUMIFS(Table14[Debit], Table14[Date], Table3[[#This Row],[Date]], Table14[Party], Table3[[#This Row],[Party Name]])</f>
        <v>0</v>
      </c>
      <c r="I28" s="11">
        <f>(D28*E28)-Table3[[#This Row],[Paid]]</f>
        <v>24750</v>
      </c>
    </row>
    <row r="29" spans="1:11" x14ac:dyDescent="0.3">
      <c r="A29" s="1">
        <v>45923</v>
      </c>
      <c r="B29" t="s">
        <v>98</v>
      </c>
      <c r="C29">
        <v>162</v>
      </c>
      <c r="D29" s="11">
        <v>232</v>
      </c>
      <c r="E29" s="11">
        <v>810</v>
      </c>
      <c r="F29" s="11">
        <v>37900</v>
      </c>
      <c r="G29" s="114">
        <f t="shared" si="3"/>
        <v>187920</v>
      </c>
      <c r="H29" s="11"/>
      <c r="I29" s="11">
        <f>(D29*E29)-Table3[[#This Row],[Paid]]</f>
        <v>187920</v>
      </c>
      <c r="K29" s="14"/>
    </row>
    <row r="30" spans="1:11" x14ac:dyDescent="0.3">
      <c r="A30" s="1">
        <v>45923</v>
      </c>
      <c r="B30" t="s">
        <v>159</v>
      </c>
      <c r="D30" s="11">
        <v>45</v>
      </c>
      <c r="E30" s="11">
        <v>550</v>
      </c>
      <c r="F30" s="11"/>
      <c r="G30" s="11">
        <f t="shared" si="3"/>
        <v>24750</v>
      </c>
      <c r="H30" s="11"/>
      <c r="I30" s="11">
        <f>(D30*E30)-Table3[[#This Row],[Paid]]</f>
        <v>24750</v>
      </c>
    </row>
    <row r="31" spans="1:11" x14ac:dyDescent="0.3">
      <c r="A31" s="1">
        <v>45924</v>
      </c>
      <c r="B31" t="s">
        <v>98</v>
      </c>
      <c r="D31" s="11"/>
      <c r="E31" s="11"/>
      <c r="F31" s="11"/>
      <c r="G31" s="11">
        <f>D31*E31</f>
        <v>0</v>
      </c>
      <c r="H31" s="11">
        <f>SUMIFS(Table14[Debit], Table14[Date], Table3[[#This Row],[Date]], Table14[Party], Table3[[#This Row],[Party Name]])</f>
        <v>155000</v>
      </c>
      <c r="I31" s="11">
        <f>(D31*E31)-Table3[[#This Row],[Paid]]</f>
        <v>-155000</v>
      </c>
    </row>
    <row r="32" spans="1:11" x14ac:dyDescent="0.3">
      <c r="A32" s="1">
        <v>45925</v>
      </c>
      <c r="B32" t="s">
        <v>98</v>
      </c>
      <c r="D32" s="11"/>
      <c r="E32" s="11"/>
      <c r="F32" s="11"/>
      <c r="G32" s="11">
        <f t="shared" ref="G32:G33" si="4">D32*E32</f>
        <v>0</v>
      </c>
      <c r="H32" s="11">
        <f>SUMIFS(Table14[Debit], Table14[Date], Table3[[#This Row],[Date]], Table14[Party], Table3[[#This Row],[Party Name]])</f>
        <v>200000</v>
      </c>
      <c r="I32" s="11">
        <f>(D32*E32)-Table3[[#This Row],[Paid]]</f>
        <v>-200000</v>
      </c>
    </row>
    <row r="33" spans="1:12" x14ac:dyDescent="0.3">
      <c r="A33" s="1">
        <v>45925</v>
      </c>
      <c r="B33" t="s">
        <v>159</v>
      </c>
      <c r="D33" s="11">
        <v>46</v>
      </c>
      <c r="E33" s="11">
        <v>580</v>
      </c>
      <c r="F33" s="11"/>
      <c r="G33" s="11">
        <f t="shared" si="4"/>
        <v>26680</v>
      </c>
      <c r="H33" s="11">
        <f>SUMIFS(Table14[Debit], Table14[Date], Table3[[#This Row],[Date]], Table14[Party], Table3[[#This Row],[Party Name]])</f>
        <v>100010</v>
      </c>
      <c r="I33" s="11">
        <f>(D33*E33)-Table3[[#This Row],[Paid]]</f>
        <v>-73330</v>
      </c>
    </row>
    <row r="34" spans="1:12" x14ac:dyDescent="0.3">
      <c r="A34" s="1">
        <v>45925</v>
      </c>
      <c r="B34" t="s">
        <v>159</v>
      </c>
      <c r="D34" s="11">
        <v>44</v>
      </c>
      <c r="E34" s="11">
        <v>580</v>
      </c>
      <c r="F34" s="11"/>
      <c r="G34" s="11">
        <f t="shared" ref="G34:G40" si="5">D34*E34</f>
        <v>25520</v>
      </c>
      <c r="H34" s="11"/>
      <c r="I34" s="11">
        <f>(D34*E34)-Table3[[#This Row],[Paid]]</f>
        <v>25520</v>
      </c>
    </row>
    <row r="35" spans="1:12" x14ac:dyDescent="0.3">
      <c r="A35" s="1">
        <v>45926</v>
      </c>
      <c r="B35" t="s">
        <v>98</v>
      </c>
      <c r="C35">
        <v>8141</v>
      </c>
      <c r="D35" s="11">
        <v>253</v>
      </c>
      <c r="E35" s="11">
        <v>810</v>
      </c>
      <c r="F35" s="11">
        <v>41200</v>
      </c>
      <c r="G35" s="114">
        <f t="shared" si="5"/>
        <v>204930</v>
      </c>
      <c r="H35" s="11">
        <f>SUMIFS(Table14[Debit], Table14[Date], Table3[[#This Row],[Date]], Table14[Party], Table3[[#This Row],[Party Name]])</f>
        <v>395600</v>
      </c>
      <c r="I35" s="11">
        <f>(D35*E35)-Table3[[#This Row],[Paid]]</f>
        <v>-190670</v>
      </c>
    </row>
    <row r="36" spans="1:12" x14ac:dyDescent="0.3">
      <c r="A36" s="1">
        <v>45926</v>
      </c>
      <c r="B36" t="s">
        <v>98</v>
      </c>
      <c r="C36">
        <v>5560</v>
      </c>
      <c r="D36" s="11">
        <v>305</v>
      </c>
      <c r="E36" s="11">
        <v>810</v>
      </c>
      <c r="F36" s="11">
        <v>49400</v>
      </c>
      <c r="G36" s="114">
        <f t="shared" si="5"/>
        <v>247050</v>
      </c>
      <c r="H36" s="11"/>
      <c r="I36" s="11">
        <f>(D36*E36)-Table3[[#This Row],[Paid]]</f>
        <v>247050</v>
      </c>
    </row>
    <row r="37" spans="1:12" x14ac:dyDescent="0.3">
      <c r="A37" s="1">
        <v>45927</v>
      </c>
      <c r="B37" t="s">
        <v>98</v>
      </c>
      <c r="C37">
        <v>685</v>
      </c>
      <c r="D37" s="11">
        <v>50</v>
      </c>
      <c r="E37" s="11">
        <v>765</v>
      </c>
      <c r="F37" s="11">
        <v>33500</v>
      </c>
      <c r="G37" s="114">
        <f t="shared" si="5"/>
        <v>38250</v>
      </c>
      <c r="H37" s="11">
        <f>SUMIFS(Table14[Debit], Table14[Date], Table3[[#This Row],[Date]], Table14[Party], Table3[[#This Row],[Party Name]])</f>
        <v>334500</v>
      </c>
      <c r="I37" s="11">
        <f>(D37*E37)-Table3[[#This Row],[Paid]]</f>
        <v>-296250</v>
      </c>
    </row>
    <row r="38" spans="1:12" x14ac:dyDescent="0.3">
      <c r="A38" s="1">
        <v>45927</v>
      </c>
      <c r="B38" t="s">
        <v>98</v>
      </c>
      <c r="C38">
        <v>685</v>
      </c>
      <c r="D38" s="11">
        <v>147</v>
      </c>
      <c r="E38" s="11">
        <v>810</v>
      </c>
      <c r="F38" s="11"/>
      <c r="G38" s="114">
        <f t="shared" si="5"/>
        <v>119070</v>
      </c>
      <c r="H38" s="11"/>
      <c r="I38" s="11">
        <f>(D38*E38)-Table3[[#This Row],[Paid]]</f>
        <v>119070</v>
      </c>
    </row>
    <row r="39" spans="1:12" x14ac:dyDescent="0.3">
      <c r="A39" s="1">
        <v>45928</v>
      </c>
      <c r="B39" t="s">
        <v>98</v>
      </c>
      <c r="C39">
        <v>571</v>
      </c>
      <c r="D39" s="11">
        <v>263</v>
      </c>
      <c r="E39" s="107">
        <v>810</v>
      </c>
      <c r="F39" s="11">
        <v>27300</v>
      </c>
      <c r="G39" s="114">
        <f t="shared" si="5"/>
        <v>213030</v>
      </c>
      <c r="H39" s="11">
        <f>SUMIFS(Table14[Debit], Table14[Date], Table3[[#This Row],[Date]], Table14[Party], Table3[[#This Row],[Party Name]])</f>
        <v>67300</v>
      </c>
      <c r="I39" s="11">
        <f>(D39*E39)-Table3[[#This Row],[Paid]]</f>
        <v>145730</v>
      </c>
    </row>
    <row r="40" spans="1:12" x14ac:dyDescent="0.3">
      <c r="A40" s="1">
        <v>45928</v>
      </c>
      <c r="B40" t="s">
        <v>98</v>
      </c>
      <c r="C40">
        <v>160</v>
      </c>
      <c r="D40" s="11">
        <v>241</v>
      </c>
      <c r="E40" s="11">
        <v>810</v>
      </c>
      <c r="F40" s="11">
        <v>40000</v>
      </c>
      <c r="G40" s="114">
        <f t="shared" si="5"/>
        <v>195210</v>
      </c>
      <c r="H40" s="11"/>
      <c r="I40" s="11">
        <f>(D40*E40)-Table3[[#This Row],[Paid]]</f>
        <v>195210</v>
      </c>
      <c r="L40" s="14"/>
    </row>
    <row r="41" spans="1:12" x14ac:dyDescent="0.3">
      <c r="A41" s="1">
        <v>45928</v>
      </c>
      <c r="B41" t="s">
        <v>159</v>
      </c>
      <c r="D41" s="11">
        <v>35</v>
      </c>
      <c r="E41" s="11">
        <v>580</v>
      </c>
      <c r="F41" s="11"/>
      <c r="G41" s="11">
        <f t="shared" ref="G41:G45" si="6">D41*E41</f>
        <v>20300</v>
      </c>
      <c r="H41" s="11"/>
      <c r="I41" s="11">
        <f>(D41*E41)-Table3[[#This Row],[Paid]]</f>
        <v>20300</v>
      </c>
      <c r="L41" s="14">
        <f>I2-Table3[[#Totals],[balance]]</f>
        <v>-68955</v>
      </c>
    </row>
    <row r="42" spans="1:12" x14ac:dyDescent="0.3">
      <c r="A42" s="1">
        <v>45928</v>
      </c>
      <c r="B42" t="s">
        <v>159</v>
      </c>
      <c r="D42" s="11">
        <v>42</v>
      </c>
      <c r="E42" s="11">
        <v>580</v>
      </c>
      <c r="F42" s="11"/>
      <c r="G42" s="11">
        <f t="shared" si="6"/>
        <v>24360</v>
      </c>
      <c r="H42" s="11"/>
      <c r="I42" s="11">
        <f>(D42*E42)-Table3[[#This Row],[Paid]]</f>
        <v>24360</v>
      </c>
    </row>
    <row r="43" spans="1:12" x14ac:dyDescent="0.3">
      <c r="A43" s="1">
        <v>45928</v>
      </c>
      <c r="B43" t="s">
        <v>159</v>
      </c>
      <c r="D43" s="11">
        <v>173</v>
      </c>
      <c r="E43" s="11">
        <v>580</v>
      </c>
      <c r="F43" s="11"/>
      <c r="G43" s="11">
        <f t="shared" si="6"/>
        <v>100340</v>
      </c>
      <c r="H43" s="11"/>
      <c r="I43" s="11">
        <f>(D43*E43)-Table3[[#This Row],[Paid]]</f>
        <v>100340</v>
      </c>
    </row>
    <row r="44" spans="1:12" x14ac:dyDescent="0.3">
      <c r="A44" s="1">
        <v>45928</v>
      </c>
      <c r="B44" t="s">
        <v>159</v>
      </c>
      <c r="D44" s="11">
        <v>49</v>
      </c>
      <c r="E44" s="11">
        <v>580</v>
      </c>
      <c r="F44" s="11"/>
      <c r="G44" s="11">
        <f t="shared" si="6"/>
        <v>28420</v>
      </c>
      <c r="H44" s="11"/>
      <c r="I44" s="11">
        <f>(D44*E44)-Table3[[#This Row],[Paid]]</f>
        <v>28420</v>
      </c>
    </row>
    <row r="45" spans="1:12" x14ac:dyDescent="0.3">
      <c r="A45" s="1">
        <v>45929</v>
      </c>
      <c r="B45" t="s">
        <v>98</v>
      </c>
      <c r="C45" t="s">
        <v>282</v>
      </c>
      <c r="D45" s="11">
        <v>205</v>
      </c>
      <c r="E45" s="11">
        <v>765</v>
      </c>
      <c r="F45" s="11">
        <v>34700</v>
      </c>
      <c r="G45" s="11">
        <f t="shared" si="6"/>
        <v>156825</v>
      </c>
      <c r="H45" s="11">
        <f>SUMIFS(Table14[Debit], Table14[Date], Table3[[#This Row],[Date]], Table14[Party], Table3[[#This Row],[Party Name]])</f>
        <v>342702</v>
      </c>
      <c r="I45" s="11">
        <f>(D45*E45)-Table3[[#This Row],[Paid]]</f>
        <v>-185877</v>
      </c>
    </row>
    <row r="46" spans="1:12" x14ac:dyDescent="0.3">
      <c r="A46" s="1">
        <v>45930</v>
      </c>
      <c r="B46" t="s">
        <v>98</v>
      </c>
      <c r="C46" t="s">
        <v>294</v>
      </c>
      <c r="D46" s="11">
        <v>252</v>
      </c>
      <c r="E46" s="11">
        <v>810</v>
      </c>
      <c r="F46" s="11">
        <v>41060</v>
      </c>
      <c r="G46" s="11">
        <f>D46*E46</f>
        <v>204120</v>
      </c>
      <c r="H46" s="11">
        <f>SUMIFS(Table14[Debit], Table14[Date], Table3[[#This Row],[Date]], Table14[Party], Table3[[#This Row],[Party Name]])</f>
        <v>341390</v>
      </c>
      <c r="I46" s="11">
        <f>(D46*E46)-Table3[[#This Row],[Paid]]</f>
        <v>-137270</v>
      </c>
    </row>
    <row r="47" spans="1:12" x14ac:dyDescent="0.3">
      <c r="A47" s="1">
        <v>45931</v>
      </c>
      <c r="B47" t="s">
        <v>98</v>
      </c>
      <c r="C47" t="s">
        <v>301</v>
      </c>
      <c r="D47" s="11">
        <v>295</v>
      </c>
      <c r="E47" s="11">
        <v>810</v>
      </c>
      <c r="F47" s="11">
        <v>40000</v>
      </c>
      <c r="G47" s="11">
        <f>D47*E47</f>
        <v>238950</v>
      </c>
      <c r="H47" s="11">
        <f>SUMIFS(Table14[Debit], Table14[Date], Table3[[#This Row],[Date]], Table14[Party], Table3[[#This Row],[Party Name]])</f>
        <v>402560</v>
      </c>
      <c r="I47" s="11">
        <f>(D47*E47)-Table3[[#This Row],[Paid]]</f>
        <v>-163610</v>
      </c>
    </row>
    <row r="48" spans="1:12" x14ac:dyDescent="0.3">
      <c r="A48" s="1">
        <v>45931</v>
      </c>
      <c r="B48" t="s">
        <v>98</v>
      </c>
      <c r="C48" t="s">
        <v>302</v>
      </c>
      <c r="D48" s="11">
        <v>376</v>
      </c>
      <c r="E48" s="11">
        <v>810</v>
      </c>
      <c r="F48" s="11">
        <v>62410</v>
      </c>
      <c r="G48" s="11">
        <f>D48*E48</f>
        <v>304560</v>
      </c>
      <c r="H48" s="11"/>
      <c r="I48" s="11">
        <f>(D48*E48)-Table3[[#This Row],[Paid]]</f>
        <v>304560</v>
      </c>
    </row>
    <row r="49" spans="1:9" x14ac:dyDescent="0.3">
      <c r="A49" s="1" t="s">
        <v>102</v>
      </c>
      <c r="D49" s="14"/>
      <c r="E49" s="14"/>
      <c r="F49" s="14"/>
      <c r="G49" s="14">
        <f>SUBTOTAL(109,Table3[Total])</f>
        <v>4400360</v>
      </c>
      <c r="H49" s="14">
        <f>SUBTOTAL(109,Table3[Paid])</f>
        <v>4438135</v>
      </c>
      <c r="I49" s="14">
        <f>SUBTOTAL(109,Table3[balance])</f>
        <v>2517102</v>
      </c>
    </row>
    <row r="52" spans="1:9" x14ac:dyDescent="0.3">
      <c r="E52" s="3" t="s">
        <v>2</v>
      </c>
      <c r="F52" t="s">
        <v>89</v>
      </c>
    </row>
    <row r="54" spans="1:9" x14ac:dyDescent="0.3">
      <c r="E54" s="3" t="s">
        <v>103</v>
      </c>
      <c r="F54" t="s">
        <v>104</v>
      </c>
      <c r="G54" t="s">
        <v>105</v>
      </c>
      <c r="H54" t="s">
        <v>106</v>
      </c>
      <c r="I54" t="s">
        <v>107</v>
      </c>
    </row>
    <row r="55" spans="1:9" x14ac:dyDescent="0.3">
      <c r="E55" s="27">
        <v>45901</v>
      </c>
      <c r="F55" s="14">
        <v>671</v>
      </c>
      <c r="G55" s="14">
        <v>543510</v>
      </c>
      <c r="H55" s="14">
        <v>402560</v>
      </c>
      <c r="I55" s="14">
        <v>140950</v>
      </c>
    </row>
    <row r="56" spans="1:9" x14ac:dyDescent="0.3">
      <c r="E56" s="49" t="s">
        <v>301</v>
      </c>
      <c r="F56" s="14">
        <v>295</v>
      </c>
      <c r="G56" s="14">
        <v>238950</v>
      </c>
      <c r="H56" s="14">
        <v>402560</v>
      </c>
      <c r="I56" s="14">
        <v>-163610</v>
      </c>
    </row>
    <row r="57" spans="1:9" x14ac:dyDescent="0.3">
      <c r="E57" s="49" t="s">
        <v>302</v>
      </c>
      <c r="F57" s="14">
        <v>376</v>
      </c>
      <c r="G57" s="14">
        <v>304560</v>
      </c>
      <c r="H57" s="14"/>
      <c r="I57" s="14">
        <v>304560</v>
      </c>
    </row>
    <row r="58" spans="1:9" x14ac:dyDescent="0.3">
      <c r="E58" s="27">
        <v>45916</v>
      </c>
      <c r="F58" s="14">
        <v>579</v>
      </c>
      <c r="G58" s="14">
        <v>448190</v>
      </c>
      <c r="H58" s="14">
        <v>361826</v>
      </c>
      <c r="I58" s="14">
        <v>2641241</v>
      </c>
    </row>
    <row r="59" spans="1:9" x14ac:dyDescent="0.3">
      <c r="E59" s="49" t="s">
        <v>108</v>
      </c>
      <c r="F59" s="14">
        <v>80</v>
      </c>
      <c r="G59" s="14">
        <v>44000</v>
      </c>
      <c r="H59" s="14">
        <v>0</v>
      </c>
      <c r="I59" s="14">
        <v>44000</v>
      </c>
    </row>
    <row r="60" spans="1:9" x14ac:dyDescent="0.3">
      <c r="E60" s="49" t="s">
        <v>99</v>
      </c>
      <c r="F60" s="14"/>
      <c r="G60" s="14">
        <v>0</v>
      </c>
      <c r="H60" s="14">
        <v>0</v>
      </c>
      <c r="I60" s="14">
        <v>2554877</v>
      </c>
    </row>
    <row r="61" spans="1:9" x14ac:dyDescent="0.3">
      <c r="E61" s="49">
        <v>112</v>
      </c>
      <c r="F61" s="14">
        <v>237</v>
      </c>
      <c r="G61" s="14">
        <v>191970</v>
      </c>
      <c r="H61" s="14">
        <v>361826</v>
      </c>
      <c r="I61" s="14">
        <v>-169856</v>
      </c>
    </row>
    <row r="62" spans="1:9" x14ac:dyDescent="0.3">
      <c r="E62" s="49">
        <v>1435</v>
      </c>
      <c r="F62" s="14">
        <v>262</v>
      </c>
      <c r="G62" s="14">
        <v>212220</v>
      </c>
      <c r="H62" s="14"/>
      <c r="I62" s="14">
        <v>212220</v>
      </c>
    </row>
    <row r="63" spans="1:9" x14ac:dyDescent="0.3">
      <c r="E63" s="27">
        <v>45917</v>
      </c>
      <c r="F63" s="14">
        <v>261</v>
      </c>
      <c r="G63" s="14">
        <v>143550</v>
      </c>
      <c r="H63" s="14">
        <v>120000</v>
      </c>
      <c r="I63" s="14">
        <v>23550</v>
      </c>
    </row>
    <row r="64" spans="1:9" x14ac:dyDescent="0.3">
      <c r="E64" s="49" t="s">
        <v>108</v>
      </c>
      <c r="F64" s="14">
        <v>261</v>
      </c>
      <c r="G64" s="14">
        <v>143550</v>
      </c>
      <c r="H64" s="14">
        <v>120000</v>
      </c>
      <c r="I64" s="14">
        <v>23550</v>
      </c>
    </row>
    <row r="65" spans="5:9" x14ac:dyDescent="0.3">
      <c r="E65" s="27">
        <v>45918</v>
      </c>
      <c r="F65" s="14">
        <v>291</v>
      </c>
      <c r="G65" s="14">
        <v>227390</v>
      </c>
      <c r="H65" s="14">
        <v>361760</v>
      </c>
      <c r="I65" s="14">
        <v>-134370</v>
      </c>
    </row>
    <row r="66" spans="5:9" x14ac:dyDescent="0.3">
      <c r="E66" s="49" t="s">
        <v>108</v>
      </c>
      <c r="F66" s="14">
        <v>32</v>
      </c>
      <c r="G66" s="14">
        <v>17600</v>
      </c>
      <c r="H66" s="14">
        <v>120000</v>
      </c>
      <c r="I66" s="14">
        <v>-102400</v>
      </c>
    </row>
    <row r="67" spans="5:9" x14ac:dyDescent="0.3">
      <c r="E67" s="49">
        <v>4646</v>
      </c>
      <c r="F67" s="14">
        <v>259</v>
      </c>
      <c r="G67" s="14">
        <v>209790</v>
      </c>
      <c r="H67" s="14">
        <v>241760</v>
      </c>
      <c r="I67" s="14">
        <v>-31970</v>
      </c>
    </row>
    <row r="68" spans="5:9" x14ac:dyDescent="0.3">
      <c r="E68" s="27">
        <v>45919</v>
      </c>
      <c r="F68" s="14">
        <v>206</v>
      </c>
      <c r="G68" s="14">
        <v>165285</v>
      </c>
      <c r="H68" s="14">
        <v>234300</v>
      </c>
      <c r="I68" s="14">
        <v>-69015</v>
      </c>
    </row>
    <row r="69" spans="5:9" x14ac:dyDescent="0.3">
      <c r="E69" s="49">
        <v>1196</v>
      </c>
      <c r="F69" s="14">
        <v>206</v>
      </c>
      <c r="G69" s="14">
        <v>165285</v>
      </c>
      <c r="H69" s="14">
        <v>234300</v>
      </c>
      <c r="I69" s="14">
        <v>-69015</v>
      </c>
    </row>
    <row r="70" spans="5:9" x14ac:dyDescent="0.3">
      <c r="E70" s="27">
        <v>45920</v>
      </c>
      <c r="F70" s="14">
        <v>633</v>
      </c>
      <c r="G70" s="14">
        <v>477975</v>
      </c>
      <c r="H70" s="14">
        <v>223385</v>
      </c>
      <c r="I70" s="14">
        <v>254590</v>
      </c>
    </row>
    <row r="71" spans="5:9" x14ac:dyDescent="0.3">
      <c r="E71" s="49" t="s">
        <v>108</v>
      </c>
      <c r="F71" s="14">
        <v>84</v>
      </c>
      <c r="G71" s="14">
        <v>46200</v>
      </c>
      <c r="H71" s="14">
        <v>0</v>
      </c>
      <c r="I71" s="14">
        <v>46200</v>
      </c>
    </row>
    <row r="72" spans="5:9" x14ac:dyDescent="0.3">
      <c r="E72" s="49">
        <v>4366</v>
      </c>
      <c r="F72" s="14">
        <v>262</v>
      </c>
      <c r="G72" s="14">
        <v>212220</v>
      </c>
      <c r="H72" s="14">
        <v>223385</v>
      </c>
      <c r="I72" s="14">
        <v>-11165</v>
      </c>
    </row>
    <row r="73" spans="5:9" x14ac:dyDescent="0.3">
      <c r="E73" s="49">
        <v>442</v>
      </c>
      <c r="F73" s="14">
        <v>287</v>
      </c>
      <c r="G73" s="14">
        <v>219555</v>
      </c>
      <c r="H73" s="14"/>
      <c r="I73" s="14">
        <v>219555</v>
      </c>
    </row>
    <row r="74" spans="5:9" x14ac:dyDescent="0.3">
      <c r="E74" s="27">
        <v>45921</v>
      </c>
      <c r="F74" s="14">
        <v>298</v>
      </c>
      <c r="G74" s="14">
        <v>216425</v>
      </c>
      <c r="H74" s="14">
        <v>36000</v>
      </c>
      <c r="I74" s="14">
        <v>180425</v>
      </c>
    </row>
    <row r="75" spans="5:9" x14ac:dyDescent="0.3">
      <c r="E75" s="49" t="s">
        <v>108</v>
      </c>
      <c r="F75" s="14">
        <v>83</v>
      </c>
      <c r="G75" s="14">
        <v>45650</v>
      </c>
      <c r="H75" s="14">
        <v>0</v>
      </c>
      <c r="I75" s="14">
        <v>45650</v>
      </c>
    </row>
    <row r="76" spans="5:9" x14ac:dyDescent="0.3">
      <c r="E76" s="49">
        <v>6613</v>
      </c>
      <c r="F76" s="14">
        <v>215</v>
      </c>
      <c r="G76" s="14">
        <v>170775</v>
      </c>
      <c r="H76" s="14">
        <v>36000</v>
      </c>
      <c r="I76" s="14">
        <v>134775</v>
      </c>
    </row>
    <row r="77" spans="5:9" x14ac:dyDescent="0.3">
      <c r="E77" s="27">
        <v>45922</v>
      </c>
      <c r="F77" s="14">
        <v>217</v>
      </c>
      <c r="G77" s="14">
        <v>175770</v>
      </c>
      <c r="H77" s="14">
        <v>399402</v>
      </c>
      <c r="I77" s="14">
        <v>-223632</v>
      </c>
    </row>
    <row r="78" spans="5:9" x14ac:dyDescent="0.3">
      <c r="E78" s="49" t="s">
        <v>108</v>
      </c>
      <c r="F78" s="14"/>
      <c r="G78" s="14">
        <v>0</v>
      </c>
      <c r="H78" s="14">
        <v>150000</v>
      </c>
      <c r="I78" s="14">
        <v>-150000</v>
      </c>
    </row>
    <row r="79" spans="5:9" x14ac:dyDescent="0.3">
      <c r="E79" s="49">
        <v>4095</v>
      </c>
      <c r="F79" s="14">
        <v>217</v>
      </c>
      <c r="G79" s="14">
        <v>175770</v>
      </c>
      <c r="H79" s="14">
        <v>249402</v>
      </c>
      <c r="I79" s="14">
        <v>-73632</v>
      </c>
    </row>
    <row r="80" spans="5:9" x14ac:dyDescent="0.3">
      <c r="E80" s="27">
        <v>45923</v>
      </c>
      <c r="F80" s="14">
        <v>526</v>
      </c>
      <c r="G80" s="14">
        <v>398160</v>
      </c>
      <c r="H80" s="14">
        <v>362400</v>
      </c>
      <c r="I80" s="14">
        <v>35760</v>
      </c>
    </row>
    <row r="81" spans="5:9" x14ac:dyDescent="0.3">
      <c r="E81" s="49">
        <v>3229</v>
      </c>
      <c r="F81" s="14">
        <v>204</v>
      </c>
      <c r="G81" s="14">
        <v>160740</v>
      </c>
      <c r="H81" s="14">
        <v>362400</v>
      </c>
      <c r="I81" s="14">
        <v>-201660</v>
      </c>
    </row>
    <row r="82" spans="5:9" x14ac:dyDescent="0.3">
      <c r="E82" s="49" t="s">
        <v>108</v>
      </c>
      <c r="F82" s="14">
        <v>90</v>
      </c>
      <c r="G82" s="14">
        <v>49500</v>
      </c>
      <c r="H82" s="14">
        <v>0</v>
      </c>
      <c r="I82" s="14">
        <v>49500</v>
      </c>
    </row>
    <row r="83" spans="5:9" x14ac:dyDescent="0.3">
      <c r="E83" s="49">
        <v>162</v>
      </c>
      <c r="F83" s="14">
        <v>232</v>
      </c>
      <c r="G83" s="14">
        <v>187920</v>
      </c>
      <c r="H83" s="14"/>
      <c r="I83" s="14">
        <v>187920</v>
      </c>
    </row>
    <row r="84" spans="5:9" x14ac:dyDescent="0.3">
      <c r="E84" s="27">
        <v>45925</v>
      </c>
      <c r="F84" s="14">
        <v>90</v>
      </c>
      <c r="G84" s="14">
        <v>52200</v>
      </c>
      <c r="H84" s="14">
        <v>300010</v>
      </c>
      <c r="I84" s="14">
        <v>-247810</v>
      </c>
    </row>
    <row r="85" spans="5:9" x14ac:dyDescent="0.3">
      <c r="E85" s="49" t="s">
        <v>108</v>
      </c>
      <c r="F85" s="14">
        <v>90</v>
      </c>
      <c r="G85" s="14">
        <v>52200</v>
      </c>
      <c r="H85" s="14">
        <v>300010</v>
      </c>
      <c r="I85" s="14">
        <v>-247810</v>
      </c>
    </row>
    <row r="86" spans="5:9" x14ac:dyDescent="0.3">
      <c r="E86" s="27">
        <v>45926</v>
      </c>
      <c r="F86" s="14">
        <v>558</v>
      </c>
      <c r="G86" s="14">
        <v>451980</v>
      </c>
      <c r="H86" s="14">
        <v>395600</v>
      </c>
      <c r="I86" s="14">
        <v>56380</v>
      </c>
    </row>
    <row r="87" spans="5:9" x14ac:dyDescent="0.3">
      <c r="E87" s="49">
        <v>8141</v>
      </c>
      <c r="F87" s="14">
        <v>253</v>
      </c>
      <c r="G87" s="14">
        <v>204930</v>
      </c>
      <c r="H87" s="14">
        <v>395600</v>
      </c>
      <c r="I87" s="14">
        <v>-190670</v>
      </c>
    </row>
    <row r="88" spans="5:9" x14ac:dyDescent="0.3">
      <c r="E88" s="49">
        <v>5560</v>
      </c>
      <c r="F88" s="14">
        <v>305</v>
      </c>
      <c r="G88" s="14">
        <v>247050</v>
      </c>
      <c r="H88" s="14"/>
      <c r="I88" s="14">
        <v>247050</v>
      </c>
    </row>
    <row r="89" spans="5:9" x14ac:dyDescent="0.3">
      <c r="E89" s="27">
        <v>45927</v>
      </c>
      <c r="F89" s="14">
        <v>197</v>
      </c>
      <c r="G89" s="14">
        <v>157320</v>
      </c>
      <c r="H89" s="14">
        <v>334500</v>
      </c>
      <c r="I89" s="14">
        <v>-177180</v>
      </c>
    </row>
    <row r="90" spans="5:9" x14ac:dyDescent="0.3">
      <c r="E90" s="49">
        <v>685</v>
      </c>
      <c r="F90" s="14">
        <v>197</v>
      </c>
      <c r="G90" s="14">
        <v>157320</v>
      </c>
      <c r="H90" s="14">
        <v>334500</v>
      </c>
      <c r="I90" s="14">
        <v>-177180</v>
      </c>
    </row>
    <row r="91" spans="5:9" x14ac:dyDescent="0.3">
      <c r="E91" s="27">
        <v>45924</v>
      </c>
      <c r="F91" s="14"/>
      <c r="G91" s="14">
        <v>0</v>
      </c>
      <c r="H91" s="14">
        <v>155000</v>
      </c>
      <c r="I91" s="14">
        <v>-155000</v>
      </c>
    </row>
    <row r="92" spans="5:9" x14ac:dyDescent="0.3">
      <c r="E92" s="49" t="s">
        <v>108</v>
      </c>
      <c r="F92" s="14"/>
      <c r="G92" s="14">
        <v>0</v>
      </c>
      <c r="H92" s="14">
        <v>155000</v>
      </c>
      <c r="I92" s="14">
        <v>-155000</v>
      </c>
    </row>
    <row r="93" spans="5:9" x14ac:dyDescent="0.3">
      <c r="E93" s="27">
        <v>45928</v>
      </c>
      <c r="F93" s="14">
        <v>803</v>
      </c>
      <c r="G93" s="14">
        <v>581660</v>
      </c>
      <c r="H93" s="14">
        <v>67300</v>
      </c>
      <c r="I93" s="14">
        <v>514360</v>
      </c>
    </row>
    <row r="94" spans="5:9" x14ac:dyDescent="0.3">
      <c r="E94" s="49" t="s">
        <v>108</v>
      </c>
      <c r="F94" s="14">
        <v>299</v>
      </c>
      <c r="G94" s="14">
        <v>173420</v>
      </c>
      <c r="H94" s="14"/>
      <c r="I94" s="14">
        <v>173420</v>
      </c>
    </row>
    <row r="95" spans="5:9" x14ac:dyDescent="0.3">
      <c r="E95" s="49">
        <v>160</v>
      </c>
      <c r="F95" s="14">
        <v>241</v>
      </c>
      <c r="G95" s="14">
        <v>195210</v>
      </c>
      <c r="H95" s="14"/>
      <c r="I95" s="14">
        <v>195210</v>
      </c>
    </row>
    <row r="96" spans="5:9" x14ac:dyDescent="0.3">
      <c r="E96" s="49">
        <v>571</v>
      </c>
      <c r="F96" s="14">
        <v>263</v>
      </c>
      <c r="G96" s="14">
        <v>213030</v>
      </c>
      <c r="H96" s="14">
        <v>67300</v>
      </c>
      <c r="I96" s="14">
        <v>145730</v>
      </c>
    </row>
    <row r="97" spans="5:9" x14ac:dyDescent="0.3">
      <c r="E97" s="27">
        <v>45929</v>
      </c>
      <c r="F97" s="14">
        <v>205</v>
      </c>
      <c r="G97" s="14">
        <v>156825</v>
      </c>
      <c r="H97" s="14">
        <v>342702</v>
      </c>
      <c r="I97" s="14">
        <v>-185877</v>
      </c>
    </row>
    <row r="98" spans="5:9" x14ac:dyDescent="0.3">
      <c r="E98" s="49" t="s">
        <v>282</v>
      </c>
      <c r="F98" s="14">
        <v>205</v>
      </c>
      <c r="G98" s="14">
        <v>156825</v>
      </c>
      <c r="H98" s="14">
        <v>342702</v>
      </c>
      <c r="I98" s="14">
        <v>-185877</v>
      </c>
    </row>
    <row r="99" spans="5:9" x14ac:dyDescent="0.3">
      <c r="E99" s="27">
        <v>45930</v>
      </c>
      <c r="F99" s="14">
        <v>252</v>
      </c>
      <c r="G99" s="14">
        <v>204120</v>
      </c>
      <c r="H99" s="14">
        <v>341390</v>
      </c>
      <c r="I99" s="14">
        <v>-137270</v>
      </c>
    </row>
    <row r="100" spans="5:9" x14ac:dyDescent="0.3">
      <c r="E100" s="49" t="s">
        <v>294</v>
      </c>
      <c r="F100" s="14">
        <v>252</v>
      </c>
      <c r="G100" s="14">
        <v>204120</v>
      </c>
      <c r="H100" s="14">
        <v>341390</v>
      </c>
      <c r="I100" s="14">
        <v>-137270</v>
      </c>
    </row>
    <row r="101" spans="5:9" x14ac:dyDescent="0.3">
      <c r="E101" s="27" t="s">
        <v>28</v>
      </c>
      <c r="F101" s="14">
        <v>5787</v>
      </c>
      <c r="G101" s="14">
        <v>4400360</v>
      </c>
      <c r="H101" s="14">
        <v>4438135</v>
      </c>
      <c r="I101" s="14">
        <v>2517102</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29"/>
  <sheetViews>
    <sheetView topLeftCell="A211" zoomScale="132" workbookViewId="0">
      <selection activeCell="A216" sqref="A216:A228"/>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5.441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76</v>
      </c>
      <c r="B1" t="s">
        <v>115</v>
      </c>
      <c r="C1" t="s">
        <v>71</v>
      </c>
      <c r="D1" t="s">
        <v>70</v>
      </c>
      <c r="E1" t="s">
        <v>36</v>
      </c>
      <c r="F1" t="s">
        <v>116</v>
      </c>
      <c r="G1" t="s">
        <v>117</v>
      </c>
    </row>
    <row r="2" spans="1:16" x14ac:dyDescent="0.3">
      <c r="A2" s="94">
        <v>45916</v>
      </c>
      <c r="B2" s="89" t="s">
        <v>167</v>
      </c>
      <c r="C2" s="11"/>
      <c r="D2" s="95">
        <f>[1]Cashbook!$R$10</f>
        <v>-421502</v>
      </c>
      <c r="E2" s="89"/>
      <c r="F2" s="96" t="s">
        <v>113</v>
      </c>
    </row>
    <row r="3" spans="1:16" x14ac:dyDescent="0.3">
      <c r="A3" s="94">
        <v>45916</v>
      </c>
      <c r="B3" s="89" t="s">
        <v>167</v>
      </c>
      <c r="C3" s="11"/>
      <c r="D3" s="95">
        <f>[1]Cashbook!$R$11</f>
        <v>-781867</v>
      </c>
      <c r="E3" s="89"/>
      <c r="F3" s="96" t="s">
        <v>114</v>
      </c>
      <c r="J3" s="55" t="s">
        <v>45</v>
      </c>
      <c r="K3" s="40" t="s">
        <v>46</v>
      </c>
      <c r="M3" s="55" t="s">
        <v>45</v>
      </c>
      <c r="N3" s="58" t="s">
        <v>109</v>
      </c>
      <c r="O3" s="98" t="s">
        <v>110</v>
      </c>
      <c r="P3" t="s">
        <v>111</v>
      </c>
    </row>
    <row r="4" spans="1:16" x14ac:dyDescent="0.3">
      <c r="A4" s="104">
        <v>45916</v>
      </c>
      <c r="B4" t="s">
        <v>22</v>
      </c>
      <c r="C4" s="11"/>
      <c r="D4" s="11">
        <v>125000</v>
      </c>
      <c r="F4" s="52" t="s">
        <v>113</v>
      </c>
      <c r="J4" s="53" t="s">
        <v>71</v>
      </c>
      <c r="K4" s="54">
        <f>Table14[[#Totals],[Debit]]</f>
        <v>9435725</v>
      </c>
      <c r="M4" s="53" t="s">
        <v>112</v>
      </c>
      <c r="N4" s="59">
        <f>SUMIFS(Table14[Withdrawal],Table14[Party],"Cash",Table14[Mode],"Transfer")</f>
        <v>33000</v>
      </c>
    </row>
    <row r="5" spans="1:16" x14ac:dyDescent="0.3">
      <c r="A5" s="104">
        <v>45916</v>
      </c>
      <c r="B5" t="s">
        <v>98</v>
      </c>
      <c r="C5" s="112">
        <v>38800</v>
      </c>
      <c r="D5" s="11"/>
      <c r="E5" t="s">
        <v>168</v>
      </c>
      <c r="F5" s="52" t="s">
        <v>113</v>
      </c>
      <c r="J5" s="53" t="s">
        <v>70</v>
      </c>
      <c r="K5" s="54">
        <f>Table14[[#Totals],[Credit]]</f>
        <v>9677777</v>
      </c>
      <c r="M5" s="53" t="s">
        <v>113</v>
      </c>
      <c r="N5" s="54">
        <f>(SUMIFS(Table14[Credit],Table14[Mode],"Bank")-SUMIFS(Table14[Debit],Table14[Mode],"Bank")-SUMIFS(Table14[Withdrawal],Table14[Mode],"Transfer"))</f>
        <v>324104</v>
      </c>
      <c r="O5">
        <v>320</v>
      </c>
    </row>
    <row r="6" spans="1:16" x14ac:dyDescent="0.3">
      <c r="A6" s="104">
        <v>45916</v>
      </c>
      <c r="B6" t="s">
        <v>27</v>
      </c>
      <c r="C6" s="11"/>
      <c r="D6" s="11">
        <v>100000</v>
      </c>
      <c r="F6" s="52" t="s">
        <v>114</v>
      </c>
      <c r="J6" s="60" t="s">
        <v>43</v>
      </c>
      <c r="K6" s="61">
        <f>(K5-K4)</f>
        <v>242052</v>
      </c>
      <c r="M6" s="53" t="s">
        <v>114</v>
      </c>
      <c r="N6" s="54">
        <f>((SUMIFS(Table14[Credit],Table14[Mode],"Cash")-SUMIFS(Table14[Debit],Table14[Mode],"Cash"))+SUMIFS(Table14[Withdrawal],Table14[Party],"Cash",Table14[Mode],"Transfer"))</f>
        <v>-82052</v>
      </c>
      <c r="O6">
        <v>1520</v>
      </c>
    </row>
    <row r="7" spans="1:16" x14ac:dyDescent="0.3">
      <c r="A7" s="104">
        <v>45916</v>
      </c>
      <c r="B7" t="s">
        <v>9</v>
      </c>
      <c r="C7" s="11"/>
      <c r="D7" s="11">
        <v>100000</v>
      </c>
      <c r="F7" s="52" t="s">
        <v>114</v>
      </c>
      <c r="M7" s="56" t="s">
        <v>5</v>
      </c>
      <c r="N7" s="57">
        <f>SUM(N5:N6)</f>
        <v>242052</v>
      </c>
      <c r="O7" s="99">
        <f>SUM(O5,O6)</f>
        <v>1840</v>
      </c>
      <c r="P7" s="14">
        <f>Table18[[#Totals],[amount]]-Table18[[#Totals],[Actual]]</f>
        <v>240212</v>
      </c>
    </row>
    <row r="8" spans="1:16" x14ac:dyDescent="0.3">
      <c r="A8" s="104">
        <v>45916</v>
      </c>
      <c r="B8" t="s">
        <v>9</v>
      </c>
      <c r="C8" s="47"/>
      <c r="D8" s="47">
        <v>280516</v>
      </c>
      <c r="F8" s="52" t="s">
        <v>113</v>
      </c>
    </row>
    <row r="9" spans="1:16" x14ac:dyDescent="0.3">
      <c r="A9" s="104">
        <v>45916</v>
      </c>
      <c r="B9" t="s">
        <v>98</v>
      </c>
      <c r="C9" s="112">
        <v>280516</v>
      </c>
      <c r="D9" s="11"/>
      <c r="F9" s="52" t="s">
        <v>113</v>
      </c>
    </row>
    <row r="10" spans="1:16" x14ac:dyDescent="0.3">
      <c r="A10" s="104">
        <v>45916</v>
      </c>
      <c r="B10" t="s">
        <v>50</v>
      </c>
      <c r="C10" s="11">
        <v>200</v>
      </c>
      <c r="D10" s="11"/>
      <c r="E10" t="s">
        <v>169</v>
      </c>
      <c r="F10" s="52" t="s">
        <v>113</v>
      </c>
    </row>
    <row r="11" spans="1:16" x14ac:dyDescent="0.3">
      <c r="A11" s="104">
        <v>45916</v>
      </c>
      <c r="B11" t="s">
        <v>118</v>
      </c>
      <c r="C11" s="11"/>
      <c r="D11" s="11">
        <v>200</v>
      </c>
      <c r="F11" s="52" t="s">
        <v>113</v>
      </c>
    </row>
    <row r="12" spans="1:16" x14ac:dyDescent="0.3">
      <c r="A12" s="104">
        <v>45916</v>
      </c>
      <c r="B12" t="s">
        <v>98</v>
      </c>
      <c r="C12" s="112">
        <v>42510</v>
      </c>
      <c r="D12" s="11"/>
      <c r="E12" t="s">
        <v>170</v>
      </c>
      <c r="F12" s="52" t="s">
        <v>114</v>
      </c>
    </row>
    <row r="13" spans="1:16" x14ac:dyDescent="0.3">
      <c r="A13" s="104">
        <v>45916</v>
      </c>
      <c r="B13" t="s">
        <v>123</v>
      </c>
      <c r="C13" s="11"/>
      <c r="D13" s="11"/>
      <c r="E13" t="s">
        <v>172</v>
      </c>
      <c r="F13" s="52" t="s">
        <v>113</v>
      </c>
    </row>
    <row r="14" spans="1:16" x14ac:dyDescent="0.3">
      <c r="A14" s="104">
        <v>45916</v>
      </c>
      <c r="B14" t="s">
        <v>21</v>
      </c>
      <c r="C14" s="11"/>
      <c r="D14" s="11">
        <v>20000</v>
      </c>
      <c r="E14" t="s">
        <v>158</v>
      </c>
      <c r="F14" s="52" t="s">
        <v>113</v>
      </c>
    </row>
    <row r="15" spans="1:16" x14ac:dyDescent="0.3">
      <c r="A15" s="104">
        <v>45916</v>
      </c>
      <c r="B15" t="s">
        <v>54</v>
      </c>
      <c r="C15" s="11">
        <v>20000</v>
      </c>
      <c r="D15" s="11"/>
      <c r="E15" t="s">
        <v>158</v>
      </c>
      <c r="F15" s="52" t="s">
        <v>113</v>
      </c>
    </row>
    <row r="16" spans="1:16" x14ac:dyDescent="0.3">
      <c r="A16" s="104">
        <v>45916</v>
      </c>
      <c r="B16" t="s">
        <v>121</v>
      </c>
      <c r="C16" s="11">
        <v>3300</v>
      </c>
      <c r="D16" s="11"/>
      <c r="E16" t="s">
        <v>171</v>
      </c>
      <c r="F16" s="52" t="s">
        <v>114</v>
      </c>
    </row>
    <row r="17" spans="1:6" x14ac:dyDescent="0.3">
      <c r="A17" s="104">
        <v>45916</v>
      </c>
      <c r="B17" t="s">
        <v>118</v>
      </c>
      <c r="C17" s="47"/>
      <c r="D17" s="47">
        <v>13000</v>
      </c>
      <c r="F17" s="52" t="s">
        <v>113</v>
      </c>
    </row>
    <row r="18" spans="1:6" x14ac:dyDescent="0.3">
      <c r="A18" s="104">
        <v>45916</v>
      </c>
      <c r="B18" t="s">
        <v>55</v>
      </c>
      <c r="C18" s="11">
        <v>5800</v>
      </c>
      <c r="D18" s="11"/>
      <c r="F18" s="52" t="s">
        <v>113</v>
      </c>
    </row>
    <row r="19" spans="1:6" x14ac:dyDescent="0.3">
      <c r="A19" s="104">
        <v>45916</v>
      </c>
      <c r="B19" t="s">
        <v>52</v>
      </c>
      <c r="C19" s="11"/>
      <c r="D19" s="11"/>
      <c r="E19" t="s">
        <v>173</v>
      </c>
      <c r="F19" s="52" t="s">
        <v>113</v>
      </c>
    </row>
    <row r="20" spans="1:6" x14ac:dyDescent="0.3">
      <c r="A20" s="104">
        <v>45916</v>
      </c>
      <c r="B20" t="s">
        <v>21</v>
      </c>
      <c r="C20" s="11"/>
      <c r="D20" s="11">
        <v>4000</v>
      </c>
      <c r="E20" t="s">
        <v>184</v>
      </c>
      <c r="F20" s="52" t="s">
        <v>113</v>
      </c>
    </row>
    <row r="21" spans="1:6" x14ac:dyDescent="0.3">
      <c r="A21" s="104">
        <v>45916</v>
      </c>
      <c r="B21" t="s">
        <v>123</v>
      </c>
      <c r="C21" s="11">
        <v>4000</v>
      </c>
      <c r="D21" s="11"/>
      <c r="E21" t="s">
        <v>184</v>
      </c>
      <c r="F21" s="52" t="s">
        <v>113</v>
      </c>
    </row>
    <row r="22" spans="1:6" x14ac:dyDescent="0.3">
      <c r="A22" s="104">
        <v>45917</v>
      </c>
      <c r="B22" t="s">
        <v>9</v>
      </c>
      <c r="C22" s="11"/>
      <c r="D22" s="11">
        <v>100000</v>
      </c>
      <c r="F22" s="52" t="s">
        <v>113</v>
      </c>
    </row>
    <row r="23" spans="1:6" x14ac:dyDescent="0.3">
      <c r="A23" s="43">
        <v>45917</v>
      </c>
      <c r="B23" t="s">
        <v>98</v>
      </c>
      <c r="C23" s="113">
        <v>120000</v>
      </c>
      <c r="D23" s="47"/>
      <c r="F23" s="52" t="s">
        <v>113</v>
      </c>
    </row>
    <row r="24" spans="1:6" x14ac:dyDescent="0.3">
      <c r="A24" s="104">
        <v>45917</v>
      </c>
      <c r="B24" t="s">
        <v>21</v>
      </c>
      <c r="C24" s="11"/>
      <c r="D24" s="11">
        <v>47000</v>
      </c>
      <c r="F24" s="52" t="s">
        <v>113</v>
      </c>
    </row>
    <row r="25" spans="1:6" x14ac:dyDescent="0.3">
      <c r="A25" s="104">
        <v>45917</v>
      </c>
      <c r="B25" t="s">
        <v>64</v>
      </c>
      <c r="C25" s="11">
        <v>47000</v>
      </c>
      <c r="D25" s="11"/>
      <c r="F25" s="52" t="s">
        <v>113</v>
      </c>
    </row>
    <row r="26" spans="1:6" x14ac:dyDescent="0.3">
      <c r="A26" s="104">
        <v>45917</v>
      </c>
      <c r="B26" t="s">
        <v>55</v>
      </c>
      <c r="C26" s="11">
        <v>1200</v>
      </c>
      <c r="D26" s="11"/>
      <c r="F26" s="52" t="s">
        <v>114</v>
      </c>
    </row>
    <row r="27" spans="1:6" x14ac:dyDescent="0.3">
      <c r="A27" s="104">
        <v>45917</v>
      </c>
      <c r="B27" t="s">
        <v>121</v>
      </c>
      <c r="C27" s="11">
        <v>3300</v>
      </c>
      <c r="D27" s="11"/>
      <c r="E27" t="s">
        <v>171</v>
      </c>
      <c r="F27" s="52" t="s">
        <v>114</v>
      </c>
    </row>
    <row r="28" spans="1:6" x14ac:dyDescent="0.3">
      <c r="A28" s="43">
        <v>45917</v>
      </c>
      <c r="B28" t="s">
        <v>123</v>
      </c>
      <c r="C28" s="47">
        <v>10000</v>
      </c>
      <c r="D28" s="47"/>
      <c r="E28" t="s">
        <v>185</v>
      </c>
      <c r="F28" s="52" t="s">
        <v>113</v>
      </c>
    </row>
    <row r="29" spans="1:6" x14ac:dyDescent="0.3">
      <c r="A29" s="104">
        <v>45917</v>
      </c>
      <c r="B29" t="s">
        <v>22</v>
      </c>
      <c r="C29" s="11"/>
      <c r="D29" s="11">
        <v>122550</v>
      </c>
      <c r="F29" s="52" t="s">
        <v>114</v>
      </c>
    </row>
    <row r="30" spans="1:6" x14ac:dyDescent="0.3">
      <c r="A30" s="104">
        <v>45917</v>
      </c>
      <c r="B30" t="s">
        <v>118</v>
      </c>
      <c r="C30" s="11">
        <v>6500</v>
      </c>
      <c r="D30" s="11"/>
      <c r="E30" t="s">
        <v>187</v>
      </c>
      <c r="F30" s="52" t="s">
        <v>114</v>
      </c>
    </row>
    <row r="31" spans="1:6" x14ac:dyDescent="0.3">
      <c r="A31" s="104">
        <v>45917</v>
      </c>
      <c r="B31" t="s">
        <v>121</v>
      </c>
      <c r="C31" s="11">
        <v>1700</v>
      </c>
      <c r="D31" s="11"/>
      <c r="E31" t="s">
        <v>186</v>
      </c>
      <c r="F31" s="52" t="s">
        <v>114</v>
      </c>
    </row>
    <row r="32" spans="1:6" x14ac:dyDescent="0.3">
      <c r="A32" s="104">
        <v>45917</v>
      </c>
      <c r="B32" t="s">
        <v>121</v>
      </c>
      <c r="C32" s="11"/>
      <c r="D32" s="11">
        <v>1500</v>
      </c>
      <c r="F32" s="52" t="s">
        <v>113</v>
      </c>
    </row>
    <row r="33" spans="1:6" x14ac:dyDescent="0.3">
      <c r="A33" s="43">
        <v>45918</v>
      </c>
      <c r="B33" t="s">
        <v>54</v>
      </c>
      <c r="C33" s="47">
        <v>1500</v>
      </c>
      <c r="D33" s="47"/>
      <c r="E33" t="s">
        <v>190</v>
      </c>
      <c r="F33" s="52" t="s">
        <v>113</v>
      </c>
    </row>
    <row r="34" spans="1:6" x14ac:dyDescent="0.3">
      <c r="A34" s="104">
        <v>45918</v>
      </c>
      <c r="B34" t="s">
        <v>98</v>
      </c>
      <c r="C34" s="114">
        <v>201010</v>
      </c>
      <c r="D34" s="11"/>
      <c r="E34" t="s">
        <v>191</v>
      </c>
      <c r="F34" s="52" t="s">
        <v>113</v>
      </c>
    </row>
    <row r="35" spans="1:6" x14ac:dyDescent="0.3">
      <c r="A35" s="43">
        <v>45918</v>
      </c>
      <c r="B35" t="s">
        <v>159</v>
      </c>
      <c r="C35" s="11">
        <v>120000</v>
      </c>
      <c r="D35" s="11"/>
      <c r="E35" t="s">
        <v>191</v>
      </c>
      <c r="F35" s="52" t="s">
        <v>113</v>
      </c>
    </row>
    <row r="36" spans="1:6" x14ac:dyDescent="0.3">
      <c r="A36" s="104">
        <v>45918</v>
      </c>
      <c r="B36" t="s">
        <v>21</v>
      </c>
      <c r="C36" s="11"/>
      <c r="D36" s="11">
        <v>315000</v>
      </c>
      <c r="F36" s="52" t="s">
        <v>113</v>
      </c>
    </row>
    <row r="37" spans="1:6" x14ac:dyDescent="0.3">
      <c r="A37" s="43">
        <v>45918</v>
      </c>
      <c r="B37" t="s">
        <v>55</v>
      </c>
      <c r="C37" s="11">
        <v>5350</v>
      </c>
      <c r="D37" s="11"/>
      <c r="F37" s="52" t="s">
        <v>114</v>
      </c>
    </row>
    <row r="38" spans="1:6" x14ac:dyDescent="0.3">
      <c r="A38" s="104">
        <v>45918</v>
      </c>
      <c r="B38" t="s">
        <v>98</v>
      </c>
      <c r="C38" s="113">
        <v>40750</v>
      </c>
      <c r="D38" s="47"/>
      <c r="E38" t="s">
        <v>192</v>
      </c>
      <c r="F38" s="52" t="s">
        <v>114</v>
      </c>
    </row>
    <row r="39" spans="1:6" x14ac:dyDescent="0.3">
      <c r="A39" s="43">
        <v>45918</v>
      </c>
      <c r="B39" t="s">
        <v>54</v>
      </c>
      <c r="C39" s="11">
        <v>3000</v>
      </c>
      <c r="D39" s="11"/>
      <c r="E39" t="s">
        <v>193</v>
      </c>
      <c r="F39" s="52" t="s">
        <v>114</v>
      </c>
    </row>
    <row r="40" spans="1:6" x14ac:dyDescent="0.3">
      <c r="A40" s="104">
        <v>45918</v>
      </c>
      <c r="B40" t="s">
        <v>121</v>
      </c>
      <c r="C40" s="11">
        <v>3300</v>
      </c>
      <c r="D40" s="11"/>
      <c r="E40" t="s">
        <v>171</v>
      </c>
      <c r="F40" s="52" t="s">
        <v>114</v>
      </c>
    </row>
    <row r="41" spans="1:6" x14ac:dyDescent="0.3">
      <c r="A41" s="43">
        <v>45919</v>
      </c>
      <c r="B41" t="s">
        <v>162</v>
      </c>
      <c r="C41" s="11"/>
      <c r="D41" s="11">
        <v>300000</v>
      </c>
      <c r="F41" s="52" t="s">
        <v>113</v>
      </c>
    </row>
    <row r="42" spans="1:6" x14ac:dyDescent="0.3">
      <c r="A42" s="104">
        <v>45919</v>
      </c>
      <c r="B42" t="s">
        <v>98</v>
      </c>
      <c r="C42" s="107">
        <v>34300</v>
      </c>
      <c r="D42" s="11"/>
      <c r="E42" t="s">
        <v>194</v>
      </c>
      <c r="F42" s="52" t="s">
        <v>114</v>
      </c>
    </row>
    <row r="43" spans="1:6" x14ac:dyDescent="0.3">
      <c r="A43" s="43">
        <v>45919</v>
      </c>
      <c r="B43" t="s">
        <v>98</v>
      </c>
      <c r="C43" s="114">
        <v>200000</v>
      </c>
      <c r="D43" s="11"/>
      <c r="E43" t="s">
        <v>191</v>
      </c>
      <c r="F43" s="52" t="s">
        <v>113</v>
      </c>
    </row>
    <row r="44" spans="1:6" x14ac:dyDescent="0.3">
      <c r="A44" s="104">
        <v>45919</v>
      </c>
      <c r="B44" t="s">
        <v>121</v>
      </c>
      <c r="C44" s="11"/>
      <c r="D44" s="11">
        <f>20000-5450</f>
        <v>14550</v>
      </c>
      <c r="E44" t="s">
        <v>195</v>
      </c>
      <c r="F44" s="52" t="s">
        <v>114</v>
      </c>
    </row>
    <row r="45" spans="1:6" x14ac:dyDescent="0.3">
      <c r="A45" s="43">
        <v>45919</v>
      </c>
      <c r="B45" t="s">
        <v>24</v>
      </c>
      <c r="C45" s="11"/>
      <c r="D45" s="11">
        <v>1000000</v>
      </c>
      <c r="E45" t="s">
        <v>196</v>
      </c>
      <c r="F45" s="52" t="s">
        <v>113</v>
      </c>
    </row>
    <row r="46" spans="1:6" x14ac:dyDescent="0.3">
      <c r="A46" s="104">
        <v>45919</v>
      </c>
      <c r="B46" t="s">
        <v>64</v>
      </c>
      <c r="C46" s="11">
        <v>121000</v>
      </c>
      <c r="D46" s="11"/>
      <c r="E46" t="s">
        <v>197</v>
      </c>
      <c r="F46" s="52" t="s">
        <v>113</v>
      </c>
    </row>
    <row r="47" spans="1:6" x14ac:dyDescent="0.3">
      <c r="A47" s="43">
        <v>45919</v>
      </c>
      <c r="B47" t="s">
        <v>55</v>
      </c>
      <c r="C47" s="11">
        <v>1371</v>
      </c>
      <c r="D47" s="11"/>
      <c r="E47" t="s">
        <v>198</v>
      </c>
      <c r="F47" s="52" t="s">
        <v>113</v>
      </c>
    </row>
    <row r="48" spans="1:6" x14ac:dyDescent="0.3">
      <c r="A48" s="104">
        <v>45919</v>
      </c>
      <c r="B48" t="s">
        <v>50</v>
      </c>
      <c r="C48" s="11">
        <v>780</v>
      </c>
      <c r="D48" s="11"/>
      <c r="E48" t="s">
        <v>199</v>
      </c>
      <c r="F48" s="52" t="s">
        <v>114</v>
      </c>
    </row>
    <row r="49" spans="1:6" x14ac:dyDescent="0.3">
      <c r="A49" s="43">
        <v>45919</v>
      </c>
      <c r="B49" t="s">
        <v>119</v>
      </c>
      <c r="C49" s="11">
        <v>11185</v>
      </c>
      <c r="D49" s="11"/>
      <c r="E49" t="s">
        <v>200</v>
      </c>
      <c r="F49" s="52" t="s">
        <v>114</v>
      </c>
    </row>
    <row r="50" spans="1:6" x14ac:dyDescent="0.3">
      <c r="A50" s="104">
        <v>45919</v>
      </c>
      <c r="B50" t="s">
        <v>9</v>
      </c>
      <c r="C50" s="11"/>
      <c r="D50" s="11">
        <v>84190</v>
      </c>
      <c r="E50" t="s">
        <v>201</v>
      </c>
      <c r="F50" s="52" t="s">
        <v>113</v>
      </c>
    </row>
    <row r="51" spans="1:6" x14ac:dyDescent="0.3">
      <c r="A51" s="104">
        <v>45919</v>
      </c>
      <c r="B51" t="s">
        <v>55</v>
      </c>
      <c r="C51" s="11">
        <v>8230</v>
      </c>
      <c r="D51" s="11"/>
      <c r="E51" t="s">
        <v>198</v>
      </c>
      <c r="F51" s="52" t="s">
        <v>113</v>
      </c>
    </row>
    <row r="52" spans="1:6" x14ac:dyDescent="0.3">
      <c r="A52" s="43">
        <v>45919</v>
      </c>
      <c r="B52" t="s">
        <v>54</v>
      </c>
      <c r="C52" s="47">
        <v>2500</v>
      </c>
      <c r="D52" s="47"/>
      <c r="E52" t="s">
        <v>202</v>
      </c>
      <c r="F52" s="52" t="s">
        <v>114</v>
      </c>
    </row>
    <row r="53" spans="1:6" x14ac:dyDescent="0.3">
      <c r="A53" s="104">
        <v>45919</v>
      </c>
      <c r="B53" t="s">
        <v>54</v>
      </c>
      <c r="C53" s="11">
        <v>5330</v>
      </c>
      <c r="D53" s="11"/>
      <c r="E53" t="s">
        <v>203</v>
      </c>
      <c r="F53" s="52" t="s">
        <v>114</v>
      </c>
    </row>
    <row r="54" spans="1:6" x14ac:dyDescent="0.3">
      <c r="A54" s="43">
        <v>45919</v>
      </c>
      <c r="B54" t="s">
        <v>21</v>
      </c>
      <c r="C54" s="11"/>
      <c r="D54" s="47">
        <f>20000+4480</f>
        <v>24480</v>
      </c>
      <c r="F54" s="52" t="s">
        <v>113</v>
      </c>
    </row>
    <row r="55" spans="1:6" x14ac:dyDescent="0.3">
      <c r="A55" s="104">
        <v>45919</v>
      </c>
      <c r="B55" t="s">
        <v>54</v>
      </c>
      <c r="C55" s="11">
        <v>20000</v>
      </c>
      <c r="D55" s="11"/>
      <c r="E55" t="s">
        <v>158</v>
      </c>
      <c r="F55" s="52" t="s">
        <v>113</v>
      </c>
    </row>
    <row r="56" spans="1:6" x14ac:dyDescent="0.3">
      <c r="A56" s="43">
        <v>45919</v>
      </c>
      <c r="B56" t="s">
        <v>54</v>
      </c>
      <c r="C56" s="47">
        <v>4480</v>
      </c>
      <c r="D56" s="47"/>
      <c r="E56" t="s">
        <v>206</v>
      </c>
      <c r="F56" s="52" t="s">
        <v>113</v>
      </c>
    </row>
    <row r="57" spans="1:6" x14ac:dyDescent="0.3">
      <c r="A57" s="104">
        <v>45920</v>
      </c>
      <c r="B57" t="s">
        <v>121</v>
      </c>
      <c r="C57" s="11">
        <v>2000</v>
      </c>
      <c r="D57" s="11"/>
      <c r="E57" t="s">
        <v>207</v>
      </c>
      <c r="F57" s="52" t="s">
        <v>114</v>
      </c>
    </row>
    <row r="58" spans="1:6" x14ac:dyDescent="0.3">
      <c r="A58" s="104">
        <v>45920</v>
      </c>
      <c r="B58" t="s">
        <v>98</v>
      </c>
      <c r="C58" s="114">
        <v>43000</v>
      </c>
      <c r="D58" s="11"/>
      <c r="E58" t="s">
        <v>208</v>
      </c>
      <c r="F58" s="52" t="s">
        <v>114</v>
      </c>
    </row>
    <row r="59" spans="1:6" x14ac:dyDescent="0.3">
      <c r="A59" s="104">
        <v>45920</v>
      </c>
      <c r="B59" t="s">
        <v>98</v>
      </c>
      <c r="C59" s="114">
        <v>150000</v>
      </c>
      <c r="D59" s="11"/>
      <c r="E59" t="s">
        <v>201</v>
      </c>
      <c r="F59" s="52" t="s">
        <v>113</v>
      </c>
    </row>
    <row r="60" spans="1:6" x14ac:dyDescent="0.3">
      <c r="A60" s="104">
        <v>45920</v>
      </c>
      <c r="B60" t="s">
        <v>9</v>
      </c>
      <c r="C60" s="11"/>
      <c r="D60" s="11">
        <v>65000</v>
      </c>
      <c r="E60" t="s">
        <v>201</v>
      </c>
      <c r="F60" s="52" t="s">
        <v>113</v>
      </c>
    </row>
    <row r="61" spans="1:6" x14ac:dyDescent="0.3">
      <c r="A61" s="104">
        <v>45920</v>
      </c>
      <c r="B61" t="s">
        <v>21</v>
      </c>
      <c r="C61" s="11"/>
      <c r="D61" s="11">
        <f>1680+6460</f>
        <v>8140</v>
      </c>
      <c r="F61" s="52" t="s">
        <v>113</v>
      </c>
    </row>
    <row r="62" spans="1:6" x14ac:dyDescent="0.3">
      <c r="A62" s="104">
        <v>45920</v>
      </c>
      <c r="B62" t="s">
        <v>55</v>
      </c>
      <c r="C62" s="11">
        <v>8140</v>
      </c>
      <c r="D62" s="11"/>
      <c r="E62" t="s">
        <v>158</v>
      </c>
      <c r="F62" s="52" t="s">
        <v>113</v>
      </c>
    </row>
    <row r="63" spans="1:6" x14ac:dyDescent="0.3">
      <c r="A63" s="104">
        <v>45920</v>
      </c>
      <c r="B63" t="s">
        <v>123</v>
      </c>
      <c r="C63" s="11">
        <v>10000</v>
      </c>
      <c r="D63" s="11"/>
      <c r="E63" t="s">
        <v>209</v>
      </c>
      <c r="F63" s="52" t="s">
        <v>114</v>
      </c>
    </row>
    <row r="64" spans="1:6" x14ac:dyDescent="0.3">
      <c r="A64" s="104">
        <v>45920</v>
      </c>
      <c r="B64" t="s">
        <v>121</v>
      </c>
      <c r="C64" s="47">
        <v>3300</v>
      </c>
      <c r="D64" s="47"/>
      <c r="E64" t="s">
        <v>171</v>
      </c>
      <c r="F64" s="52" t="s">
        <v>114</v>
      </c>
    </row>
    <row r="65" spans="1:6" x14ac:dyDescent="0.3">
      <c r="A65" s="104">
        <v>45920</v>
      </c>
      <c r="B65" t="s">
        <v>98</v>
      </c>
      <c r="C65" s="114">
        <v>30385</v>
      </c>
      <c r="D65" s="11"/>
      <c r="E65" t="s">
        <v>210</v>
      </c>
      <c r="F65" s="52" t="s">
        <v>114</v>
      </c>
    </row>
    <row r="66" spans="1:6" x14ac:dyDescent="0.3">
      <c r="A66" s="104">
        <v>45920</v>
      </c>
      <c r="B66" t="s">
        <v>54</v>
      </c>
      <c r="C66" s="11">
        <v>13000</v>
      </c>
      <c r="D66" s="11"/>
      <c r="E66" t="s">
        <v>211</v>
      </c>
      <c r="F66" s="52" t="s">
        <v>114</v>
      </c>
    </row>
    <row r="67" spans="1:6" x14ac:dyDescent="0.3">
      <c r="A67" s="104">
        <v>45920</v>
      </c>
      <c r="B67" t="s">
        <v>121</v>
      </c>
      <c r="C67" s="11"/>
      <c r="D67" s="11">
        <v>6000</v>
      </c>
      <c r="E67" t="s">
        <v>212</v>
      </c>
      <c r="F67" s="52" t="s">
        <v>113</v>
      </c>
    </row>
    <row r="68" spans="1:6" x14ac:dyDescent="0.3">
      <c r="A68" s="104">
        <v>45920</v>
      </c>
      <c r="B68" t="s">
        <v>123</v>
      </c>
      <c r="C68" s="11">
        <v>6000</v>
      </c>
      <c r="D68" s="11"/>
      <c r="E68" t="s">
        <v>213</v>
      </c>
      <c r="F68" s="52" t="s">
        <v>113</v>
      </c>
    </row>
    <row r="69" spans="1:6" x14ac:dyDescent="0.3">
      <c r="A69" s="104">
        <v>45920</v>
      </c>
      <c r="B69" t="s">
        <v>54</v>
      </c>
      <c r="C69" s="11">
        <v>1300</v>
      </c>
      <c r="D69" s="11"/>
      <c r="E69" t="s">
        <v>214</v>
      </c>
      <c r="F69" s="52" t="s">
        <v>113</v>
      </c>
    </row>
    <row r="70" spans="1:6" x14ac:dyDescent="0.3">
      <c r="A70" s="104">
        <v>45920</v>
      </c>
      <c r="B70" t="s">
        <v>121</v>
      </c>
      <c r="C70" s="11"/>
      <c r="D70" s="11">
        <v>1300</v>
      </c>
      <c r="E70" t="s">
        <v>214</v>
      </c>
      <c r="F70" s="52" t="s">
        <v>113</v>
      </c>
    </row>
    <row r="71" spans="1:6" x14ac:dyDescent="0.3">
      <c r="A71" s="104">
        <v>45921</v>
      </c>
      <c r="B71" t="s">
        <v>21</v>
      </c>
      <c r="C71" s="11"/>
      <c r="D71" s="11">
        <f>12030+2750</f>
        <v>14780</v>
      </c>
      <c r="E71" t="s">
        <v>217</v>
      </c>
      <c r="F71" s="52" t="s">
        <v>113</v>
      </c>
    </row>
    <row r="72" spans="1:6" x14ac:dyDescent="0.3">
      <c r="A72" s="43">
        <v>45921</v>
      </c>
      <c r="B72" t="s">
        <v>55</v>
      </c>
      <c r="C72" s="47">
        <v>14780</v>
      </c>
      <c r="D72" s="47"/>
      <c r="E72" t="s">
        <v>217</v>
      </c>
      <c r="F72" s="52" t="s">
        <v>113</v>
      </c>
    </row>
    <row r="73" spans="1:6" x14ac:dyDescent="0.3">
      <c r="A73" s="43">
        <v>45921</v>
      </c>
      <c r="B73" t="s">
        <v>121</v>
      </c>
      <c r="C73" s="47"/>
      <c r="D73" s="47">
        <v>1200</v>
      </c>
      <c r="F73" s="52" t="s">
        <v>114</v>
      </c>
    </row>
    <row r="74" spans="1:6" x14ac:dyDescent="0.3">
      <c r="A74" s="43">
        <v>45921</v>
      </c>
      <c r="B74" t="s">
        <v>98</v>
      </c>
      <c r="C74" s="115">
        <v>36000</v>
      </c>
      <c r="D74" s="47"/>
      <c r="E74" t="s">
        <v>218</v>
      </c>
      <c r="F74" s="52" t="s">
        <v>114</v>
      </c>
    </row>
    <row r="75" spans="1:6" x14ac:dyDescent="0.3">
      <c r="A75" s="104">
        <v>45922</v>
      </c>
      <c r="B75" t="s">
        <v>9</v>
      </c>
      <c r="C75" s="11"/>
      <c r="D75" s="11">
        <v>52800</v>
      </c>
      <c r="E75" t="s">
        <v>219</v>
      </c>
      <c r="F75" s="52" t="s">
        <v>113</v>
      </c>
    </row>
    <row r="76" spans="1:6" x14ac:dyDescent="0.3">
      <c r="A76" s="104">
        <v>45922</v>
      </c>
      <c r="B76" t="s">
        <v>125</v>
      </c>
      <c r="C76" s="11">
        <v>310500</v>
      </c>
      <c r="D76" s="11"/>
      <c r="E76" t="s">
        <v>61</v>
      </c>
      <c r="F76" s="52" t="s">
        <v>113</v>
      </c>
    </row>
    <row r="77" spans="1:6" x14ac:dyDescent="0.3">
      <c r="A77" s="104">
        <v>45922</v>
      </c>
      <c r="B77" t="s">
        <v>118</v>
      </c>
      <c r="C77" s="11"/>
      <c r="D77" s="11">
        <v>200</v>
      </c>
      <c r="E77" t="s">
        <v>220</v>
      </c>
      <c r="F77" s="52" t="s">
        <v>113</v>
      </c>
    </row>
    <row r="78" spans="1:6" x14ac:dyDescent="0.3">
      <c r="A78" s="104">
        <v>45922</v>
      </c>
      <c r="B78" t="s">
        <v>50</v>
      </c>
      <c r="C78" s="11">
        <v>200</v>
      </c>
      <c r="D78" s="11"/>
      <c r="E78" t="s">
        <v>221</v>
      </c>
      <c r="F78" s="52" t="s">
        <v>113</v>
      </c>
    </row>
    <row r="79" spans="1:6" x14ac:dyDescent="0.3">
      <c r="A79" s="104">
        <v>45922</v>
      </c>
      <c r="B79" t="s">
        <v>55</v>
      </c>
      <c r="C79" s="11">
        <v>5600</v>
      </c>
      <c r="D79" s="11"/>
      <c r="F79" s="52" t="s">
        <v>113</v>
      </c>
    </row>
    <row r="80" spans="1:6" x14ac:dyDescent="0.3">
      <c r="A80" s="104">
        <v>45922</v>
      </c>
      <c r="B80" t="s">
        <v>98</v>
      </c>
      <c r="C80" s="114">
        <v>37400</v>
      </c>
      <c r="D80" s="11"/>
      <c r="E80" t="s">
        <v>222</v>
      </c>
      <c r="F80" s="52" t="s">
        <v>113</v>
      </c>
    </row>
    <row r="81" spans="1:6" x14ac:dyDescent="0.3">
      <c r="A81" s="104">
        <v>45922</v>
      </c>
      <c r="B81" t="s">
        <v>223</v>
      </c>
      <c r="C81" s="47">
        <v>1895031</v>
      </c>
      <c r="D81" s="47"/>
      <c r="E81" t="s">
        <v>224</v>
      </c>
      <c r="F81" s="52" t="s">
        <v>113</v>
      </c>
    </row>
    <row r="82" spans="1:6" x14ac:dyDescent="0.3">
      <c r="A82" s="104">
        <v>45922</v>
      </c>
      <c r="B82" t="s">
        <v>55</v>
      </c>
      <c r="C82" s="11">
        <v>5000</v>
      </c>
      <c r="D82" s="11"/>
      <c r="F82" s="52" t="s">
        <v>113</v>
      </c>
    </row>
    <row r="83" spans="1:6" x14ac:dyDescent="0.3">
      <c r="A83" s="104">
        <v>45922</v>
      </c>
      <c r="B83" t="s">
        <v>98</v>
      </c>
      <c r="C83" s="107">
        <v>12000</v>
      </c>
      <c r="D83" s="11"/>
      <c r="E83" t="s">
        <v>225</v>
      </c>
      <c r="F83" s="52" t="s">
        <v>114</v>
      </c>
    </row>
    <row r="84" spans="1:6" x14ac:dyDescent="0.3">
      <c r="A84" s="104">
        <v>45922</v>
      </c>
      <c r="B84" t="s">
        <v>159</v>
      </c>
      <c r="C84" s="11">
        <v>150000</v>
      </c>
      <c r="D84" s="11"/>
      <c r="F84" s="52" t="s">
        <v>114</v>
      </c>
    </row>
    <row r="85" spans="1:6" x14ac:dyDescent="0.3">
      <c r="A85" s="104">
        <v>45922</v>
      </c>
      <c r="B85" t="s">
        <v>121</v>
      </c>
      <c r="C85" s="11">
        <v>9200</v>
      </c>
      <c r="D85" s="11"/>
      <c r="E85" t="s">
        <v>171</v>
      </c>
      <c r="F85" s="52" t="s">
        <v>114</v>
      </c>
    </row>
    <row r="86" spans="1:6" x14ac:dyDescent="0.3">
      <c r="A86" s="104">
        <v>45922</v>
      </c>
      <c r="B86" t="s">
        <v>54</v>
      </c>
      <c r="C86" s="11">
        <v>3000</v>
      </c>
      <c r="D86" s="11"/>
      <c r="E86" t="s">
        <v>226</v>
      </c>
      <c r="F86" s="52" t="s">
        <v>114</v>
      </c>
    </row>
    <row r="87" spans="1:6" x14ac:dyDescent="0.3">
      <c r="A87" s="104">
        <v>45922</v>
      </c>
      <c r="B87" t="s">
        <v>64</v>
      </c>
      <c r="C87" s="11">
        <v>138000</v>
      </c>
      <c r="D87" s="11"/>
      <c r="E87" t="s">
        <v>227</v>
      </c>
      <c r="F87" s="52" t="s">
        <v>113</v>
      </c>
    </row>
    <row r="88" spans="1:6" x14ac:dyDescent="0.3">
      <c r="A88" s="104">
        <v>45922</v>
      </c>
      <c r="B88" t="s">
        <v>55</v>
      </c>
      <c r="C88" s="11">
        <v>1000</v>
      </c>
      <c r="D88" s="11"/>
      <c r="E88" t="s">
        <v>228</v>
      </c>
      <c r="F88" s="52" t="s">
        <v>113</v>
      </c>
    </row>
    <row r="89" spans="1:6" x14ac:dyDescent="0.3">
      <c r="A89" s="104">
        <v>45922</v>
      </c>
      <c r="B89" t="s">
        <v>21</v>
      </c>
      <c r="C89" s="11"/>
      <c r="D89" s="11">
        <v>140000</v>
      </c>
      <c r="F89" s="52" t="s">
        <v>113</v>
      </c>
    </row>
    <row r="90" spans="1:6" x14ac:dyDescent="0.3">
      <c r="A90" s="104">
        <v>45922</v>
      </c>
      <c r="B90" t="s">
        <v>52</v>
      </c>
      <c r="C90" s="11">
        <v>10000</v>
      </c>
      <c r="D90" s="11"/>
      <c r="E90" t="s">
        <v>229</v>
      </c>
      <c r="F90" s="52" t="s">
        <v>114</v>
      </c>
    </row>
    <row r="91" spans="1:6" x14ac:dyDescent="0.3">
      <c r="A91" s="104">
        <v>45922</v>
      </c>
      <c r="B91" t="s">
        <v>98</v>
      </c>
      <c r="C91" s="114">
        <v>200002</v>
      </c>
      <c r="D91" s="11"/>
      <c r="F91" s="52" t="s">
        <v>113</v>
      </c>
    </row>
    <row r="92" spans="1:6" x14ac:dyDescent="0.3">
      <c r="A92" s="104">
        <v>45922</v>
      </c>
      <c r="B92" t="s">
        <v>162</v>
      </c>
      <c r="C92" s="11"/>
      <c r="D92" s="11">
        <v>250000</v>
      </c>
      <c r="F92" s="52" t="s">
        <v>113</v>
      </c>
    </row>
    <row r="93" spans="1:6" x14ac:dyDescent="0.3">
      <c r="A93" s="104">
        <v>45922</v>
      </c>
      <c r="B93" t="s">
        <v>25</v>
      </c>
      <c r="C93" s="11"/>
      <c r="D93" s="11">
        <v>400000</v>
      </c>
      <c r="F93" s="52" t="s">
        <v>113</v>
      </c>
    </row>
    <row r="94" spans="1:6" x14ac:dyDescent="0.3">
      <c r="A94" s="104">
        <v>45922</v>
      </c>
      <c r="B94" t="s">
        <v>21</v>
      </c>
      <c r="C94" s="11"/>
      <c r="D94" s="11">
        <v>1116533</v>
      </c>
      <c r="F94" s="52" t="s">
        <v>113</v>
      </c>
    </row>
    <row r="95" spans="1:6" x14ac:dyDescent="0.3">
      <c r="A95" s="104">
        <v>45922</v>
      </c>
      <c r="B95" t="s">
        <v>123</v>
      </c>
      <c r="C95" s="11">
        <v>2000</v>
      </c>
      <c r="D95" s="11"/>
      <c r="E95" t="s">
        <v>230</v>
      </c>
      <c r="F95" s="52" t="s">
        <v>114</v>
      </c>
    </row>
    <row r="96" spans="1:6" x14ac:dyDescent="0.3">
      <c r="A96" s="104">
        <v>45922</v>
      </c>
      <c r="B96" t="s">
        <v>119</v>
      </c>
      <c r="C96" s="11">
        <v>18000</v>
      </c>
      <c r="D96" s="11"/>
      <c r="E96" t="s">
        <v>231</v>
      </c>
      <c r="F96" s="52" t="s">
        <v>114</v>
      </c>
    </row>
    <row r="97" spans="1:6" x14ac:dyDescent="0.3">
      <c r="A97" s="104">
        <v>45923</v>
      </c>
      <c r="B97" t="s">
        <v>55</v>
      </c>
      <c r="C97" s="11">
        <v>91000</v>
      </c>
      <c r="D97" s="11"/>
      <c r="E97" t="s">
        <v>233</v>
      </c>
      <c r="F97" s="52" t="s">
        <v>114</v>
      </c>
    </row>
    <row r="98" spans="1:6" x14ac:dyDescent="0.3">
      <c r="A98" s="104">
        <v>45923</v>
      </c>
      <c r="B98" t="s">
        <v>121</v>
      </c>
      <c r="C98" s="47"/>
      <c r="D98" s="47">
        <f>65000-41028</f>
        <v>23972</v>
      </c>
      <c r="E98" t="s">
        <v>244</v>
      </c>
      <c r="F98" s="52" t="s">
        <v>113</v>
      </c>
    </row>
    <row r="99" spans="1:6" x14ac:dyDescent="0.3">
      <c r="A99" s="104">
        <v>45923</v>
      </c>
      <c r="B99" t="s">
        <v>98</v>
      </c>
      <c r="C99" s="114">
        <v>34500</v>
      </c>
      <c r="D99" s="11"/>
      <c r="E99" t="s">
        <v>234</v>
      </c>
      <c r="F99" s="52" t="s">
        <v>113</v>
      </c>
    </row>
    <row r="100" spans="1:6" x14ac:dyDescent="0.3">
      <c r="A100" s="104">
        <v>45923</v>
      </c>
      <c r="B100" t="s">
        <v>54</v>
      </c>
      <c r="C100" s="11">
        <v>10000</v>
      </c>
      <c r="D100" s="11"/>
      <c r="E100" t="s">
        <v>158</v>
      </c>
      <c r="F100" s="52" t="s">
        <v>114</v>
      </c>
    </row>
    <row r="101" spans="1:6" x14ac:dyDescent="0.3">
      <c r="A101" s="104">
        <v>45923</v>
      </c>
      <c r="B101" t="s">
        <v>21</v>
      </c>
      <c r="C101" s="11"/>
      <c r="D101" s="11">
        <v>9000</v>
      </c>
      <c r="E101" t="s">
        <v>158</v>
      </c>
      <c r="F101" s="52" t="s">
        <v>114</v>
      </c>
    </row>
    <row r="102" spans="1:6" x14ac:dyDescent="0.3">
      <c r="A102" s="104">
        <v>45923</v>
      </c>
      <c r="B102" t="s">
        <v>118</v>
      </c>
      <c r="C102" s="11"/>
      <c r="D102" s="11">
        <v>8700</v>
      </c>
      <c r="F102" s="52" t="s">
        <v>113</v>
      </c>
    </row>
    <row r="103" spans="1:6" x14ac:dyDescent="0.3">
      <c r="A103" s="104">
        <v>45923</v>
      </c>
      <c r="B103" t="s">
        <v>50</v>
      </c>
      <c r="C103" s="11">
        <v>200</v>
      </c>
      <c r="D103" s="11"/>
      <c r="E103" t="s">
        <v>169</v>
      </c>
      <c r="F103" s="52" t="s">
        <v>113</v>
      </c>
    </row>
    <row r="104" spans="1:6" x14ac:dyDescent="0.3">
      <c r="A104" s="104">
        <v>45923</v>
      </c>
      <c r="B104" t="s">
        <v>21</v>
      </c>
      <c r="C104" s="11"/>
      <c r="D104" s="11">
        <v>250000</v>
      </c>
      <c r="E104" t="s">
        <v>235</v>
      </c>
      <c r="F104" s="52" t="s">
        <v>114</v>
      </c>
    </row>
    <row r="105" spans="1:6" x14ac:dyDescent="0.3">
      <c r="A105" s="104">
        <v>45923</v>
      </c>
      <c r="B105" t="s">
        <v>237</v>
      </c>
      <c r="C105" s="11">
        <v>250000</v>
      </c>
      <c r="D105" s="11"/>
      <c r="E105" t="s">
        <v>236</v>
      </c>
      <c r="F105" s="52" t="s">
        <v>113</v>
      </c>
    </row>
    <row r="106" spans="1:6" x14ac:dyDescent="0.3">
      <c r="A106" s="104">
        <v>45923</v>
      </c>
      <c r="B106" t="s">
        <v>55</v>
      </c>
      <c r="C106" s="11">
        <v>2530</v>
      </c>
      <c r="D106" s="11"/>
      <c r="F106" s="52" t="s">
        <v>114</v>
      </c>
    </row>
    <row r="107" spans="1:6" x14ac:dyDescent="0.3">
      <c r="A107" s="104">
        <v>45923</v>
      </c>
      <c r="B107" t="s">
        <v>98</v>
      </c>
      <c r="C107" s="115">
        <v>37900</v>
      </c>
      <c r="D107" s="47"/>
      <c r="E107" t="s">
        <v>238</v>
      </c>
      <c r="F107" s="52" t="s">
        <v>114</v>
      </c>
    </row>
    <row r="108" spans="1:6" x14ac:dyDescent="0.3">
      <c r="A108" s="104">
        <v>45923</v>
      </c>
      <c r="B108" t="s">
        <v>54</v>
      </c>
      <c r="C108" s="11">
        <v>3000</v>
      </c>
      <c r="D108" s="11"/>
      <c r="E108" t="s">
        <v>211</v>
      </c>
      <c r="F108" s="52" t="s">
        <v>114</v>
      </c>
    </row>
    <row r="109" spans="1:6" x14ac:dyDescent="0.3">
      <c r="A109" s="104">
        <v>45923</v>
      </c>
      <c r="B109" t="s">
        <v>54</v>
      </c>
      <c r="C109" s="11">
        <v>6500</v>
      </c>
      <c r="D109" s="11"/>
      <c r="E109" t="s">
        <v>239</v>
      </c>
      <c r="F109" s="52" t="s">
        <v>114</v>
      </c>
    </row>
    <row r="110" spans="1:6" x14ac:dyDescent="0.3">
      <c r="A110" s="104">
        <v>45923</v>
      </c>
      <c r="B110" t="s">
        <v>52</v>
      </c>
      <c r="C110" s="11">
        <v>10000</v>
      </c>
      <c r="D110" s="11"/>
      <c r="E110" t="s">
        <v>240</v>
      </c>
      <c r="F110" s="52" t="s">
        <v>114</v>
      </c>
    </row>
    <row r="111" spans="1:6" x14ac:dyDescent="0.3">
      <c r="A111" s="104">
        <v>45923</v>
      </c>
      <c r="B111" t="s">
        <v>52</v>
      </c>
      <c r="C111" s="11">
        <v>4000</v>
      </c>
      <c r="D111" s="11"/>
      <c r="E111" t="s">
        <v>240</v>
      </c>
      <c r="F111" s="52" t="s">
        <v>113</v>
      </c>
    </row>
    <row r="112" spans="1:6" x14ac:dyDescent="0.3">
      <c r="A112" s="104">
        <v>45923</v>
      </c>
      <c r="B112" t="s">
        <v>123</v>
      </c>
      <c r="C112" s="11">
        <v>1000</v>
      </c>
      <c r="D112" s="11"/>
      <c r="E112" t="s">
        <v>241</v>
      </c>
      <c r="F112" s="52" t="s">
        <v>114</v>
      </c>
    </row>
    <row r="113" spans="1:6" x14ac:dyDescent="0.3">
      <c r="A113" s="104">
        <v>45923</v>
      </c>
      <c r="B113" t="s">
        <v>121</v>
      </c>
      <c r="C113" s="11">
        <v>11000</v>
      </c>
      <c r="D113" s="11"/>
      <c r="E113" t="s">
        <v>211</v>
      </c>
      <c r="F113" s="52" t="s">
        <v>114</v>
      </c>
    </row>
    <row r="114" spans="1:6" x14ac:dyDescent="0.3">
      <c r="A114" s="104">
        <v>45923</v>
      </c>
      <c r="B114" t="s">
        <v>54</v>
      </c>
      <c r="C114" s="11">
        <v>5700</v>
      </c>
      <c r="D114" s="11"/>
      <c r="E114" t="s">
        <v>206</v>
      </c>
      <c r="F114" s="52" t="s">
        <v>113</v>
      </c>
    </row>
    <row r="115" spans="1:6" x14ac:dyDescent="0.3">
      <c r="A115" s="104">
        <v>45923</v>
      </c>
      <c r="B115" t="s">
        <v>243</v>
      </c>
      <c r="C115" s="11"/>
      <c r="D115" s="11">
        <v>290000</v>
      </c>
      <c r="F115" s="52" t="s">
        <v>113</v>
      </c>
    </row>
    <row r="116" spans="1:6" x14ac:dyDescent="0.3">
      <c r="A116" s="104">
        <v>45923</v>
      </c>
      <c r="B116" t="s">
        <v>98</v>
      </c>
      <c r="C116" s="114">
        <v>290000</v>
      </c>
      <c r="D116" s="11"/>
      <c r="E116" t="s">
        <v>242</v>
      </c>
      <c r="F116" s="52" t="s">
        <v>113</v>
      </c>
    </row>
    <row r="117" spans="1:6" x14ac:dyDescent="0.3">
      <c r="A117" s="43">
        <v>45923</v>
      </c>
      <c r="B117" t="s">
        <v>54</v>
      </c>
      <c r="C117" s="47">
        <v>14000</v>
      </c>
      <c r="D117" s="47"/>
      <c r="E117" t="s">
        <v>158</v>
      </c>
      <c r="F117" s="52" t="s">
        <v>113</v>
      </c>
    </row>
    <row r="118" spans="1:6" x14ac:dyDescent="0.3">
      <c r="A118" s="43">
        <v>45923</v>
      </c>
      <c r="B118" t="s">
        <v>21</v>
      </c>
      <c r="C118" s="47"/>
      <c r="D118" s="47">
        <v>14000</v>
      </c>
      <c r="F118" s="52" t="s">
        <v>113</v>
      </c>
    </row>
    <row r="119" spans="1:6" x14ac:dyDescent="0.3">
      <c r="A119" s="104">
        <v>45923</v>
      </c>
      <c r="B119" t="s">
        <v>54</v>
      </c>
      <c r="C119" s="11">
        <v>5000</v>
      </c>
      <c r="D119" s="11"/>
      <c r="E119" t="s">
        <v>203</v>
      </c>
      <c r="F119" s="52" t="s">
        <v>113</v>
      </c>
    </row>
    <row r="120" spans="1:6" x14ac:dyDescent="0.3">
      <c r="A120" s="43">
        <v>45924</v>
      </c>
      <c r="B120" t="s">
        <v>54</v>
      </c>
      <c r="C120" s="47">
        <v>1000</v>
      </c>
      <c r="D120" s="47"/>
      <c r="E120" t="s">
        <v>245</v>
      </c>
      <c r="F120" s="52" t="s">
        <v>114</v>
      </c>
    </row>
    <row r="121" spans="1:6" x14ac:dyDescent="0.3">
      <c r="A121" s="104">
        <v>45924</v>
      </c>
      <c r="B121" t="s">
        <v>35</v>
      </c>
      <c r="C121" s="11"/>
      <c r="D121" s="11">
        <v>155000</v>
      </c>
      <c r="F121" s="52" t="s">
        <v>113</v>
      </c>
    </row>
    <row r="122" spans="1:6" x14ac:dyDescent="0.3">
      <c r="A122" s="104">
        <v>45924</v>
      </c>
      <c r="B122" t="s">
        <v>98</v>
      </c>
      <c r="C122" s="114">
        <v>155000</v>
      </c>
      <c r="D122" s="11"/>
      <c r="E122" t="s">
        <v>246</v>
      </c>
      <c r="F122" s="52" t="s">
        <v>113</v>
      </c>
    </row>
    <row r="123" spans="1:6" x14ac:dyDescent="0.3">
      <c r="A123" s="104">
        <v>45924</v>
      </c>
      <c r="B123" t="s">
        <v>243</v>
      </c>
      <c r="C123" s="11"/>
      <c r="D123" s="11">
        <v>100000</v>
      </c>
      <c r="F123" s="52" t="s">
        <v>113</v>
      </c>
    </row>
    <row r="124" spans="1:6" x14ac:dyDescent="0.3">
      <c r="A124" s="104">
        <v>45924</v>
      </c>
      <c r="B124" t="s">
        <v>159</v>
      </c>
      <c r="C124" s="11">
        <v>50000</v>
      </c>
      <c r="D124" s="11"/>
      <c r="F124" s="52" t="s">
        <v>113</v>
      </c>
    </row>
    <row r="125" spans="1:6" x14ac:dyDescent="0.3">
      <c r="A125" s="104">
        <v>45924</v>
      </c>
      <c r="B125" t="s">
        <v>55</v>
      </c>
      <c r="C125" s="11">
        <v>4500</v>
      </c>
      <c r="D125" s="11"/>
      <c r="E125" t="s">
        <v>247</v>
      </c>
      <c r="F125" s="52" t="s">
        <v>113</v>
      </c>
    </row>
    <row r="126" spans="1:6" x14ac:dyDescent="0.3">
      <c r="A126" s="104">
        <v>45924</v>
      </c>
      <c r="B126" t="s">
        <v>50</v>
      </c>
      <c r="C126" s="11">
        <v>1140</v>
      </c>
      <c r="D126" s="11"/>
      <c r="E126" t="s">
        <v>248</v>
      </c>
      <c r="F126" s="52" t="s">
        <v>113</v>
      </c>
    </row>
    <row r="127" spans="1:6" x14ac:dyDescent="0.3">
      <c r="A127" s="104">
        <v>45924</v>
      </c>
      <c r="B127" t="s">
        <v>55</v>
      </c>
      <c r="C127" s="11">
        <v>940</v>
      </c>
      <c r="D127" s="11"/>
      <c r="F127" s="52" t="s">
        <v>113</v>
      </c>
    </row>
    <row r="128" spans="1:6" x14ac:dyDescent="0.3">
      <c r="A128" s="104">
        <v>45924</v>
      </c>
      <c r="B128" t="s">
        <v>54</v>
      </c>
      <c r="C128" s="11">
        <v>5000</v>
      </c>
      <c r="D128" s="11"/>
      <c r="E128" t="s">
        <v>203</v>
      </c>
      <c r="F128" s="52" t="s">
        <v>113</v>
      </c>
    </row>
    <row r="129" spans="1:6" x14ac:dyDescent="0.3">
      <c r="A129" s="104">
        <v>45925</v>
      </c>
      <c r="B129" t="s">
        <v>243</v>
      </c>
      <c r="C129" s="11"/>
      <c r="D129" s="11">
        <v>200000</v>
      </c>
      <c r="F129" s="52" t="s">
        <v>113</v>
      </c>
    </row>
    <row r="130" spans="1:6" x14ac:dyDescent="0.3">
      <c r="A130" s="43">
        <v>45925</v>
      </c>
      <c r="B130" t="s">
        <v>98</v>
      </c>
      <c r="C130" s="115">
        <v>200000</v>
      </c>
      <c r="D130" s="47"/>
      <c r="E130" t="s">
        <v>249</v>
      </c>
      <c r="F130" s="52" t="s">
        <v>113</v>
      </c>
    </row>
    <row r="131" spans="1:6" x14ac:dyDescent="0.3">
      <c r="A131" s="104">
        <v>45925</v>
      </c>
      <c r="B131" t="s">
        <v>118</v>
      </c>
      <c r="C131" s="11"/>
      <c r="D131" s="11">
        <v>650</v>
      </c>
      <c r="F131" s="52" t="s">
        <v>113</v>
      </c>
    </row>
    <row r="132" spans="1:6" x14ac:dyDescent="0.3">
      <c r="A132" s="43">
        <v>45925</v>
      </c>
      <c r="B132" t="s">
        <v>159</v>
      </c>
      <c r="C132" s="11">
        <v>100010</v>
      </c>
      <c r="D132" s="11"/>
      <c r="E132" t="s">
        <v>250</v>
      </c>
      <c r="F132" s="52" t="s">
        <v>113</v>
      </c>
    </row>
    <row r="133" spans="1:6" x14ac:dyDescent="0.3">
      <c r="A133" s="104">
        <v>45925</v>
      </c>
      <c r="B133" t="s">
        <v>54</v>
      </c>
      <c r="C133" s="11">
        <v>600</v>
      </c>
      <c r="D133" s="11"/>
      <c r="E133" t="s">
        <v>211</v>
      </c>
      <c r="F133" s="52" t="s">
        <v>113</v>
      </c>
    </row>
    <row r="134" spans="1:6" x14ac:dyDescent="0.3">
      <c r="A134" s="43">
        <v>45925</v>
      </c>
      <c r="B134" t="s">
        <v>50</v>
      </c>
      <c r="C134" s="11">
        <v>100</v>
      </c>
      <c r="D134" s="11"/>
      <c r="E134" t="s">
        <v>251</v>
      </c>
      <c r="F134" s="52" t="s">
        <v>114</v>
      </c>
    </row>
    <row r="135" spans="1:6" x14ac:dyDescent="0.3">
      <c r="A135" s="104">
        <v>45925</v>
      </c>
      <c r="B135" t="s">
        <v>64</v>
      </c>
      <c r="C135" s="11">
        <v>69000</v>
      </c>
      <c r="D135" s="11"/>
      <c r="F135" s="52" t="s">
        <v>113</v>
      </c>
    </row>
    <row r="136" spans="1:6" x14ac:dyDescent="0.3">
      <c r="A136" s="104">
        <v>45925</v>
      </c>
      <c r="B136" t="s">
        <v>125</v>
      </c>
      <c r="C136" s="11">
        <v>24600</v>
      </c>
      <c r="D136" s="11"/>
      <c r="E136" t="s">
        <v>61</v>
      </c>
      <c r="F136" s="52" t="s">
        <v>114</v>
      </c>
    </row>
    <row r="137" spans="1:6" x14ac:dyDescent="0.3">
      <c r="A137" s="43">
        <v>45925</v>
      </c>
      <c r="B137" t="s">
        <v>21</v>
      </c>
      <c r="C137" s="11"/>
      <c r="D137" s="11">
        <v>69000</v>
      </c>
      <c r="E137" t="s">
        <v>64</v>
      </c>
      <c r="F137" s="52" t="s">
        <v>113</v>
      </c>
    </row>
    <row r="138" spans="1:6" x14ac:dyDescent="0.3">
      <c r="A138" s="104">
        <v>45925</v>
      </c>
      <c r="B138" t="s">
        <v>21</v>
      </c>
      <c r="C138" s="47"/>
      <c r="D138" s="47">
        <v>24600</v>
      </c>
      <c r="F138" s="52" t="s">
        <v>113</v>
      </c>
    </row>
    <row r="139" spans="1:6" x14ac:dyDescent="0.3">
      <c r="A139" s="104">
        <v>45925</v>
      </c>
      <c r="B139" t="s">
        <v>119</v>
      </c>
      <c r="C139" s="11">
        <v>15995</v>
      </c>
      <c r="D139" s="11"/>
      <c r="E139" t="s">
        <v>119</v>
      </c>
      <c r="F139" s="52" t="s">
        <v>114</v>
      </c>
    </row>
    <row r="140" spans="1:6" x14ac:dyDescent="0.3">
      <c r="A140" s="43">
        <v>45925</v>
      </c>
      <c r="B140" t="s">
        <v>54</v>
      </c>
      <c r="C140" s="47">
        <v>6708</v>
      </c>
      <c r="D140" s="47"/>
      <c r="E140" t="s">
        <v>206</v>
      </c>
      <c r="F140" s="52" t="s">
        <v>113</v>
      </c>
    </row>
    <row r="141" spans="1:6" x14ac:dyDescent="0.3">
      <c r="A141" s="104">
        <v>45925</v>
      </c>
      <c r="B141" t="s">
        <v>9</v>
      </c>
      <c r="C141" s="11"/>
      <c r="D141" s="11">
        <v>176985</v>
      </c>
      <c r="E141" t="s">
        <v>88</v>
      </c>
      <c r="F141" s="52" t="s">
        <v>113</v>
      </c>
    </row>
    <row r="142" spans="1:6" x14ac:dyDescent="0.3">
      <c r="A142" s="104">
        <v>45925</v>
      </c>
      <c r="B142" t="s">
        <v>50</v>
      </c>
      <c r="C142" s="11">
        <v>200</v>
      </c>
      <c r="D142" s="11"/>
      <c r="E142" t="s">
        <v>256</v>
      </c>
      <c r="F142" s="52" t="s">
        <v>114</v>
      </c>
    </row>
    <row r="143" spans="1:6" x14ac:dyDescent="0.3">
      <c r="A143" s="104">
        <v>45925</v>
      </c>
      <c r="B143" t="s">
        <v>24</v>
      </c>
      <c r="C143" s="11"/>
      <c r="D143" s="11">
        <v>1450000</v>
      </c>
      <c r="F143" s="52" t="s">
        <v>114</v>
      </c>
    </row>
    <row r="144" spans="1:6" x14ac:dyDescent="0.3">
      <c r="A144" s="104">
        <v>45925</v>
      </c>
      <c r="B144" t="s">
        <v>24</v>
      </c>
      <c r="C144" s="11"/>
      <c r="D144" s="11">
        <v>50000</v>
      </c>
      <c r="F144" s="52" t="s">
        <v>113</v>
      </c>
    </row>
    <row r="145" spans="1:6" x14ac:dyDescent="0.3">
      <c r="A145" s="104">
        <v>45926</v>
      </c>
      <c r="B145" t="s">
        <v>23</v>
      </c>
      <c r="C145" s="47"/>
      <c r="D145" s="47">
        <f>101000+1500</f>
        <v>102500</v>
      </c>
      <c r="F145" s="52" t="s">
        <v>113</v>
      </c>
    </row>
    <row r="146" spans="1:6" x14ac:dyDescent="0.3">
      <c r="A146" s="104">
        <v>45926</v>
      </c>
      <c r="B146" t="s">
        <v>54</v>
      </c>
      <c r="C146" s="11">
        <v>1500</v>
      </c>
      <c r="D146" s="11"/>
      <c r="E146" t="s">
        <v>257</v>
      </c>
      <c r="F146" s="52" t="s">
        <v>113</v>
      </c>
    </row>
    <row r="147" spans="1:6" x14ac:dyDescent="0.3">
      <c r="A147" s="104">
        <v>45926</v>
      </c>
      <c r="B147" t="s">
        <v>98</v>
      </c>
      <c r="C147" s="114">
        <v>49400</v>
      </c>
      <c r="D147" s="11"/>
      <c r="E147" t="s">
        <v>258</v>
      </c>
      <c r="F147" s="52" t="s">
        <v>113</v>
      </c>
    </row>
    <row r="148" spans="1:6" x14ac:dyDescent="0.3">
      <c r="A148" s="104">
        <v>45926</v>
      </c>
      <c r="B148" t="s">
        <v>98</v>
      </c>
      <c r="C148" s="114">
        <v>41200</v>
      </c>
      <c r="D148" s="11"/>
      <c r="E148" t="s">
        <v>259</v>
      </c>
      <c r="F148" s="52" t="s">
        <v>113</v>
      </c>
    </row>
    <row r="149" spans="1:6" x14ac:dyDescent="0.3">
      <c r="A149" s="104">
        <v>45926</v>
      </c>
      <c r="B149" t="s">
        <v>54</v>
      </c>
      <c r="C149" s="11">
        <v>5324</v>
      </c>
      <c r="D149" s="11"/>
      <c r="E149" t="s">
        <v>203</v>
      </c>
      <c r="F149" s="52" t="s">
        <v>113</v>
      </c>
    </row>
    <row r="150" spans="1:6" x14ac:dyDescent="0.3">
      <c r="A150" s="104">
        <v>45926</v>
      </c>
      <c r="B150" t="s">
        <v>50</v>
      </c>
      <c r="C150" s="11">
        <v>600</v>
      </c>
      <c r="D150" s="11"/>
      <c r="E150" t="s">
        <v>260</v>
      </c>
      <c r="F150" s="52" t="s">
        <v>114</v>
      </c>
    </row>
    <row r="151" spans="1:6" x14ac:dyDescent="0.3">
      <c r="A151" s="104">
        <v>45926</v>
      </c>
      <c r="B151" t="s">
        <v>54</v>
      </c>
      <c r="C151" s="11">
        <v>500</v>
      </c>
      <c r="D151" s="11"/>
      <c r="E151" t="s">
        <v>245</v>
      </c>
      <c r="F151" s="52" t="s">
        <v>114</v>
      </c>
    </row>
    <row r="152" spans="1:6" x14ac:dyDescent="0.3">
      <c r="A152" s="104">
        <v>45926</v>
      </c>
      <c r="B152" t="s">
        <v>54</v>
      </c>
      <c r="C152" s="11">
        <v>700</v>
      </c>
      <c r="D152" s="11"/>
      <c r="E152" t="s">
        <v>260</v>
      </c>
      <c r="F152" s="52" t="s">
        <v>114</v>
      </c>
    </row>
    <row r="153" spans="1:6" x14ac:dyDescent="0.3">
      <c r="A153" s="104">
        <v>45926</v>
      </c>
      <c r="B153" t="s">
        <v>52</v>
      </c>
      <c r="C153" s="11"/>
      <c r="D153" s="11"/>
      <c r="E153" t="s">
        <v>261</v>
      </c>
      <c r="F153" s="52" t="s">
        <v>114</v>
      </c>
    </row>
    <row r="154" spans="1:6" x14ac:dyDescent="0.3">
      <c r="A154" s="104">
        <v>45926</v>
      </c>
      <c r="B154" t="s">
        <v>21</v>
      </c>
      <c r="C154" s="11"/>
      <c r="D154" s="11">
        <v>20000</v>
      </c>
      <c r="F154" s="52" t="s">
        <v>114</v>
      </c>
    </row>
    <row r="155" spans="1:6" x14ac:dyDescent="0.3">
      <c r="A155" s="104">
        <v>45926</v>
      </c>
      <c r="B155" t="s">
        <v>52</v>
      </c>
      <c r="C155" s="11"/>
      <c r="D155" s="11"/>
      <c r="E155" t="s">
        <v>213</v>
      </c>
      <c r="F155" s="52" t="s">
        <v>114</v>
      </c>
    </row>
    <row r="156" spans="1:6" x14ac:dyDescent="0.3">
      <c r="A156" s="104">
        <v>45926</v>
      </c>
      <c r="B156" t="s">
        <v>52</v>
      </c>
      <c r="C156" s="11"/>
      <c r="D156" s="11"/>
      <c r="E156" t="s">
        <v>262</v>
      </c>
      <c r="F156" s="52" t="s">
        <v>114</v>
      </c>
    </row>
    <row r="157" spans="1:6" x14ac:dyDescent="0.3">
      <c r="A157" s="104">
        <v>45926</v>
      </c>
      <c r="B157" t="s">
        <v>123</v>
      </c>
      <c r="C157" s="11">
        <v>10000</v>
      </c>
      <c r="D157" s="11"/>
      <c r="E157" t="s">
        <v>184</v>
      </c>
      <c r="F157" s="52" t="s">
        <v>114</v>
      </c>
    </row>
    <row r="158" spans="1:6" x14ac:dyDescent="0.3">
      <c r="A158" s="104">
        <v>45926</v>
      </c>
      <c r="B158" t="s">
        <v>98</v>
      </c>
      <c r="C158" s="114">
        <v>305000</v>
      </c>
      <c r="D158" s="11"/>
      <c r="E158" t="s">
        <v>263</v>
      </c>
      <c r="F158" s="52" t="s">
        <v>113</v>
      </c>
    </row>
    <row r="159" spans="1:6" x14ac:dyDescent="0.3">
      <c r="A159" s="43">
        <v>45926</v>
      </c>
      <c r="B159" t="s">
        <v>52</v>
      </c>
      <c r="C159" s="47"/>
      <c r="D159" s="47"/>
      <c r="E159" t="s">
        <v>264</v>
      </c>
      <c r="F159" s="52" t="s">
        <v>114</v>
      </c>
    </row>
    <row r="160" spans="1:6" x14ac:dyDescent="0.3">
      <c r="A160" s="43">
        <v>45926</v>
      </c>
      <c r="B160" t="s">
        <v>21</v>
      </c>
      <c r="C160" s="47"/>
      <c r="D160" s="47">
        <v>82250</v>
      </c>
      <c r="F160" s="52" t="s">
        <v>113</v>
      </c>
    </row>
    <row r="161" spans="1:12" x14ac:dyDescent="0.3">
      <c r="A161" s="104">
        <v>45926</v>
      </c>
      <c r="B161" t="s">
        <v>122</v>
      </c>
      <c r="C161" s="11">
        <v>500000</v>
      </c>
      <c r="D161" s="11"/>
      <c r="E161" t="s">
        <v>64</v>
      </c>
      <c r="F161" s="52" t="s">
        <v>114</v>
      </c>
    </row>
    <row r="162" spans="1:12" x14ac:dyDescent="0.3">
      <c r="A162" s="43">
        <v>45926</v>
      </c>
      <c r="B162" t="s">
        <v>54</v>
      </c>
      <c r="C162" s="47">
        <v>6550</v>
      </c>
      <c r="D162" s="47"/>
      <c r="E162" t="s">
        <v>206</v>
      </c>
      <c r="F162" s="52" t="s">
        <v>113</v>
      </c>
    </row>
    <row r="163" spans="1:12" x14ac:dyDescent="0.3">
      <c r="A163" s="43">
        <v>45926</v>
      </c>
      <c r="B163" t="s">
        <v>223</v>
      </c>
      <c r="C163" s="47">
        <v>5000</v>
      </c>
      <c r="D163" s="47"/>
      <c r="E163" t="s">
        <v>265</v>
      </c>
      <c r="F163" s="52" t="s">
        <v>114</v>
      </c>
      <c r="J163" s="3" t="s">
        <v>6</v>
      </c>
      <c r="K163" t="s">
        <v>126</v>
      </c>
      <c r="L163" t="s">
        <v>127</v>
      </c>
    </row>
    <row r="164" spans="1:12" x14ac:dyDescent="0.3">
      <c r="A164" s="104">
        <v>45926</v>
      </c>
      <c r="B164" t="s">
        <v>64</v>
      </c>
      <c r="C164" s="11">
        <v>87750</v>
      </c>
      <c r="D164" s="11"/>
      <c r="F164" s="52" t="s">
        <v>114</v>
      </c>
      <c r="J164" s="4" t="s">
        <v>123</v>
      </c>
      <c r="K164" s="14"/>
      <c r="L164" s="14">
        <v>63000</v>
      </c>
    </row>
    <row r="165" spans="1:12" x14ac:dyDescent="0.3">
      <c r="A165" s="43">
        <v>45926</v>
      </c>
      <c r="B165" t="s">
        <v>21</v>
      </c>
      <c r="C165" s="47"/>
      <c r="D165" s="47">
        <v>87750</v>
      </c>
      <c r="E165" t="s">
        <v>64</v>
      </c>
      <c r="F165" s="52" t="s">
        <v>114</v>
      </c>
      <c r="J165" s="4" t="s">
        <v>9</v>
      </c>
      <c r="K165" s="14">
        <v>1079491</v>
      </c>
      <c r="L165" s="14"/>
    </row>
    <row r="166" spans="1:12" x14ac:dyDescent="0.3">
      <c r="A166" s="43">
        <v>45926</v>
      </c>
      <c r="B166" t="s">
        <v>121</v>
      </c>
      <c r="C166" s="47">
        <v>940</v>
      </c>
      <c r="D166" s="47"/>
      <c r="E166" t="s">
        <v>220</v>
      </c>
      <c r="F166" s="52" t="s">
        <v>114</v>
      </c>
      <c r="J166" s="4" t="s">
        <v>21</v>
      </c>
      <c r="K166" s="14">
        <v>2366533</v>
      </c>
      <c r="L166" s="14"/>
    </row>
    <row r="167" spans="1:12" x14ac:dyDescent="0.3">
      <c r="A167" s="104">
        <v>45927</v>
      </c>
      <c r="B167" t="s">
        <v>21</v>
      </c>
      <c r="C167" s="11"/>
      <c r="D167" s="11">
        <v>100000</v>
      </c>
      <c r="F167" s="52" t="s">
        <v>113</v>
      </c>
      <c r="J167" s="4" t="s">
        <v>114</v>
      </c>
      <c r="K167" s="14"/>
      <c r="L167" s="14"/>
    </row>
    <row r="168" spans="1:12" x14ac:dyDescent="0.3">
      <c r="A168" s="104">
        <v>45927</v>
      </c>
      <c r="B168" t="s">
        <v>54</v>
      </c>
      <c r="C168" s="11">
        <v>2000</v>
      </c>
      <c r="D168" s="11"/>
      <c r="F168" s="52" t="s">
        <v>113</v>
      </c>
      <c r="J168" s="4" t="s">
        <v>125</v>
      </c>
      <c r="K168" s="14"/>
      <c r="L168" s="14">
        <v>417100</v>
      </c>
    </row>
    <row r="169" spans="1:12" x14ac:dyDescent="0.3">
      <c r="A169" s="104">
        <v>45927</v>
      </c>
      <c r="B169" t="s">
        <v>54</v>
      </c>
      <c r="C169" s="11">
        <v>19200</v>
      </c>
      <c r="D169" s="11"/>
      <c r="E169" t="s">
        <v>268</v>
      </c>
      <c r="F169" s="52" t="s">
        <v>113</v>
      </c>
      <c r="J169" s="4" t="s">
        <v>98</v>
      </c>
      <c r="K169" s="14"/>
      <c r="L169" s="14">
        <v>4068125</v>
      </c>
    </row>
    <row r="170" spans="1:12" x14ac:dyDescent="0.3">
      <c r="A170" s="104">
        <v>45927</v>
      </c>
      <c r="B170" t="s">
        <v>162</v>
      </c>
      <c r="C170" s="11"/>
      <c r="D170" s="11">
        <v>250000</v>
      </c>
      <c r="F170" s="52" t="s">
        <v>113</v>
      </c>
      <c r="J170" s="4" t="s">
        <v>50</v>
      </c>
      <c r="K170" s="14"/>
      <c r="L170" s="14">
        <v>7920</v>
      </c>
    </row>
    <row r="171" spans="1:12" x14ac:dyDescent="0.3">
      <c r="A171" s="104">
        <v>45927</v>
      </c>
      <c r="B171" t="s">
        <v>98</v>
      </c>
      <c r="C171" s="114">
        <v>301000</v>
      </c>
      <c r="D171" s="11"/>
      <c r="E171" t="s">
        <v>269</v>
      </c>
      <c r="F171" s="52" t="s">
        <v>113</v>
      </c>
      <c r="J171" s="4" t="s">
        <v>55</v>
      </c>
      <c r="K171" s="14"/>
      <c r="L171" s="14">
        <v>179957</v>
      </c>
    </row>
    <row r="172" spans="1:12" x14ac:dyDescent="0.3">
      <c r="A172" s="104">
        <v>45927</v>
      </c>
      <c r="B172" t="s">
        <v>98</v>
      </c>
      <c r="C172" s="114">
        <v>33500</v>
      </c>
      <c r="D172" s="11"/>
      <c r="E172" t="s">
        <v>270</v>
      </c>
      <c r="F172" s="52" t="s">
        <v>114</v>
      </c>
      <c r="J172" s="4" t="s">
        <v>119</v>
      </c>
      <c r="K172" s="14"/>
      <c r="L172" s="14">
        <v>49180</v>
      </c>
    </row>
    <row r="173" spans="1:12" x14ac:dyDescent="0.3">
      <c r="A173" s="104">
        <v>45927</v>
      </c>
      <c r="B173" t="s">
        <v>54</v>
      </c>
      <c r="C173" s="11">
        <v>3000</v>
      </c>
      <c r="D173" s="11"/>
      <c r="E173" t="s">
        <v>271</v>
      </c>
      <c r="F173" s="52" t="s">
        <v>114</v>
      </c>
      <c r="J173" s="4" t="s">
        <v>52</v>
      </c>
      <c r="K173" s="14"/>
      <c r="L173" s="14">
        <v>44000</v>
      </c>
    </row>
    <row r="174" spans="1:12" x14ac:dyDescent="0.3">
      <c r="A174" s="104">
        <v>45927</v>
      </c>
      <c r="B174" t="s">
        <v>55</v>
      </c>
      <c r="C174" s="11">
        <v>1250</v>
      </c>
      <c r="D174" s="11"/>
      <c r="F174" s="52" t="s">
        <v>114</v>
      </c>
      <c r="J174" s="4" t="s">
        <v>23</v>
      </c>
      <c r="K174" s="14">
        <v>141300</v>
      </c>
      <c r="L174" s="14"/>
    </row>
    <row r="175" spans="1:12" x14ac:dyDescent="0.3">
      <c r="A175" s="104">
        <v>45927</v>
      </c>
      <c r="B175" t="s">
        <v>114</v>
      </c>
      <c r="C175" s="11"/>
      <c r="D175" s="11"/>
      <c r="F175" s="52" t="s">
        <v>272</v>
      </c>
      <c r="G175">
        <v>30000</v>
      </c>
      <c r="J175" s="4" t="s">
        <v>54</v>
      </c>
      <c r="K175" s="14"/>
      <c r="L175" s="14">
        <v>207592</v>
      </c>
    </row>
    <row r="176" spans="1:12" x14ac:dyDescent="0.3">
      <c r="A176" s="104">
        <v>45927</v>
      </c>
      <c r="B176" t="s">
        <v>123</v>
      </c>
      <c r="C176" s="11">
        <v>20000</v>
      </c>
      <c r="D176" s="11"/>
      <c r="E176" t="s">
        <v>184</v>
      </c>
      <c r="F176" s="52" t="s">
        <v>114</v>
      </c>
      <c r="J176" s="4" t="s">
        <v>121</v>
      </c>
      <c r="K176" s="14">
        <v>48522</v>
      </c>
      <c r="L176" s="14">
        <v>58560</v>
      </c>
    </row>
    <row r="177" spans="1:12" x14ac:dyDescent="0.3">
      <c r="A177" s="104">
        <v>45927</v>
      </c>
      <c r="B177" t="s">
        <v>243</v>
      </c>
      <c r="C177" s="11"/>
      <c r="D177" s="11">
        <v>280000</v>
      </c>
      <c r="F177" s="52" t="s">
        <v>113</v>
      </c>
      <c r="J177" s="4" t="s">
        <v>223</v>
      </c>
      <c r="K177" s="14"/>
      <c r="L177" s="14">
        <v>2700031</v>
      </c>
    </row>
    <row r="178" spans="1:12" x14ac:dyDescent="0.3">
      <c r="A178" s="104">
        <v>45927</v>
      </c>
      <c r="B178" t="s">
        <v>52</v>
      </c>
      <c r="C178" s="11"/>
      <c r="D178" s="11"/>
      <c r="E178" t="s">
        <v>273</v>
      </c>
      <c r="F178" s="52" t="s">
        <v>113</v>
      </c>
      <c r="J178" s="4" t="s">
        <v>118</v>
      </c>
      <c r="K178" s="14">
        <v>22750</v>
      </c>
      <c r="L178" s="14">
        <v>7500</v>
      </c>
    </row>
    <row r="179" spans="1:12" x14ac:dyDescent="0.3">
      <c r="A179" s="104">
        <v>45928</v>
      </c>
      <c r="B179" t="s">
        <v>98</v>
      </c>
      <c r="C179" s="114">
        <v>27300</v>
      </c>
      <c r="D179" s="11"/>
      <c r="E179" t="s">
        <v>275</v>
      </c>
      <c r="F179" s="52" t="s">
        <v>113</v>
      </c>
      <c r="J179" s="4" t="s">
        <v>22</v>
      </c>
      <c r="K179" s="14">
        <v>247550</v>
      </c>
      <c r="L179" s="14"/>
    </row>
    <row r="180" spans="1:12" x14ac:dyDescent="0.3">
      <c r="A180" s="104">
        <v>45928</v>
      </c>
      <c r="B180" t="s">
        <v>98</v>
      </c>
      <c r="C180" s="114">
        <v>40000</v>
      </c>
      <c r="D180" s="11"/>
      <c r="E180" t="s">
        <v>276</v>
      </c>
      <c r="F180" s="52" t="s">
        <v>113</v>
      </c>
      <c r="J180" s="4" t="s">
        <v>108</v>
      </c>
      <c r="K180" s="14"/>
      <c r="L180" s="14"/>
    </row>
    <row r="181" spans="1:12" x14ac:dyDescent="0.3">
      <c r="A181" s="104">
        <v>45928</v>
      </c>
      <c r="B181" t="s">
        <v>26</v>
      </c>
      <c r="C181" s="11"/>
      <c r="D181" s="11">
        <v>200000</v>
      </c>
      <c r="F181" s="52" t="s">
        <v>113</v>
      </c>
      <c r="J181" s="4" t="s">
        <v>25</v>
      </c>
      <c r="K181" s="14">
        <v>400000</v>
      </c>
      <c r="L181" s="14"/>
    </row>
    <row r="182" spans="1:12" x14ac:dyDescent="0.3">
      <c r="A182" s="104">
        <v>45928</v>
      </c>
      <c r="B182" t="s">
        <v>52</v>
      </c>
      <c r="C182" s="11"/>
      <c r="D182" s="11"/>
      <c r="E182" t="s">
        <v>277</v>
      </c>
      <c r="F182" s="52" t="s">
        <v>113</v>
      </c>
      <c r="J182" s="4" t="s">
        <v>24</v>
      </c>
      <c r="K182" s="14">
        <v>4050000</v>
      </c>
      <c r="L182" s="14"/>
    </row>
    <row r="183" spans="1:12" x14ac:dyDescent="0.3">
      <c r="A183" s="104">
        <v>45928</v>
      </c>
      <c r="B183" t="s">
        <v>52</v>
      </c>
      <c r="C183" s="11">
        <v>20000</v>
      </c>
      <c r="D183" s="11"/>
      <c r="E183" t="s">
        <v>230</v>
      </c>
      <c r="F183" s="52" t="s">
        <v>113</v>
      </c>
      <c r="J183" s="4" t="s">
        <v>27</v>
      </c>
      <c r="K183" s="14">
        <v>100000</v>
      </c>
      <c r="L183" s="14"/>
    </row>
    <row r="184" spans="1:12" x14ac:dyDescent="0.3">
      <c r="A184" s="104">
        <v>45928</v>
      </c>
      <c r="B184" t="s">
        <v>21</v>
      </c>
      <c r="C184" s="47"/>
      <c r="D184" s="47">
        <v>20000</v>
      </c>
      <c r="F184" s="52" t="s">
        <v>113</v>
      </c>
      <c r="J184" s="4" t="s">
        <v>122</v>
      </c>
      <c r="K184" s="14"/>
      <c r="L184" s="14">
        <v>500000</v>
      </c>
    </row>
    <row r="185" spans="1:12" x14ac:dyDescent="0.3">
      <c r="A185" s="104">
        <v>45928</v>
      </c>
      <c r="B185" t="s">
        <v>54</v>
      </c>
      <c r="C185" s="11">
        <v>7050</v>
      </c>
      <c r="D185" s="11"/>
      <c r="E185" t="s">
        <v>206</v>
      </c>
      <c r="F185" s="52" t="s">
        <v>113</v>
      </c>
      <c r="J185" s="4" t="s">
        <v>35</v>
      </c>
      <c r="K185" s="14">
        <v>155000</v>
      </c>
      <c r="L185" s="14"/>
    </row>
    <row r="186" spans="1:12" x14ac:dyDescent="0.3">
      <c r="A186" s="104">
        <v>45928</v>
      </c>
      <c r="B186" t="s">
        <v>54</v>
      </c>
      <c r="C186" s="11">
        <v>1000</v>
      </c>
      <c r="D186" s="11"/>
      <c r="E186" t="s">
        <v>278</v>
      </c>
      <c r="F186" s="52" t="s">
        <v>113</v>
      </c>
      <c r="J186" s="4" t="s">
        <v>26</v>
      </c>
      <c r="K186" s="14">
        <v>400000</v>
      </c>
      <c r="L186" s="14"/>
    </row>
    <row r="187" spans="1:12" x14ac:dyDescent="0.3">
      <c r="A187" s="104">
        <v>45928</v>
      </c>
      <c r="B187" t="s">
        <v>118</v>
      </c>
      <c r="C187" s="11">
        <v>1000</v>
      </c>
      <c r="D187" s="11"/>
      <c r="E187" t="s">
        <v>114</v>
      </c>
      <c r="F187" s="52" t="s">
        <v>114</v>
      </c>
      <c r="J187" s="4" t="s">
        <v>159</v>
      </c>
      <c r="K187" s="14"/>
      <c r="L187" s="14">
        <v>420010</v>
      </c>
    </row>
    <row r="188" spans="1:12" x14ac:dyDescent="0.3">
      <c r="A188" s="104">
        <v>45928</v>
      </c>
      <c r="B188" t="s">
        <v>121</v>
      </c>
      <c r="C188" s="11">
        <v>5000</v>
      </c>
      <c r="D188" s="11"/>
      <c r="E188" t="s">
        <v>279</v>
      </c>
      <c r="F188" s="52" t="s">
        <v>114</v>
      </c>
      <c r="J188" s="4" t="s">
        <v>64</v>
      </c>
      <c r="K188" s="14"/>
      <c r="L188" s="14">
        <v>462750</v>
      </c>
    </row>
    <row r="189" spans="1:12" x14ac:dyDescent="0.3">
      <c r="A189" s="104">
        <v>45928</v>
      </c>
      <c r="B189" t="s">
        <v>121</v>
      </c>
      <c r="C189" s="11">
        <v>2320</v>
      </c>
      <c r="D189" s="11"/>
      <c r="E189" t="s">
        <v>280</v>
      </c>
      <c r="F189" s="52" t="s">
        <v>114</v>
      </c>
      <c r="J189" s="4" t="s">
        <v>162</v>
      </c>
      <c r="K189" s="14">
        <v>1000000</v>
      </c>
      <c r="L189" s="14"/>
    </row>
    <row r="190" spans="1:12" x14ac:dyDescent="0.3">
      <c r="A190" s="43">
        <v>45929</v>
      </c>
      <c r="B190" t="s">
        <v>162</v>
      </c>
      <c r="C190" s="47"/>
      <c r="D190" s="47">
        <v>200000</v>
      </c>
      <c r="F190" s="52" t="s">
        <v>113</v>
      </c>
      <c r="J190" s="4" t="s">
        <v>167</v>
      </c>
      <c r="K190" s="14">
        <v>-1203369</v>
      </c>
      <c r="L190" s="14"/>
    </row>
    <row r="191" spans="1:12" x14ac:dyDescent="0.3">
      <c r="A191" s="104">
        <v>45929</v>
      </c>
      <c r="B191" t="s">
        <v>98</v>
      </c>
      <c r="C191" s="11">
        <v>300002</v>
      </c>
      <c r="D191" s="11"/>
      <c r="E191" t="s">
        <v>281</v>
      </c>
      <c r="F191" s="52" t="s">
        <v>113</v>
      </c>
      <c r="J191" s="4" t="s">
        <v>237</v>
      </c>
      <c r="K191" s="14"/>
      <c r="L191" s="14">
        <v>250000</v>
      </c>
    </row>
    <row r="192" spans="1:12" x14ac:dyDescent="0.3">
      <c r="A192" s="43">
        <v>45929</v>
      </c>
      <c r="B192" t="s">
        <v>98</v>
      </c>
      <c r="C192" s="11">
        <v>34700</v>
      </c>
      <c r="D192" s="11"/>
      <c r="E192" t="s">
        <v>282</v>
      </c>
      <c r="F192" s="52" t="s">
        <v>113</v>
      </c>
      <c r="J192" s="4" t="s">
        <v>243</v>
      </c>
      <c r="K192" s="14">
        <v>870000</v>
      </c>
      <c r="L192" s="14"/>
    </row>
    <row r="193" spans="1:12" x14ac:dyDescent="0.3">
      <c r="A193" s="104">
        <v>45929</v>
      </c>
      <c r="B193" t="s">
        <v>52</v>
      </c>
      <c r="C193" s="11"/>
      <c r="D193" s="11"/>
      <c r="E193" t="s">
        <v>283</v>
      </c>
      <c r="F193" s="52" t="s">
        <v>113</v>
      </c>
      <c r="J193" s="4" t="s">
        <v>28</v>
      </c>
      <c r="K193" s="14">
        <v>9677777</v>
      </c>
      <c r="L193" s="14">
        <v>9435725</v>
      </c>
    </row>
    <row r="194" spans="1:12" x14ac:dyDescent="0.3">
      <c r="A194" s="43">
        <v>45929</v>
      </c>
      <c r="B194" t="s">
        <v>121</v>
      </c>
      <c r="C194" s="11">
        <v>3300</v>
      </c>
      <c r="D194" s="11"/>
      <c r="E194" t="s">
        <v>171</v>
      </c>
      <c r="F194" s="52" t="s">
        <v>114</v>
      </c>
    </row>
    <row r="195" spans="1:12" x14ac:dyDescent="0.3">
      <c r="A195" s="104">
        <v>45928</v>
      </c>
      <c r="B195" t="s">
        <v>121</v>
      </c>
      <c r="C195" s="47">
        <v>3300</v>
      </c>
      <c r="D195" s="47"/>
      <c r="E195" t="s">
        <v>171</v>
      </c>
      <c r="F195" s="52" t="s">
        <v>114</v>
      </c>
    </row>
    <row r="196" spans="1:12" x14ac:dyDescent="0.3">
      <c r="A196" s="43">
        <v>45929</v>
      </c>
      <c r="B196" t="s">
        <v>55</v>
      </c>
      <c r="C196" s="11">
        <v>8227</v>
      </c>
      <c r="D196" s="11"/>
      <c r="E196" t="s">
        <v>198</v>
      </c>
      <c r="F196" s="52" t="s">
        <v>113</v>
      </c>
    </row>
    <row r="197" spans="1:12" x14ac:dyDescent="0.3">
      <c r="A197" s="104">
        <v>45929</v>
      </c>
      <c r="B197" t="s">
        <v>98</v>
      </c>
      <c r="C197" s="11">
        <v>8000</v>
      </c>
      <c r="D197" s="11"/>
      <c r="E197" t="s">
        <v>225</v>
      </c>
      <c r="F197" s="52" t="s">
        <v>113</v>
      </c>
    </row>
    <row r="198" spans="1:12" x14ac:dyDescent="0.3">
      <c r="A198" s="43">
        <v>45929</v>
      </c>
      <c r="B198" t="s">
        <v>114</v>
      </c>
      <c r="C198" s="11"/>
      <c r="D198" s="11"/>
      <c r="F198" s="52" t="s">
        <v>272</v>
      </c>
      <c r="G198">
        <v>3000</v>
      </c>
    </row>
    <row r="199" spans="1:12" x14ac:dyDescent="0.3">
      <c r="A199" s="104">
        <v>45929</v>
      </c>
      <c r="B199" t="s">
        <v>54</v>
      </c>
      <c r="C199" s="11">
        <v>2000</v>
      </c>
      <c r="D199" s="11"/>
      <c r="E199" t="s">
        <v>285</v>
      </c>
      <c r="F199" s="52" t="s">
        <v>113</v>
      </c>
    </row>
    <row r="200" spans="1:12" x14ac:dyDescent="0.3">
      <c r="A200" s="43">
        <v>45929</v>
      </c>
      <c r="B200" t="s">
        <v>9</v>
      </c>
      <c r="C200" s="47"/>
      <c r="D200" s="47">
        <v>150000</v>
      </c>
      <c r="E200" t="s">
        <v>286</v>
      </c>
      <c r="F200" s="52" t="s">
        <v>113</v>
      </c>
    </row>
    <row r="201" spans="1:12" x14ac:dyDescent="0.3">
      <c r="A201" s="104">
        <v>45929</v>
      </c>
      <c r="B201" t="s">
        <v>54</v>
      </c>
      <c r="C201" s="11">
        <v>3000</v>
      </c>
      <c r="D201" s="11"/>
      <c r="E201" t="s">
        <v>203</v>
      </c>
      <c r="F201" s="52" t="s">
        <v>287</v>
      </c>
    </row>
    <row r="202" spans="1:12" x14ac:dyDescent="0.3">
      <c r="A202" s="43">
        <v>45929</v>
      </c>
      <c r="B202" t="s">
        <v>288</v>
      </c>
      <c r="C202" s="47">
        <v>10000</v>
      </c>
      <c r="D202" s="47"/>
      <c r="E202" t="s">
        <v>158</v>
      </c>
      <c r="F202" s="52" t="s">
        <v>289</v>
      </c>
    </row>
    <row r="203" spans="1:12" x14ac:dyDescent="0.3">
      <c r="A203" s="104">
        <v>45929</v>
      </c>
      <c r="B203" t="s">
        <v>54</v>
      </c>
      <c r="C203" s="11">
        <v>5700</v>
      </c>
      <c r="D203" s="11"/>
      <c r="E203" t="s">
        <v>206</v>
      </c>
      <c r="F203" s="52" t="s">
        <v>113</v>
      </c>
    </row>
    <row r="204" spans="1:12" x14ac:dyDescent="0.3">
      <c r="A204" s="43">
        <v>45929</v>
      </c>
      <c r="B204" t="s">
        <v>26</v>
      </c>
      <c r="C204" s="47"/>
      <c r="D204" s="47">
        <v>200000</v>
      </c>
      <c r="F204" s="52" t="s">
        <v>289</v>
      </c>
    </row>
    <row r="205" spans="1:12" x14ac:dyDescent="0.3">
      <c r="A205" s="104">
        <v>45930</v>
      </c>
      <c r="B205" t="s">
        <v>98</v>
      </c>
      <c r="C205" s="11">
        <v>41060</v>
      </c>
      <c r="D205" s="11"/>
      <c r="F205" s="52" t="s">
        <v>114</v>
      </c>
    </row>
    <row r="206" spans="1:12" x14ac:dyDescent="0.3">
      <c r="A206" s="104">
        <v>45930</v>
      </c>
      <c r="B206" t="s">
        <v>125</v>
      </c>
      <c r="C206" s="11">
        <v>82000</v>
      </c>
      <c r="D206" s="11"/>
      <c r="E206" t="s">
        <v>197</v>
      </c>
      <c r="F206" s="52" t="s">
        <v>113</v>
      </c>
    </row>
    <row r="207" spans="1:12" x14ac:dyDescent="0.3">
      <c r="A207" s="104">
        <v>45930</v>
      </c>
      <c r="B207" t="s">
        <v>24</v>
      </c>
      <c r="C207" s="11"/>
      <c r="D207" s="11">
        <v>650000</v>
      </c>
      <c r="F207" s="52" t="s">
        <v>113</v>
      </c>
    </row>
    <row r="208" spans="1:12" x14ac:dyDescent="0.3">
      <c r="A208" s="104">
        <v>45930</v>
      </c>
      <c r="B208" t="s">
        <v>24</v>
      </c>
      <c r="C208" s="11"/>
      <c r="D208" s="11">
        <v>400000</v>
      </c>
      <c r="F208" s="52" t="s">
        <v>113</v>
      </c>
    </row>
    <row r="209" spans="1:6" x14ac:dyDescent="0.3">
      <c r="A209" s="104">
        <v>45930</v>
      </c>
      <c r="B209" t="s">
        <v>223</v>
      </c>
      <c r="C209" s="11">
        <v>800000</v>
      </c>
      <c r="D209" s="11"/>
      <c r="E209" t="s">
        <v>290</v>
      </c>
      <c r="F209" s="52" t="s">
        <v>113</v>
      </c>
    </row>
    <row r="210" spans="1:6" x14ac:dyDescent="0.3">
      <c r="A210" s="104">
        <v>45930</v>
      </c>
      <c r="B210" t="s">
        <v>98</v>
      </c>
      <c r="C210" s="11">
        <v>300330</v>
      </c>
      <c r="D210" s="11"/>
      <c r="E210" t="s">
        <v>291</v>
      </c>
      <c r="F210" s="52" t="s">
        <v>113</v>
      </c>
    </row>
    <row r="211" spans="1:6" x14ac:dyDescent="0.3">
      <c r="A211" s="104">
        <v>45930</v>
      </c>
      <c r="B211" t="s">
        <v>9</v>
      </c>
      <c r="C211" s="11"/>
      <c r="D211" s="11">
        <v>70000</v>
      </c>
      <c r="F211" s="52" t="s">
        <v>113</v>
      </c>
    </row>
    <row r="212" spans="1:6" x14ac:dyDescent="0.3">
      <c r="A212" s="104">
        <v>45930</v>
      </c>
      <c r="B212" t="s">
        <v>119</v>
      </c>
      <c r="C212" s="11">
        <v>4000</v>
      </c>
      <c r="D212" s="11"/>
      <c r="E212" t="s">
        <v>292</v>
      </c>
      <c r="F212" s="52" t="s">
        <v>114</v>
      </c>
    </row>
    <row r="213" spans="1:6" x14ac:dyDescent="0.3">
      <c r="A213" s="104">
        <v>45930</v>
      </c>
      <c r="B213" t="s">
        <v>50</v>
      </c>
      <c r="C213" s="47">
        <v>300</v>
      </c>
      <c r="D213" s="47"/>
      <c r="F213" s="52" t="s">
        <v>114</v>
      </c>
    </row>
    <row r="214" spans="1:6" x14ac:dyDescent="0.3">
      <c r="A214" s="104">
        <v>45930</v>
      </c>
      <c r="B214" t="s">
        <v>54</v>
      </c>
      <c r="C214" s="11">
        <v>3350</v>
      </c>
      <c r="D214" s="11"/>
      <c r="E214" t="s">
        <v>206</v>
      </c>
      <c r="F214" s="52" t="s">
        <v>113</v>
      </c>
    </row>
    <row r="215" spans="1:6" x14ac:dyDescent="0.3">
      <c r="A215" s="104">
        <v>45930</v>
      </c>
      <c r="B215" t="s">
        <v>52</v>
      </c>
      <c r="C215" s="11"/>
      <c r="D215" s="11"/>
      <c r="E215" t="s">
        <v>293</v>
      </c>
      <c r="F215" s="52" t="s">
        <v>113</v>
      </c>
    </row>
    <row r="216" spans="1:6" x14ac:dyDescent="0.3">
      <c r="A216" s="104">
        <v>45931</v>
      </c>
      <c r="B216" t="s">
        <v>24</v>
      </c>
      <c r="C216" s="11"/>
      <c r="D216" s="11">
        <v>500000</v>
      </c>
      <c r="F216" s="52" t="s">
        <v>113</v>
      </c>
    </row>
    <row r="217" spans="1:6" x14ac:dyDescent="0.3">
      <c r="A217" s="104">
        <v>45931</v>
      </c>
      <c r="B217" t="s">
        <v>98</v>
      </c>
      <c r="C217" s="11">
        <v>40000</v>
      </c>
      <c r="D217" s="11"/>
      <c r="E217" t="s">
        <v>301</v>
      </c>
      <c r="F217" s="52" t="s">
        <v>114</v>
      </c>
    </row>
    <row r="218" spans="1:6" x14ac:dyDescent="0.3">
      <c r="A218" s="104">
        <v>45931</v>
      </c>
      <c r="B218" t="s">
        <v>98</v>
      </c>
      <c r="C218" s="11">
        <v>62410</v>
      </c>
      <c r="D218" s="11"/>
      <c r="E218" t="s">
        <v>302</v>
      </c>
      <c r="F218" s="52" t="s">
        <v>113</v>
      </c>
    </row>
    <row r="219" spans="1:6" x14ac:dyDescent="0.3">
      <c r="A219" s="104">
        <v>45931</v>
      </c>
      <c r="B219" t="s">
        <v>55</v>
      </c>
      <c r="C219" s="47">
        <v>1550</v>
      </c>
      <c r="D219" s="47"/>
      <c r="E219" t="s">
        <v>303</v>
      </c>
      <c r="F219" s="52" t="s">
        <v>113</v>
      </c>
    </row>
    <row r="220" spans="1:6" x14ac:dyDescent="0.3">
      <c r="A220" s="104">
        <v>45931</v>
      </c>
      <c r="B220" t="s">
        <v>55</v>
      </c>
      <c r="C220" s="11">
        <v>8349</v>
      </c>
      <c r="D220" s="11"/>
      <c r="E220" t="s">
        <v>198</v>
      </c>
      <c r="F220" s="52" t="s">
        <v>113</v>
      </c>
    </row>
    <row r="221" spans="1:6" x14ac:dyDescent="0.3">
      <c r="A221" s="104">
        <v>45931</v>
      </c>
      <c r="B221" t="s">
        <v>55</v>
      </c>
      <c r="C221" s="11">
        <v>4240</v>
      </c>
      <c r="D221" s="11"/>
      <c r="E221" t="s">
        <v>304</v>
      </c>
      <c r="F221" s="52" t="s">
        <v>113</v>
      </c>
    </row>
    <row r="222" spans="1:6" x14ac:dyDescent="0.3">
      <c r="A222" s="104">
        <v>45931</v>
      </c>
      <c r="B222" t="s">
        <v>55</v>
      </c>
      <c r="C222" s="11">
        <v>900</v>
      </c>
      <c r="D222" s="11"/>
      <c r="E222" t="s">
        <v>304</v>
      </c>
      <c r="F222" s="52" t="s">
        <v>113</v>
      </c>
    </row>
    <row r="223" spans="1:6" x14ac:dyDescent="0.3">
      <c r="A223" s="104">
        <v>45931</v>
      </c>
      <c r="B223" t="s">
        <v>121</v>
      </c>
      <c r="C223" s="11">
        <v>6600</v>
      </c>
      <c r="D223" s="11"/>
      <c r="E223" t="s">
        <v>171</v>
      </c>
      <c r="F223" s="52" t="s">
        <v>113</v>
      </c>
    </row>
    <row r="224" spans="1:6" x14ac:dyDescent="0.3">
      <c r="A224" s="104">
        <v>45931</v>
      </c>
      <c r="B224" t="s">
        <v>54</v>
      </c>
      <c r="C224" s="11">
        <v>5100</v>
      </c>
      <c r="D224" s="11"/>
      <c r="E224" t="s">
        <v>158</v>
      </c>
      <c r="F224" s="52" t="s">
        <v>113</v>
      </c>
    </row>
    <row r="225" spans="1:6" x14ac:dyDescent="0.3">
      <c r="A225" s="104">
        <v>45931</v>
      </c>
      <c r="B225" t="s">
        <v>98</v>
      </c>
      <c r="C225" s="11">
        <v>300150</v>
      </c>
      <c r="D225" s="11"/>
      <c r="E225" t="s">
        <v>305</v>
      </c>
      <c r="F225" s="52" t="s">
        <v>113</v>
      </c>
    </row>
    <row r="226" spans="1:6" x14ac:dyDescent="0.3">
      <c r="A226" s="104">
        <v>45931</v>
      </c>
      <c r="B226" t="s">
        <v>23</v>
      </c>
      <c r="C226" s="11"/>
      <c r="D226" s="11">
        <v>38800</v>
      </c>
      <c r="E226" t="s">
        <v>306</v>
      </c>
      <c r="F226" s="52" t="s">
        <v>113</v>
      </c>
    </row>
    <row r="227" spans="1:6" x14ac:dyDescent="0.3">
      <c r="A227" s="104">
        <v>45931</v>
      </c>
      <c r="B227" t="s">
        <v>50</v>
      </c>
      <c r="C227" s="47">
        <v>4200</v>
      </c>
      <c r="D227" s="11"/>
      <c r="E227" t="s">
        <v>307</v>
      </c>
      <c r="F227" s="52" t="s">
        <v>113</v>
      </c>
    </row>
    <row r="228" spans="1:6" x14ac:dyDescent="0.3">
      <c r="A228" s="104">
        <v>45931</v>
      </c>
      <c r="C228" s="47"/>
      <c r="D228" s="47"/>
      <c r="F228" s="52"/>
    </row>
    <row r="229" spans="1:6" x14ac:dyDescent="0.3">
      <c r="A229" s="43"/>
      <c r="C229" s="14">
        <f>SUBTOTAL(109,Table14[Debit])</f>
        <v>9435725</v>
      </c>
      <c r="D229" s="14">
        <f>SUBTOTAL(109,Table14[Credit])</f>
        <v>9677777</v>
      </c>
      <c r="F229" s="62">
        <f>(Table14[[#Totals],[Credit]]-Table14[[#Totals],[Debit]])</f>
        <v>242052</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41"/>
  <sheetViews>
    <sheetView topLeftCell="A3" zoomScale="93" zoomScaleNormal="210" workbookViewId="0">
      <selection activeCell="H23" sqref="H23"/>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76</v>
      </c>
      <c r="B1" s="2" t="s">
        <v>128</v>
      </c>
      <c r="C1" s="2" t="s">
        <v>129</v>
      </c>
      <c r="D1" s="8" t="s">
        <v>4</v>
      </c>
      <c r="E1" s="8" t="s">
        <v>130</v>
      </c>
      <c r="F1" s="8" t="s">
        <v>115</v>
      </c>
      <c r="G1" s="8" t="s">
        <v>96</v>
      </c>
      <c r="H1" s="8" t="s">
        <v>18</v>
      </c>
      <c r="I1" s="8" t="s">
        <v>131</v>
      </c>
    </row>
    <row r="2" spans="1:14" x14ac:dyDescent="0.3">
      <c r="A2" s="93">
        <v>45916</v>
      </c>
      <c r="B2" s="90" t="s">
        <v>64</v>
      </c>
      <c r="C2" s="90"/>
      <c r="D2" s="90"/>
      <c r="E2" s="90"/>
      <c r="F2" s="90" t="s">
        <v>122</v>
      </c>
      <c r="G2" s="90"/>
      <c r="H2" s="90">
        <v>708000</v>
      </c>
      <c r="I2" s="90" t="s">
        <v>182</v>
      </c>
      <c r="K2" t="s">
        <v>76</v>
      </c>
      <c r="L2" t="s">
        <v>45</v>
      </c>
      <c r="M2" t="s">
        <v>36</v>
      </c>
      <c r="N2" t="s">
        <v>5</v>
      </c>
    </row>
    <row r="3" spans="1:14" x14ac:dyDescent="0.3">
      <c r="A3" s="1">
        <v>45919</v>
      </c>
      <c r="B3" t="s">
        <v>204</v>
      </c>
      <c r="E3">
        <v>121000</v>
      </c>
      <c r="G3">
        <v>121000</v>
      </c>
      <c r="H3">
        <f>Table8[[#This Row],[Price]]-Table8[[#This Row],[Paid]]</f>
        <v>0</v>
      </c>
      <c r="I3" t="s">
        <v>205</v>
      </c>
      <c r="K3" s="1"/>
      <c r="L3" t="s">
        <v>132</v>
      </c>
      <c r="N3" s="11">
        <f t="shared" ref="N3" si="0">47000+28750</f>
        <v>75750</v>
      </c>
    </row>
    <row r="4" spans="1:14" x14ac:dyDescent="0.3">
      <c r="A4" s="1">
        <v>45922</v>
      </c>
      <c r="B4" t="s">
        <v>64</v>
      </c>
      <c r="E4">
        <v>138000</v>
      </c>
      <c r="G4">
        <v>138000</v>
      </c>
      <c r="H4">
        <f>Table8[[#This Row],[Price]]-Table8[[#This Row],[Paid]]</f>
        <v>0</v>
      </c>
      <c r="K4" s="1"/>
      <c r="N4" s="11"/>
    </row>
    <row r="5" spans="1:14" x14ac:dyDescent="0.3">
      <c r="A5" s="1">
        <v>45926</v>
      </c>
      <c r="B5" t="s">
        <v>64</v>
      </c>
      <c r="F5" t="s">
        <v>122</v>
      </c>
      <c r="G5">
        <f>SUMIFS(Table14[Debit], Table14[Date], Table8[[#This Row],[Date]], Table14[Party], Table8[[#This Row],[Party]])</f>
        <v>500000</v>
      </c>
      <c r="H5">
        <f>Table8[[#This Row],[Price]]-Table8[[#This Row],[Paid]]</f>
        <v>-500000</v>
      </c>
      <c r="I5" t="s">
        <v>266</v>
      </c>
      <c r="K5" s="1"/>
      <c r="N5" s="14">
        <f>SUM(Table7[Total])</f>
        <v>75750</v>
      </c>
    </row>
    <row r="6" spans="1:14" x14ac:dyDescent="0.3">
      <c r="A6" s="1">
        <v>45926</v>
      </c>
      <c r="B6" t="s">
        <v>64</v>
      </c>
      <c r="E6">
        <v>87750</v>
      </c>
      <c r="G6">
        <v>87750</v>
      </c>
      <c r="H6">
        <f>Table8[[#This Row],[Price]]-Table8[[#This Row],[Paid]]</f>
        <v>0</v>
      </c>
    </row>
    <row r="7" spans="1:14" x14ac:dyDescent="0.3">
      <c r="A7" s="1">
        <v>45927</v>
      </c>
      <c r="B7" t="s">
        <v>133</v>
      </c>
      <c r="C7">
        <v>2</v>
      </c>
      <c r="D7">
        <v>1130</v>
      </c>
      <c r="E7">
        <f>Table8[[#This Row],[Boxes]]*Table8[[#This Row],[Rate]]*25</f>
        <v>56500</v>
      </c>
      <c r="F7" t="s">
        <v>122</v>
      </c>
      <c r="H7">
        <f>Table8[[#This Row],[Price]]-Table8[[#This Row],[Paid]]</f>
        <v>56500</v>
      </c>
      <c r="K7" s="3" t="s">
        <v>115</v>
      </c>
      <c r="L7" t="s">
        <v>122</v>
      </c>
    </row>
    <row r="8" spans="1:14" x14ac:dyDescent="0.3">
      <c r="A8" s="1">
        <v>45927</v>
      </c>
      <c r="B8" t="s">
        <v>134</v>
      </c>
      <c r="C8">
        <v>2</v>
      </c>
      <c r="D8">
        <v>1140</v>
      </c>
      <c r="E8">
        <f>Table8[[#This Row],[Boxes]]*Table8[[#This Row],[Rate]]*25</f>
        <v>57000</v>
      </c>
      <c r="F8" t="s">
        <v>122</v>
      </c>
      <c r="H8">
        <f>Table8[[#This Row],[Price]]-Table8[[#This Row],[Paid]]</f>
        <v>57000</v>
      </c>
    </row>
    <row r="9" spans="1:14" x14ac:dyDescent="0.3">
      <c r="A9" s="1">
        <v>45927</v>
      </c>
      <c r="B9" t="s">
        <v>156</v>
      </c>
      <c r="C9">
        <v>2</v>
      </c>
      <c r="D9">
        <v>1140</v>
      </c>
      <c r="E9">
        <f>Table8[[#This Row],[Boxes]]*Table8[[#This Row],[Rate]]*25</f>
        <v>57000</v>
      </c>
      <c r="F9" t="s">
        <v>122</v>
      </c>
      <c r="H9">
        <f>Table8[[#This Row],[Price]]-Table8[[#This Row],[Paid]]</f>
        <v>57000</v>
      </c>
      <c r="K9" s="3" t="s">
        <v>6</v>
      </c>
      <c r="L9" t="s">
        <v>135</v>
      </c>
      <c r="M9" t="s">
        <v>136</v>
      </c>
    </row>
    <row r="10" spans="1:14" x14ac:dyDescent="0.3">
      <c r="A10" s="1">
        <v>45927</v>
      </c>
      <c r="B10" t="s">
        <v>138</v>
      </c>
      <c r="C10">
        <v>2</v>
      </c>
      <c r="D10">
        <v>1650</v>
      </c>
      <c r="E10">
        <f>Table8[[#This Row],[Boxes]]*Table8[[#This Row],[Rate]]*25</f>
        <v>82500</v>
      </c>
      <c r="F10" t="s">
        <v>122</v>
      </c>
      <c r="H10">
        <f>Table8[[#This Row],[Price]]-Table8[[#This Row],[Paid]]</f>
        <v>82500</v>
      </c>
      <c r="K10" s="27">
        <v>45916</v>
      </c>
      <c r="M10">
        <v>708000</v>
      </c>
    </row>
    <row r="11" spans="1:14" x14ac:dyDescent="0.3">
      <c r="A11" s="1">
        <v>45927</v>
      </c>
      <c r="B11" t="s">
        <v>155</v>
      </c>
      <c r="C11">
        <v>2</v>
      </c>
      <c r="D11">
        <v>1300</v>
      </c>
      <c r="E11">
        <f>Table8[[#This Row],[Boxes]]*Table8[[#This Row],[Rate]]*25</f>
        <v>65000</v>
      </c>
      <c r="F11" t="s">
        <v>122</v>
      </c>
      <c r="H11">
        <f>Table8[[#This Row],[Price]]-Table8[[#This Row],[Paid]]</f>
        <v>65000</v>
      </c>
      <c r="K11" s="27">
        <v>45926</v>
      </c>
      <c r="M11">
        <v>-500000</v>
      </c>
    </row>
    <row r="12" spans="1:14" x14ac:dyDescent="0.3">
      <c r="A12" s="1">
        <v>45927</v>
      </c>
      <c r="B12" t="s">
        <v>141</v>
      </c>
      <c r="C12">
        <v>1</v>
      </c>
      <c r="D12">
        <v>1650</v>
      </c>
      <c r="E12">
        <f>Table8[[#This Row],[Boxes]]*Table8[[#This Row],[Rate]]*25</f>
        <v>41250</v>
      </c>
      <c r="F12" t="s">
        <v>122</v>
      </c>
      <c r="H12">
        <f>Table8[[#This Row],[Price]]-Table8[[#This Row],[Paid]]</f>
        <v>41250</v>
      </c>
      <c r="K12" s="27">
        <v>45927</v>
      </c>
      <c r="L12">
        <v>432125</v>
      </c>
      <c r="M12">
        <v>432125</v>
      </c>
    </row>
    <row r="13" spans="1:14" x14ac:dyDescent="0.3">
      <c r="A13" s="1">
        <v>45927</v>
      </c>
      <c r="B13" t="s">
        <v>274</v>
      </c>
      <c r="C13">
        <v>1</v>
      </c>
      <c r="D13">
        <v>1140</v>
      </c>
      <c r="E13">
        <f>Table8[[#This Row],[Boxes]]*Table8[[#This Row],[Rate]]*25</f>
        <v>28500</v>
      </c>
      <c r="F13" t="s">
        <v>122</v>
      </c>
      <c r="H13">
        <f>Table8[[#This Row],[Price]]-Table8[[#This Row],[Paid]]</f>
        <v>28500</v>
      </c>
      <c r="K13" s="4" t="s">
        <v>28</v>
      </c>
      <c r="L13">
        <v>432125</v>
      </c>
      <c r="M13">
        <v>640125</v>
      </c>
    </row>
    <row r="14" spans="1:14" x14ac:dyDescent="0.3">
      <c r="A14" s="1">
        <v>45927</v>
      </c>
      <c r="B14" t="s">
        <v>180</v>
      </c>
      <c r="C14">
        <v>1</v>
      </c>
      <c r="D14">
        <v>1775</v>
      </c>
      <c r="E14">
        <f>Table8[[#This Row],[Boxes]]*Table8[[#This Row],[Rate]]*25</f>
        <v>44375</v>
      </c>
      <c r="F14" t="s">
        <v>122</v>
      </c>
      <c r="H14">
        <f>Table8[[#This Row],[Price]]-Table8[[#This Row],[Paid]]</f>
        <v>44375</v>
      </c>
    </row>
    <row r="15" spans="1:14" x14ac:dyDescent="0.3">
      <c r="E15">
        <f>SUBTOTAL(109,Table8[Price])</f>
        <v>778875</v>
      </c>
      <c r="H15">
        <f>SUBTOTAL(109,Table8[Balance])</f>
        <v>640125</v>
      </c>
    </row>
    <row r="17" spans="12:16" x14ac:dyDescent="0.3">
      <c r="L17" t="s">
        <v>181</v>
      </c>
    </row>
    <row r="18" spans="12:16" x14ac:dyDescent="0.3">
      <c r="L18" t="s">
        <v>57</v>
      </c>
      <c r="M18" t="s">
        <v>174</v>
      </c>
      <c r="N18" t="s">
        <v>175</v>
      </c>
      <c r="O18" t="s">
        <v>4</v>
      </c>
      <c r="P18" t="s">
        <v>176</v>
      </c>
    </row>
    <row r="19" spans="12:16" x14ac:dyDescent="0.3">
      <c r="L19" t="s">
        <v>139</v>
      </c>
      <c r="M19">
        <v>1</v>
      </c>
      <c r="N19">
        <v>25</v>
      </c>
      <c r="O19">
        <v>1400</v>
      </c>
      <c r="P19">
        <v>35000</v>
      </c>
    </row>
    <row r="20" spans="12:16" x14ac:dyDescent="0.3">
      <c r="L20" t="s">
        <v>137</v>
      </c>
      <c r="M20">
        <v>1</v>
      </c>
      <c r="N20">
        <v>25</v>
      </c>
      <c r="O20">
        <v>1340</v>
      </c>
      <c r="P20">
        <v>33500</v>
      </c>
    </row>
    <row r="21" spans="12:16" x14ac:dyDescent="0.3">
      <c r="L21" t="s">
        <v>156</v>
      </c>
      <c r="M21">
        <v>2</v>
      </c>
      <c r="N21">
        <v>50</v>
      </c>
      <c r="O21">
        <v>1140</v>
      </c>
      <c r="P21">
        <v>57000</v>
      </c>
    </row>
    <row r="22" spans="12:16" x14ac:dyDescent="0.3">
      <c r="L22" t="s">
        <v>134</v>
      </c>
      <c r="M22">
        <v>1</v>
      </c>
      <c r="N22">
        <v>25</v>
      </c>
      <c r="O22">
        <v>1140</v>
      </c>
      <c r="P22">
        <v>28500</v>
      </c>
    </row>
    <row r="23" spans="12:16" x14ac:dyDescent="0.3">
      <c r="L23" t="s">
        <v>133</v>
      </c>
      <c r="M23">
        <v>2</v>
      </c>
      <c r="N23">
        <v>50</v>
      </c>
      <c r="O23">
        <v>1130</v>
      </c>
      <c r="P23">
        <v>56500</v>
      </c>
    </row>
    <row r="24" spans="12:16" x14ac:dyDescent="0.3">
      <c r="L24" t="s">
        <v>155</v>
      </c>
      <c r="M24">
        <v>1</v>
      </c>
      <c r="N24">
        <v>25</v>
      </c>
      <c r="O24">
        <v>1300</v>
      </c>
      <c r="P24">
        <v>32500</v>
      </c>
    </row>
    <row r="25" spans="12:16" x14ac:dyDescent="0.3">
      <c r="L25" t="s">
        <v>140</v>
      </c>
      <c r="M25">
        <v>1</v>
      </c>
      <c r="N25">
        <v>25</v>
      </c>
      <c r="O25">
        <v>1450</v>
      </c>
      <c r="P25">
        <v>36250</v>
      </c>
    </row>
    <row r="26" spans="12:16" x14ac:dyDescent="0.3">
      <c r="L26" t="s">
        <v>177</v>
      </c>
      <c r="N26">
        <v>6</v>
      </c>
      <c r="O26">
        <v>940</v>
      </c>
      <c r="P26">
        <v>5640</v>
      </c>
    </row>
    <row r="27" spans="12:16" x14ac:dyDescent="0.3">
      <c r="L27" t="s">
        <v>133</v>
      </c>
      <c r="N27">
        <v>8</v>
      </c>
      <c r="O27">
        <v>1130</v>
      </c>
      <c r="P27">
        <v>9040</v>
      </c>
    </row>
    <row r="28" spans="12:16" x14ac:dyDescent="0.3">
      <c r="L28" t="s">
        <v>155</v>
      </c>
      <c r="N28">
        <v>10</v>
      </c>
      <c r="O28">
        <v>1300</v>
      </c>
      <c r="P28">
        <v>13000</v>
      </c>
    </row>
    <row r="29" spans="12:16" x14ac:dyDescent="0.3">
      <c r="L29" t="s">
        <v>141</v>
      </c>
      <c r="N29">
        <v>9</v>
      </c>
      <c r="O29">
        <v>1650</v>
      </c>
      <c r="P29">
        <v>14850</v>
      </c>
    </row>
    <row r="30" spans="12:16" x14ac:dyDescent="0.3">
      <c r="L30" t="s">
        <v>137</v>
      </c>
      <c r="N30">
        <v>5</v>
      </c>
      <c r="O30">
        <v>1340</v>
      </c>
      <c r="P30">
        <v>6700</v>
      </c>
    </row>
    <row r="31" spans="12:16" x14ac:dyDescent="0.3">
      <c r="L31" t="s">
        <v>140</v>
      </c>
      <c r="N31">
        <v>20</v>
      </c>
      <c r="O31">
        <v>1450</v>
      </c>
      <c r="P31">
        <v>29000</v>
      </c>
    </row>
    <row r="32" spans="12:16" x14ac:dyDescent="0.3">
      <c r="L32" t="s">
        <v>139</v>
      </c>
      <c r="N32">
        <v>8</v>
      </c>
      <c r="O32">
        <v>1400</v>
      </c>
      <c r="P32">
        <v>11200</v>
      </c>
    </row>
    <row r="33" spans="12:16" x14ac:dyDescent="0.3">
      <c r="L33" t="s">
        <v>178</v>
      </c>
      <c r="N33">
        <v>2</v>
      </c>
      <c r="O33">
        <v>1000</v>
      </c>
      <c r="P33">
        <v>2000</v>
      </c>
    </row>
    <row r="34" spans="12:16" x14ac:dyDescent="0.3">
      <c r="L34" t="s">
        <v>138</v>
      </c>
      <c r="N34">
        <v>20</v>
      </c>
      <c r="O34">
        <v>1650</v>
      </c>
      <c r="P34">
        <v>33000</v>
      </c>
    </row>
    <row r="35" spans="12:16" x14ac:dyDescent="0.3">
      <c r="L35" t="s">
        <v>120</v>
      </c>
      <c r="N35">
        <v>15</v>
      </c>
      <c r="O35">
        <v>1130</v>
      </c>
      <c r="P35">
        <v>16950</v>
      </c>
    </row>
    <row r="36" spans="12:16" x14ac:dyDescent="0.3">
      <c r="L36" t="s">
        <v>163</v>
      </c>
      <c r="N36">
        <v>25</v>
      </c>
      <c r="O36">
        <v>3100</v>
      </c>
      <c r="P36">
        <v>77500</v>
      </c>
    </row>
    <row r="37" spans="12:16" x14ac:dyDescent="0.3">
      <c r="L37" t="s">
        <v>134</v>
      </c>
      <c r="N37">
        <v>10</v>
      </c>
      <c r="O37">
        <v>1140</v>
      </c>
      <c r="P37">
        <v>11400</v>
      </c>
    </row>
    <row r="38" spans="12:16" x14ac:dyDescent="0.3">
      <c r="L38" t="s">
        <v>156</v>
      </c>
      <c r="N38">
        <v>5</v>
      </c>
      <c r="O38">
        <v>1140</v>
      </c>
      <c r="P38">
        <v>5700</v>
      </c>
    </row>
    <row r="39" spans="12:16" x14ac:dyDescent="0.3">
      <c r="L39" t="s">
        <v>179</v>
      </c>
      <c r="N39">
        <v>9</v>
      </c>
      <c r="O39">
        <v>1000</v>
      </c>
      <c r="P39">
        <v>9000</v>
      </c>
    </row>
    <row r="40" spans="12:16" x14ac:dyDescent="0.3">
      <c r="L40" t="s">
        <v>180</v>
      </c>
      <c r="N40">
        <v>10</v>
      </c>
      <c r="O40">
        <v>1000</v>
      </c>
      <c r="P40">
        <v>10000</v>
      </c>
    </row>
    <row r="41" spans="12:16" x14ac:dyDescent="0.3">
      <c r="P41">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3"/>
  <sheetViews>
    <sheetView workbookViewId="0">
      <selection activeCell="F12" sqref="F12"/>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76</v>
      </c>
      <c r="B4" s="8" t="s">
        <v>2</v>
      </c>
      <c r="C4" s="2" t="s">
        <v>142</v>
      </c>
      <c r="D4" s="2" t="s">
        <v>129</v>
      </c>
      <c r="E4" s="8" t="s">
        <v>143</v>
      </c>
      <c r="F4" s="8" t="s">
        <v>130</v>
      </c>
      <c r="G4" s="8" t="s">
        <v>96</v>
      </c>
      <c r="H4" s="8" t="s">
        <v>18</v>
      </c>
      <c r="J4" s="3" t="s">
        <v>6</v>
      </c>
      <c r="K4" t="s">
        <v>135</v>
      </c>
      <c r="L4" t="s">
        <v>106</v>
      </c>
      <c r="M4" t="s">
        <v>136</v>
      </c>
    </row>
    <row r="5" spans="1:13" x14ac:dyDescent="0.3">
      <c r="A5" s="93">
        <v>45916</v>
      </c>
      <c r="B5" s="93" t="s">
        <v>125</v>
      </c>
      <c r="C5" s="90" t="s">
        <v>164</v>
      </c>
      <c r="D5" s="90"/>
      <c r="E5" s="90"/>
      <c r="F5" s="90">
        <f>Table2[[#This Row],[Quantity]]*250</f>
        <v>0</v>
      </c>
      <c r="G5" s="90">
        <f>SUMIFS(Table14[Debit], Table14[Date], Table2[[#This Row],[Date]], Table14[Party], Table2[[#This Row],[Party Name]],Table14[Description],Table2[[#This Row],[Item]])</f>
        <v>0</v>
      </c>
      <c r="H5" s="90">
        <v>310500</v>
      </c>
      <c r="J5" s="4" t="s">
        <v>108</v>
      </c>
      <c r="K5">
        <v>0</v>
      </c>
      <c r="L5">
        <v>0</v>
      </c>
      <c r="M5">
        <v>0</v>
      </c>
    </row>
    <row r="6" spans="1:13" x14ac:dyDescent="0.3">
      <c r="A6" s="93">
        <v>45916</v>
      </c>
      <c r="B6" s="93" t="s">
        <v>124</v>
      </c>
      <c r="C6" s="90" t="s">
        <v>164</v>
      </c>
      <c r="D6" s="90"/>
      <c r="E6" s="90"/>
      <c r="F6" s="90">
        <f>Table2[[#This Row],[Quantity]]*250</f>
        <v>0</v>
      </c>
      <c r="G6" s="90">
        <f>SUMIFS(Table14[Debit], Table14[Date], Table2[[#This Row],[Date]], Table14[Party], Table2[[#This Row],[Party Name]],Table14[Description],Table2[[#This Row],[Item]])</f>
        <v>0</v>
      </c>
      <c r="H6" s="90">
        <v>-5000</v>
      </c>
      <c r="J6" s="4" t="s">
        <v>124</v>
      </c>
      <c r="K6">
        <v>0</v>
      </c>
      <c r="L6">
        <v>0</v>
      </c>
      <c r="M6">
        <v>-5000</v>
      </c>
    </row>
    <row r="7" spans="1:13" x14ac:dyDescent="0.3">
      <c r="A7" s="1">
        <v>45920</v>
      </c>
      <c r="B7" s="1" t="s">
        <v>215</v>
      </c>
      <c r="C7" t="s">
        <v>216</v>
      </c>
      <c r="E7">
        <v>250</v>
      </c>
      <c r="F7">
        <f>Table2[[#This Row],[Quantity]]*250</f>
        <v>62500</v>
      </c>
      <c r="G7">
        <f>SUMIFS(Table14[Debit], Table14[Date], Table2[[#This Row],[Date]], Table14[Party], Table2[[#This Row],[Party Name]],Table14[Description],Table2[[#This Row],[Item]])</f>
        <v>0</v>
      </c>
      <c r="H7">
        <f>Table2[[#This Row],[Price]]-Table2[[#This Row],[Paid]]</f>
        <v>62500</v>
      </c>
      <c r="J7" s="4" t="s">
        <v>125</v>
      </c>
      <c r="K7">
        <v>106600</v>
      </c>
      <c r="L7">
        <v>417100</v>
      </c>
      <c r="M7">
        <v>0</v>
      </c>
    </row>
    <row r="8" spans="1:13" x14ac:dyDescent="0.3">
      <c r="A8" s="1">
        <v>45922</v>
      </c>
      <c r="B8" s="1" t="s">
        <v>125</v>
      </c>
      <c r="C8" t="s">
        <v>61</v>
      </c>
      <c r="F8">
        <f>Table2[[#This Row],[Quantity]]*250</f>
        <v>0</v>
      </c>
      <c r="G8">
        <f>SUMIFS(Table14[Debit], Table14[Date], Table2[[#This Row],[Date]], Table14[Party], Table2[[#This Row],[Party Name]],Table14[Description],Table2[[#This Row],[Item]])</f>
        <v>310500</v>
      </c>
      <c r="H8">
        <f>Table2[[#This Row],[Price]]-Table2[[#This Row],[Paid]]</f>
        <v>-310500</v>
      </c>
      <c r="J8" s="4" t="s">
        <v>215</v>
      </c>
      <c r="K8">
        <v>62500</v>
      </c>
      <c r="L8">
        <v>0</v>
      </c>
      <c r="M8">
        <v>62500</v>
      </c>
    </row>
    <row r="9" spans="1:13" x14ac:dyDescent="0.3">
      <c r="A9" s="1">
        <v>45925</v>
      </c>
      <c r="B9" s="1" t="s">
        <v>125</v>
      </c>
      <c r="C9" t="s">
        <v>61</v>
      </c>
      <c r="F9">
        <v>24600</v>
      </c>
      <c r="G9">
        <f>SUMIFS(Table14[Debit], Table14[Date], Table2[[#This Row],[Date]], Table14[Party], Table2[[#This Row],[Party Name]],Table14[Description],Table2[[#This Row],[Item]])</f>
        <v>24600</v>
      </c>
      <c r="H9">
        <f>Table2[[#This Row],[Price]]-Table2[[#This Row],[Paid]]</f>
        <v>0</v>
      </c>
      <c r="J9" s="4" t="s">
        <v>28</v>
      </c>
      <c r="K9">
        <v>169100</v>
      </c>
      <c r="L9">
        <v>417100</v>
      </c>
      <c r="M9">
        <v>57500</v>
      </c>
    </row>
    <row r="10" spans="1:13" x14ac:dyDescent="0.3">
      <c r="A10" s="1">
        <v>45925</v>
      </c>
      <c r="B10" s="1" t="s">
        <v>125</v>
      </c>
      <c r="C10" t="s">
        <v>267</v>
      </c>
      <c r="D10">
        <v>45</v>
      </c>
      <c r="F10">
        <f>Table2[[#This Row],[Quantity]]*250</f>
        <v>0</v>
      </c>
      <c r="G10">
        <f>SUMIFS(Table14[Debit], Table14[Date], Table2[[#This Row],[Date]], Table14[Party], Table2[[#This Row],[Party Name]],Table14[Description],Table2[[#This Row],[Item]])</f>
        <v>0</v>
      </c>
      <c r="H10">
        <f>Table2[[#This Row],[Price]]-Table2[[#This Row],[Paid]]</f>
        <v>0</v>
      </c>
    </row>
    <row r="11" spans="1:13" x14ac:dyDescent="0.3">
      <c r="A11" s="1">
        <v>45930</v>
      </c>
      <c r="B11" s="1" t="s">
        <v>125</v>
      </c>
      <c r="C11" t="s">
        <v>197</v>
      </c>
      <c r="F11">
        <v>82000</v>
      </c>
      <c r="G11">
        <f>SUMIFS(Table14[Debit], Table14[Date], Table2[[#This Row],[Date]], Table14[Party], Table2[[#This Row],[Party Name]],Table14[Description],Table2[[#This Row],[Item]])</f>
        <v>82000</v>
      </c>
      <c r="H11">
        <f>Table2[[#This Row],[Price]]-Table2[[#This Row],[Paid]]</f>
        <v>0</v>
      </c>
    </row>
    <row r="12" spans="1:13" x14ac:dyDescent="0.3">
      <c r="A12" s="1"/>
      <c r="B12" s="1"/>
      <c r="F12">
        <f>Table2[[#This Row],[Quantity]]*250</f>
        <v>0</v>
      </c>
      <c r="G12">
        <f>SUMIFS(Table14[Debit], Table14[Date], Table2[[#This Row],[Date]], Table14[Party], Table2[[#This Row],[Party Name]],Table14[Description],Table2[[#This Row],[Item]])</f>
        <v>0</v>
      </c>
      <c r="H12">
        <f>Table2[[#This Row],[Price]]-Table2[[#This Row],[Paid]]</f>
        <v>0</v>
      </c>
    </row>
    <row r="13" spans="1:13" x14ac:dyDescent="0.3">
      <c r="A13" s="1"/>
      <c r="F13">
        <f>SUBTOTAL(109,Table2[Price])</f>
        <v>169100</v>
      </c>
      <c r="G13">
        <f>SUBTOTAL(109,Table2[Paid])</f>
        <v>417100</v>
      </c>
      <c r="H13">
        <f>SUBTOTAL(109,Table2[Balance])</f>
        <v>57500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76</v>
      </c>
      <c r="C2" t="s">
        <v>144</v>
      </c>
      <c r="D2" t="s">
        <v>145</v>
      </c>
      <c r="E2" t="s">
        <v>5</v>
      </c>
    </row>
    <row r="3" spans="2:5" x14ac:dyDescent="0.3">
      <c r="B3" s="19" t="s">
        <v>146</v>
      </c>
      <c r="C3" s="19" t="s">
        <v>101</v>
      </c>
      <c r="D3" s="19" t="s">
        <v>101</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76</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J37"/>
  <sheetViews>
    <sheetView topLeftCell="A2" zoomScale="118" workbookViewId="0">
      <selection activeCell="D10" sqref="D10"/>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0" x14ac:dyDescent="0.3">
      <c r="B2" t="s">
        <v>76</v>
      </c>
      <c r="C2" t="s">
        <v>46</v>
      </c>
      <c r="D2" t="s">
        <v>66</v>
      </c>
      <c r="E2" t="s">
        <v>67</v>
      </c>
      <c r="H2" t="s">
        <v>76</v>
      </c>
      <c r="I2" t="s">
        <v>147</v>
      </c>
      <c r="J2" t="s">
        <v>148</v>
      </c>
    </row>
    <row r="3" spans="2:10" x14ac:dyDescent="0.3">
      <c r="B3" s="1">
        <v>45916</v>
      </c>
      <c r="C3" s="20">
        <f>SUMIFS(Table14[Debit], Table14[Date], Table11[[#This Row],[Date]], Table14[Party],"Salary ", Table14[Description],Table11[[#This Row],[Column1]])</f>
        <v>0</v>
      </c>
      <c r="H3" s="1">
        <v>45916</v>
      </c>
      <c r="I3">
        <f>SUMIFS(Table14[Debit], Table14[Date], Table16[[#This Row],[Date]], Table14[Party], "Advance Salary", Table14[Description], Table16[[#This Row],[Person]] )</f>
        <v>4000</v>
      </c>
      <c r="J3" t="s">
        <v>184</v>
      </c>
    </row>
    <row r="4" spans="2:10" x14ac:dyDescent="0.3">
      <c r="B4" s="1">
        <v>45917</v>
      </c>
      <c r="C4" s="20">
        <f>SUMIFS(Table14[Debit], Table14[Date], Table11[[#This Row],[Date]], Table14[Party],"Salary ", Table14[Description],Table11[[#This Row],[Column1]])</f>
        <v>0</v>
      </c>
      <c r="H4" s="1">
        <v>45917</v>
      </c>
      <c r="I4">
        <f>SUMIFS(Table14[Debit], Table14[Date], Table16[[#This Row],[Date]], Table14[Party], "Advance Salary", Table14[Description], Table16[[#This Row],[Person]] )</f>
        <v>10000</v>
      </c>
      <c r="J4" s="111" t="s">
        <v>185</v>
      </c>
    </row>
    <row r="5" spans="2:10" x14ac:dyDescent="0.3">
      <c r="B5" s="1">
        <v>45918</v>
      </c>
      <c r="C5" s="20">
        <f>SUMIFS(Table14[Debit], Table14[Date], Table11[[#This Row],[Date]], Table14[Party],"Salary ", Table14[Description],Table11[[#This Row],[Column1]])</f>
        <v>0</v>
      </c>
      <c r="H5" s="1">
        <v>45918</v>
      </c>
      <c r="I5">
        <f>SUMIFS(Table14[Debit], Table14[Date], Table16[[#This Row],[Date]], Table14[Party], "Advance Salary", Table14[Description], Table16[[#This Row],[Person]] )</f>
        <v>0</v>
      </c>
    </row>
    <row r="6" spans="2:10" x14ac:dyDescent="0.3">
      <c r="B6" s="1">
        <v>45919</v>
      </c>
      <c r="C6" s="20">
        <f>SUMIFS(Table14[Debit], Table14[Date], Table11[[#This Row],[Date]], Table14[Party],"Salary ", Table14[Description],Table11[[#This Row],[Column1]])</f>
        <v>0</v>
      </c>
      <c r="H6" s="1">
        <v>45919</v>
      </c>
      <c r="I6">
        <f>SUMIFS(Table14[Debit], Table14[Date], Table16[[#This Row],[Date]], Table14[Party], "Advance Salary", Table14[Description], Table16[[#This Row],[Person]] )</f>
        <v>0</v>
      </c>
    </row>
    <row r="7" spans="2:10" x14ac:dyDescent="0.3">
      <c r="B7" s="1">
        <v>45920</v>
      </c>
      <c r="C7" s="20">
        <f>SUMIFS(Table14[Debit], Table14[Date], Table11[[#This Row],[Date]], Table14[Party],"Salary ", Table14[Description],Table11[[#This Row],[Column1]])</f>
        <v>0</v>
      </c>
      <c r="H7" s="1">
        <v>45920</v>
      </c>
      <c r="I7">
        <f>SUMIFS(Table14[Debit], Table14[Date], Table16[[#This Row],[Date]], Table14[Party], "Advance Salary", Table14[Description], Table16[[#This Row],[Person]] )</f>
        <v>10000</v>
      </c>
      <c r="J7" t="s">
        <v>209</v>
      </c>
    </row>
    <row r="8" spans="2:10" x14ac:dyDescent="0.3">
      <c r="B8" s="1">
        <v>45921</v>
      </c>
      <c r="C8" s="20">
        <f>SUMIFS(Table14[Debit], Table14[Date], Table11[[#This Row],[Date]], Table14[Party],"Salary ", Table14[Description],Table11[[#This Row],[Column1]])</f>
        <v>0</v>
      </c>
      <c r="H8" s="1">
        <v>45920</v>
      </c>
      <c r="I8">
        <f>SUMIFS(Table14[Debit], Table14[Date], Table16[[#This Row],[Date]], Table14[Party], "Advance Salary", Table14[Description], Table16[[#This Row],[Person]] )</f>
        <v>6000</v>
      </c>
      <c r="J8" t="s">
        <v>213</v>
      </c>
    </row>
    <row r="9" spans="2:10" x14ac:dyDescent="0.3">
      <c r="B9" s="1">
        <v>45922</v>
      </c>
      <c r="C9" s="20">
        <f>SUMIFS(Table14[Debit], Table14[Date], Table11[[#This Row],[Date]], Table14[Party],"Salary", Table14[Description],Table11[[#This Row],[Column1]])</f>
        <v>10000</v>
      </c>
      <c r="D9" t="s">
        <v>229</v>
      </c>
      <c r="H9" s="1">
        <v>45922</v>
      </c>
      <c r="I9">
        <f>SUMIFS(Table14[Debit], Table14[Date], Table16[[#This Row],[Date]], Table14[Party], "Advance Salary", Table14[Description], Table16[[#This Row],[Person]] )</f>
        <v>2000</v>
      </c>
      <c r="J9" t="s">
        <v>230</v>
      </c>
    </row>
    <row r="10" spans="2:10" x14ac:dyDescent="0.3">
      <c r="B10" s="1">
        <v>45923</v>
      </c>
      <c r="C10" s="20">
        <f>SUMIFS(Table14[Debit], Table14[Date], Table11[[#This Row],[Date]], Table14[Party],"Salary", Table14[Description],Table11[[#This Row],[Column1]])</f>
        <v>14000</v>
      </c>
      <c r="D10" t="s">
        <v>240</v>
      </c>
      <c r="H10" s="1">
        <v>45923</v>
      </c>
      <c r="I10">
        <f>SUMIFS(Table14[Debit], Table14[Date], Table16[[#This Row],[Date]], Table14[Party], "Advance Salary", Table14[Description], Table16[[#This Row],[Person]] )</f>
        <v>1000</v>
      </c>
      <c r="J10" t="s">
        <v>241</v>
      </c>
    </row>
    <row r="11" spans="2:10" x14ac:dyDescent="0.3">
      <c r="B11" s="1">
        <v>45924</v>
      </c>
      <c r="C11" s="20">
        <f>SUMIFS(Table14[Debit], Table14[Date], Table11[[#This Row],[Date]], Table14[Party],"Salary ", Table14[Description],Table11[[#This Row],[Column1]])</f>
        <v>0</v>
      </c>
      <c r="H11" s="1">
        <v>45923</v>
      </c>
      <c r="I11">
        <f>SUMIFS(Table14[Debit], Table14[Date], Table16[[#This Row],[Date]], Table14[Party], "Advance Salary", Table14[Description], Table16[[#This Row],[Person]] )</f>
        <v>0</v>
      </c>
    </row>
    <row r="12" spans="2:10" x14ac:dyDescent="0.3">
      <c r="B12" s="1">
        <v>45925</v>
      </c>
      <c r="C12" s="20">
        <f>SUMIFS(Table14[Debit], Table14[Date], Table11[[#This Row],[Date]], Table14[Party],"Salary ", Table14[Description],Table11[[#This Row],[Column1]])</f>
        <v>0</v>
      </c>
      <c r="H12" s="1">
        <v>45925</v>
      </c>
      <c r="I12">
        <f>SUMIFS(Table14[Debit], Table14[Date], Table16[[#This Row],[Date]], Table14[Party], "Advance Salary", Table14[Description], Table16[[#This Row],[Person]] )</f>
        <v>0</v>
      </c>
    </row>
    <row r="13" spans="2:10" x14ac:dyDescent="0.3">
      <c r="B13" s="1">
        <v>45926</v>
      </c>
      <c r="C13" s="20">
        <f>SUMIFS(Table14[Debit], Table14[Date], Table11[[#This Row],[Date]], Table14[Party],"Salary ", Table14[Description],Table11[[#This Row],[Column1]])</f>
        <v>0</v>
      </c>
      <c r="H13" s="1">
        <v>45926</v>
      </c>
      <c r="I13">
        <f>SUMIFS(Table14[Debit], Table14[Date], Table16[[#This Row],[Date]], Table14[Party], "Advance Salary", Table14[Description], Table16[[#This Row],[Person]] )</f>
        <v>10000</v>
      </c>
      <c r="J13" t="s">
        <v>184</v>
      </c>
    </row>
    <row r="14" spans="2:10" x14ac:dyDescent="0.3">
      <c r="B14" s="1">
        <v>45927</v>
      </c>
      <c r="C14" s="20">
        <f>SUMIFS(Table14[Debit], Table14[Date], Table11[[#This Row],[Date]], Table14[Party],"Salary ", Table14[Description],Table11[[#This Row],[Column1]])</f>
        <v>0</v>
      </c>
      <c r="H14" s="1">
        <v>45927</v>
      </c>
      <c r="I14">
        <f>SUMIFS(Table14[Debit], Table14[Date], Table16[[#This Row],[Date]], Table14[Party], "Advance Salary", Table14[Description], Table16[[#This Row],[Person]] )</f>
        <v>0</v>
      </c>
    </row>
    <row r="15" spans="2:10" x14ac:dyDescent="0.3">
      <c r="B15" s="1">
        <v>45928</v>
      </c>
      <c r="C15" s="20">
        <f>SUMIFS(Table14[Debit], Table14[Date], Table11[[#This Row],[Date]], Table14[Party],"Salary ", Table14[Description],Table11[[#This Row],[Column1]])</f>
        <v>0</v>
      </c>
      <c r="H15" s="1">
        <v>45928</v>
      </c>
      <c r="I15">
        <f>SUMIFS(Table14[Debit], Table14[Date], Table16[[#This Row],[Date]], Table14[Party], "Advance Salary", Table14[Description], Table16[[#This Row],[Person]] )</f>
        <v>0</v>
      </c>
    </row>
    <row r="16" spans="2:10" x14ac:dyDescent="0.3">
      <c r="B16" s="1">
        <v>45929</v>
      </c>
      <c r="C16" s="20">
        <f>SUMIFS(Table14[Debit], Table14[Date], Table11[[#This Row],[Date]], Table14[Party],"Salary ", Table14[Description],Table11[[#This Row],[Column1]])</f>
        <v>0</v>
      </c>
      <c r="H16" s="1">
        <v>45929</v>
      </c>
      <c r="I16">
        <f>SUMIFS(Table14[Debit], Table14[Date], Table16[[#This Row],[Date]], Table14[Party], "Advance Salary", Table14[Description], Table16[[#This Row],[Person]] )</f>
        <v>0</v>
      </c>
    </row>
    <row r="17" spans="2:9" x14ac:dyDescent="0.3">
      <c r="B17" s="1">
        <v>45930</v>
      </c>
      <c r="C17" s="20">
        <f>SUMIFS(Table14[Debit], Table14[Date], Table11[[#This Row],[Date]], Table14[Party],"Salary ", Table14[Description],Table11[[#This Row],[Column1]])</f>
        <v>0</v>
      </c>
      <c r="H17" s="1">
        <v>45930</v>
      </c>
      <c r="I17">
        <f>SUMIFS(Table14[Debit], Table14[Date], Table16[[#This Row],[Date]], Table14[Party], "Advance Salary", Table14[Description], Table16[[#This Row],[Person]] )</f>
        <v>0</v>
      </c>
    </row>
    <row r="18" spans="2:9" x14ac:dyDescent="0.3">
      <c r="B18" s="1">
        <v>45931</v>
      </c>
      <c r="C18" s="20">
        <f>SUMIFS(Table14[Debit], Table14[Date], Table11[[#This Row],[Date]], Table14[Party],"Salary ", Table14[Description],Table11[[#This Row],[Column1]])</f>
        <v>0</v>
      </c>
      <c r="H18" s="1">
        <v>45931</v>
      </c>
      <c r="I18">
        <f>SUMIFS(Table14[Debit], Table14[Date], Table16[[#This Row],[Date]], Table14[Party], "Advance Salary", Table14[Description], Table16[[#This Row],[Person]] )</f>
        <v>0</v>
      </c>
    </row>
    <row r="19" spans="2:9" x14ac:dyDescent="0.3">
      <c r="B19" s="1">
        <v>45932</v>
      </c>
      <c r="C19" s="20">
        <f>SUMIFS(Table14[Debit], Table14[Date], Table11[[#This Row],[Date]], Table14[Party],"Salary ", Table14[Description],Table11[[#This Row],[Column1]])</f>
        <v>0</v>
      </c>
      <c r="H19" s="1">
        <v>45932</v>
      </c>
      <c r="I19">
        <f>SUMIFS(Table14[Debit], Table14[Date], Table16[[#This Row],[Date]], Table14[Party], "Advance Salary", Table14[Description], Table16[[#This Row],[Person]] )</f>
        <v>0</v>
      </c>
    </row>
    <row r="20" spans="2:9" x14ac:dyDescent="0.3">
      <c r="B20" s="1">
        <v>45933</v>
      </c>
      <c r="C20" s="20">
        <f>SUMIFS(Table14[Debit], Table14[Date], Table11[[#This Row],[Date]], Table14[Party],"Salary ", Table14[Description],Table11[[#This Row],[Column1]])</f>
        <v>0</v>
      </c>
      <c r="H20" s="1">
        <v>45933</v>
      </c>
      <c r="I20">
        <f>SUMIFS(Table14[Debit], Table14[Date], Table16[[#This Row],[Date]], Table14[Party], "Advance Salary", Table14[Description], Table16[[#This Row],[Person]] )</f>
        <v>0</v>
      </c>
    </row>
    <row r="21" spans="2:9" x14ac:dyDescent="0.3">
      <c r="B21" s="1">
        <v>45934</v>
      </c>
      <c r="C21" s="20">
        <f>SUMIFS(Table14[Debit], Table14[Date], Table11[[#This Row],[Date]], Table14[Party],"Salary ", Table14[Description],Table11[[#This Row],[Column1]])</f>
        <v>0</v>
      </c>
      <c r="H21" s="1">
        <v>45934</v>
      </c>
      <c r="I21">
        <f>SUMIFS(Table14[Debit], Table14[Date], Table16[[#This Row],[Date]], Table14[Party], "Advance Salary", Table14[Description], Table16[[#This Row],[Person]] )</f>
        <v>0</v>
      </c>
    </row>
    <row r="22" spans="2:9" x14ac:dyDescent="0.3">
      <c r="B22" s="1">
        <v>45935</v>
      </c>
      <c r="C22" s="20">
        <f>SUMIFS(Table14[Debit], Table14[Date], Table11[[#This Row],[Date]], Table14[Party],"Salary ", Table14[Description],Table11[[#This Row],[Column1]])</f>
        <v>0</v>
      </c>
      <c r="H22" s="1">
        <v>45935</v>
      </c>
      <c r="I22">
        <f>SUMIFS(Table14[Debit], Table14[Date], Table16[[#This Row],[Date]], Table14[Party], "Advance Salary", Table14[Description], Table16[[#This Row],[Person]] )</f>
        <v>0</v>
      </c>
    </row>
    <row r="23" spans="2:9" x14ac:dyDescent="0.3">
      <c r="B23" s="1">
        <v>45936</v>
      </c>
      <c r="C23" s="20">
        <f>SUMIFS(Table14[Debit], Table14[Date], Table11[[#This Row],[Date]], Table14[Party],"Salary ", Table14[Description],Table11[[#This Row],[Column1]])</f>
        <v>0</v>
      </c>
      <c r="H23" s="1">
        <v>45936</v>
      </c>
      <c r="I23">
        <f>SUMIFS(Table14[Debit], Table14[Date], Table16[[#This Row],[Date]], Table14[Party], "Advance Salary", Table14[Description], Table16[[#This Row],[Person]] )</f>
        <v>0</v>
      </c>
    </row>
    <row r="24" spans="2:9" x14ac:dyDescent="0.3">
      <c r="B24" s="1">
        <v>45937</v>
      </c>
      <c r="C24" s="20">
        <f>SUMIFS(Table14[Debit], Table14[Date], Table11[[#This Row],[Date]], Table14[Party],"Salary ", Table14[Description],Table11[[#This Row],[Column1]])</f>
        <v>0</v>
      </c>
      <c r="H24" s="1">
        <v>45937</v>
      </c>
      <c r="I24">
        <f>SUMIFS(Table14[Debit], Table14[Date], Table16[[#This Row],[Date]], Table14[Party], "Advance Salary", Table14[Description], Table16[[#This Row],[Person]] )</f>
        <v>0</v>
      </c>
    </row>
    <row r="25" spans="2:9" x14ac:dyDescent="0.3">
      <c r="B25" s="1">
        <v>45938</v>
      </c>
      <c r="C25" s="20">
        <f>SUMIFS(Table14[Debit], Table14[Date], Table11[[#This Row],[Date]], Table14[Party],"Salary ", Table14[Description],Table11[[#This Row],[Column1]])</f>
        <v>0</v>
      </c>
      <c r="H25" s="1">
        <v>45938</v>
      </c>
      <c r="I25">
        <f>SUMIFS(Table14[Debit], Table14[Date], Table16[[#This Row],[Date]], Table14[Party], "Advance Salary", Table14[Description], Table16[[#This Row],[Person]] )</f>
        <v>0</v>
      </c>
    </row>
    <row r="26" spans="2:9" x14ac:dyDescent="0.3">
      <c r="B26" s="1">
        <v>45939</v>
      </c>
      <c r="C26" s="20">
        <f>SUMIFS(Table14[Debit], Table14[Date], Table11[[#This Row],[Date]], Table14[Party],"Salary ", Table14[Description],Table11[[#This Row],[Column1]])</f>
        <v>0</v>
      </c>
      <c r="H26" s="1">
        <v>45939</v>
      </c>
      <c r="I26">
        <f>SUMIFS(Table14[Debit], Table14[Date], Table16[[#This Row],[Date]], Table14[Party], "Advance Salary", Table14[Description], Table16[[#This Row],[Person]] )</f>
        <v>0</v>
      </c>
    </row>
    <row r="27" spans="2:9" x14ac:dyDescent="0.3">
      <c r="B27" s="1">
        <v>45940</v>
      </c>
      <c r="C27" s="20">
        <f>SUMIFS(Table14[Debit], Table14[Date], Table11[[#This Row],[Date]], Table14[Party],"Salary ", Table14[Description],Table11[[#This Row],[Column1]])</f>
        <v>0</v>
      </c>
      <c r="H27" s="1">
        <v>45940</v>
      </c>
      <c r="I27">
        <f>SUMIFS(Table14[Debit], Table14[Date], Table16[[#This Row],[Date]], Table14[Party], "Advance Salary", Table14[Description], Table16[[#This Row],[Person]] )</f>
        <v>0</v>
      </c>
    </row>
    <row r="28" spans="2:9" x14ac:dyDescent="0.3">
      <c r="B28" s="1">
        <v>45941</v>
      </c>
      <c r="C28" s="20">
        <f>SUMIFS(Table14[Debit], Table14[Date], Table11[[#This Row],[Date]], Table14[Party],"Salary ", Table14[Description],Table11[[#This Row],[Column1]])</f>
        <v>0</v>
      </c>
      <c r="H28" s="1">
        <v>45941</v>
      </c>
      <c r="I28">
        <f>SUMIFS(Table14[Debit], Table14[Date], Table16[[#This Row],[Date]], Table14[Party], "Advance Salary", Table14[Description], Table16[[#This Row],[Person]] )</f>
        <v>0</v>
      </c>
    </row>
    <row r="29" spans="2:9" x14ac:dyDescent="0.3">
      <c r="B29" s="1">
        <v>45942</v>
      </c>
      <c r="C29" s="20">
        <f>SUMIFS(Table14[Debit], Table14[Date], Table11[[#This Row],[Date]], Table14[Party],"Salary ", Table14[Description],Table11[[#This Row],[Column1]])</f>
        <v>0</v>
      </c>
      <c r="H29" s="1">
        <v>45942</v>
      </c>
      <c r="I29">
        <f>SUMIFS(Table14[Debit], Table14[Date], Table16[[#This Row],[Date]], Table14[Party], "Advance Salary", Table14[Description], Table16[[#This Row],[Person]] )</f>
        <v>0</v>
      </c>
    </row>
    <row r="30" spans="2:9" x14ac:dyDescent="0.3">
      <c r="B30" s="1">
        <v>45943</v>
      </c>
      <c r="C30" s="20">
        <f>SUMIFS(Table14[Debit], Table14[Date], Table11[[#This Row],[Date]], Table14[Party],"Salary ", Table14[Description],Table11[[#This Row],[Column1]])</f>
        <v>0</v>
      </c>
      <c r="H30" s="1">
        <v>45943</v>
      </c>
      <c r="I30">
        <f>SUMIFS(Table14[Debit], Table14[Date], Table16[[#This Row],[Date]], Table14[Party], "Advance Salary", Table14[Description], Table16[[#This Row],[Person]] )</f>
        <v>0</v>
      </c>
    </row>
    <row r="31" spans="2:9" x14ac:dyDescent="0.3">
      <c r="B31" s="1">
        <v>45944</v>
      </c>
      <c r="C31" s="20">
        <f>SUMIFS(Table14[Debit], Table14[Date], Table11[[#This Row],[Date]], Table14[Party],"Salary ", Table14[Description],Table11[[#This Row],[Column1]])</f>
        <v>0</v>
      </c>
      <c r="H31" s="1">
        <v>45944</v>
      </c>
      <c r="I31">
        <f>SUMIFS(Table14[Debit], Table14[Date], Table16[[#This Row],[Date]], Table14[Party], "Advance Salary", Table14[Description], Table16[[#This Row],[Person]] )</f>
        <v>0</v>
      </c>
    </row>
    <row r="32" spans="2:9" x14ac:dyDescent="0.3">
      <c r="B32" s="1">
        <v>45945</v>
      </c>
      <c r="C32" s="20">
        <f>SUMIFS(Table14[Debit], Table14[Date], Table11[[#This Row],[Date]], Table14[Party],"Salary ", Table14[Description],Table11[[#This Row],[Column1]])</f>
        <v>0</v>
      </c>
      <c r="H32" s="1">
        <v>45945</v>
      </c>
      <c r="I32">
        <f>SUMIFS(Table14[Debit], Table14[Date], Table16[[#This Row],[Date]], Table14[Party], "Advance Salary", Table14[Description], Table16[[#This Row],[Person]] )</f>
        <v>0</v>
      </c>
    </row>
    <row r="33" spans="2:9" x14ac:dyDescent="0.3">
      <c r="B33" s="1">
        <v>45946</v>
      </c>
      <c r="C33" s="20">
        <f>SUMIFS(Table14[Debit], Table14[Date], Table11[[#This Row],[Date]], Table14[Party],"Salary ", Table14[Description],Table11[[#This Row],[Column1]])</f>
        <v>0</v>
      </c>
      <c r="H33" s="1">
        <v>45946</v>
      </c>
      <c r="I33">
        <f>SUMIFS(Table14[Debit], Table14[Date], Table16[[#This Row],[Date]], Table14[Party], "Advance Salary", Table14[Description], Table16[[#This Row],[Person]] )</f>
        <v>0</v>
      </c>
    </row>
    <row r="34" spans="2:9" x14ac:dyDescent="0.3">
      <c r="B34" s="1">
        <v>45947</v>
      </c>
      <c r="C34" s="20">
        <f>SUMIFS(Table14[Debit], Table14[Date], Table11[[#This Row],[Date]], Table14[Party],"Salary ", Table14[Description],Table11[[#This Row],[Column1]])</f>
        <v>0</v>
      </c>
      <c r="H34" s="1">
        <v>45947</v>
      </c>
      <c r="I34">
        <f>SUMIFS(Table14[Debit], Table14[Date], Table16[[#This Row],[Date]], Table14[Party], "Advance Salary", Table14[Description], Table16[[#This Row],[Person]] )</f>
        <v>0</v>
      </c>
    </row>
    <row r="35" spans="2:9" x14ac:dyDescent="0.3">
      <c r="B35" s="1">
        <v>45948</v>
      </c>
      <c r="C35" s="20">
        <f>SUMIFS(Table14[Debit], Table14[Date], Table11[[#This Row],[Date]], Table14[Party],"Salary ", Table14[Description],Table11[[#This Row],[Column1]])</f>
        <v>0</v>
      </c>
      <c r="H35" s="1"/>
      <c r="I35">
        <f>SUBTOTAL(109,Table16[Advance])</f>
        <v>43000</v>
      </c>
    </row>
    <row r="36" spans="2:9" x14ac:dyDescent="0.3">
      <c r="B36" s="1">
        <v>45949</v>
      </c>
      <c r="C36" s="20">
        <f>SUMIFS(Table14[Debit], Table14[Date], Table11[[#This Row],[Date]], Table14[Party],"Salary ", Table14[Description],Table11[[#This Row],[Column1]])</f>
        <v>0</v>
      </c>
    </row>
    <row r="37" spans="2:9" x14ac:dyDescent="0.3">
      <c r="B37" s="1"/>
      <c r="C37" s="26">
        <f>SUM(Table11[Amount])</f>
        <v>24000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zoomScale="90" workbookViewId="0">
      <selection activeCell="B5" sqref="B5"/>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89</v>
      </c>
      <c r="C1" s="14"/>
    </row>
    <row r="2" spans="1:12" x14ac:dyDescent="0.3">
      <c r="A2" s="36" t="s">
        <v>28</v>
      </c>
      <c r="B2" s="38">
        <f>SUM(B4:INDEX(B:B, MATCH(1E+100, B:B)-1))</f>
        <v>886547</v>
      </c>
      <c r="C2" s="37">
        <f>GETPIVOTDATA("Sum of Tiyaar/gaz",$A$3)</f>
        <v>944679</v>
      </c>
      <c r="D2" s="36">
        <f>((B2*48)+((C2/1.0936)*10))/C2</f>
        <v>54.190371350604579</v>
      </c>
      <c r="J2">
        <v>48</v>
      </c>
    </row>
    <row r="3" spans="1:12" x14ac:dyDescent="0.3">
      <c r="A3" s="39" t="s">
        <v>149</v>
      </c>
      <c r="B3" s="40" t="s">
        <v>150</v>
      </c>
      <c r="C3" s="41" t="s">
        <v>90</v>
      </c>
      <c r="D3" s="37" t="s">
        <v>151</v>
      </c>
      <c r="E3" s="11" t="s">
        <v>152</v>
      </c>
      <c r="F3" s="11" t="str">
        <f t="shared" ref="F3:F38" si="0">C3</f>
        <v>Sum of Tiyaar/gaz</v>
      </c>
      <c r="G3" s="85" t="s">
        <v>83</v>
      </c>
      <c r="H3" s="11" t="s">
        <v>153</v>
      </c>
      <c r="I3" s="34" t="s">
        <v>154</v>
      </c>
    </row>
    <row r="4" spans="1:12" x14ac:dyDescent="0.3">
      <c r="A4" s="16" t="s">
        <v>108</v>
      </c>
      <c r="B4" s="14"/>
      <c r="C4" s="14"/>
      <c r="D4" s="33" t="e">
        <f>I4</f>
        <v>#DIV/0!</v>
      </c>
      <c r="E4" s="11">
        <f>B4 * 1.0936</f>
        <v>0</v>
      </c>
      <c r="F4" s="11">
        <f t="shared" si="0"/>
        <v>0</v>
      </c>
      <c r="G4" s="86" t="e">
        <f>100- (F4/E4 *100)</f>
        <v>#DIV/0!</v>
      </c>
      <c r="H4" s="33">
        <f>F4/1.0936</f>
        <v>0</v>
      </c>
      <c r="I4" s="33" t="e">
        <f>((B4*48)+(H4*10))/C4</f>
        <v>#DIV/0!</v>
      </c>
      <c r="J4" s="33"/>
      <c r="K4" s="33"/>
      <c r="L4" s="33"/>
    </row>
    <row r="5" spans="1:12" x14ac:dyDescent="0.3">
      <c r="A5" s="16">
        <v>1708</v>
      </c>
      <c r="B5" s="14">
        <v>29011</v>
      </c>
      <c r="C5" s="14">
        <v>19968</v>
      </c>
      <c r="D5" s="33">
        <f t="shared" ref="D5:D38" si="1">I5</f>
        <v>78.882091961622876</v>
      </c>
      <c r="E5" s="11">
        <f t="shared" ref="E5:E38" si="2">B5 * 1.0936</f>
        <v>31726.429599999996</v>
      </c>
      <c r="F5" s="11">
        <f t="shared" si="0"/>
        <v>19968</v>
      </c>
      <c r="G5" s="86">
        <f>100- (F5/E5 *100)</f>
        <v>37.061937785775925</v>
      </c>
      <c r="H5" s="33">
        <f t="shared" ref="H5:H38" si="3">F5/1.0936</f>
        <v>18258.961228968546</v>
      </c>
      <c r="I5" s="33">
        <f>((B5*48)+(H5*10))/C5</f>
        <v>78.882091961622876</v>
      </c>
      <c r="J5" s="33"/>
      <c r="K5" s="33"/>
      <c r="L5" s="33"/>
    </row>
    <row r="6" spans="1:12" x14ac:dyDescent="0.3">
      <c r="A6" s="16">
        <v>1720</v>
      </c>
      <c r="B6" s="14">
        <v>30020</v>
      </c>
      <c r="C6" s="14">
        <v>32967</v>
      </c>
      <c r="D6" s="33">
        <f t="shared" si="1"/>
        <v>52.853274901555814</v>
      </c>
      <c r="E6" s="11">
        <f t="shared" si="2"/>
        <v>32829.871999999996</v>
      </c>
      <c r="F6" s="11">
        <f t="shared" si="0"/>
        <v>32967</v>
      </c>
      <c r="G6" s="86">
        <f t="shared" ref="G6:G18" si="4">100- (F6/E6 *100)</f>
        <v>-0.4176927646869899</v>
      </c>
      <c r="H6" s="33">
        <f t="shared" si="3"/>
        <v>30145.391367959037</v>
      </c>
      <c r="I6" s="33">
        <f>((B6*48)+(H6*10))/C6</f>
        <v>52.853274901555814</v>
      </c>
      <c r="J6" s="33"/>
      <c r="K6" s="33"/>
      <c r="L6" s="33"/>
    </row>
    <row r="7" spans="1:12" x14ac:dyDescent="0.3">
      <c r="A7" s="16">
        <v>1723</v>
      </c>
      <c r="B7" s="14">
        <v>6003</v>
      </c>
      <c r="C7" s="14">
        <v>6476</v>
      </c>
      <c r="D7" s="33">
        <f t="shared" si="1"/>
        <v>53.638243372750352</v>
      </c>
      <c r="E7" s="11">
        <f t="shared" si="2"/>
        <v>6564.880799999999</v>
      </c>
      <c r="F7" s="11">
        <f t="shared" si="0"/>
        <v>6476</v>
      </c>
      <c r="G7" s="86">
        <f t="shared" si="4"/>
        <v>1.3538829219869228</v>
      </c>
      <c r="H7" s="33">
        <f t="shared" si="3"/>
        <v>5921.7264081931244</v>
      </c>
      <c r="I7" s="33">
        <f>((B7*48)+(H7*10))/C7</f>
        <v>53.638243372750352</v>
      </c>
      <c r="J7" s="33"/>
      <c r="K7" s="33"/>
      <c r="L7" s="33"/>
    </row>
    <row r="8" spans="1:12" x14ac:dyDescent="0.3">
      <c r="A8" s="16">
        <v>1724</v>
      </c>
      <c r="B8" s="14">
        <v>10145</v>
      </c>
      <c r="C8" s="14">
        <v>10952</v>
      </c>
      <c r="D8" s="33">
        <f t="shared" si="1"/>
        <v>53.607222952801159</v>
      </c>
      <c r="E8" s="11">
        <f t="shared" si="2"/>
        <v>11094.571999999998</v>
      </c>
      <c r="F8" s="11">
        <f t="shared" si="0"/>
        <v>10952</v>
      </c>
      <c r="G8" s="86">
        <f t="shared" si="4"/>
        <v>1.2850608387597049</v>
      </c>
      <c r="H8" s="33">
        <f t="shared" si="3"/>
        <v>10014.630577907828</v>
      </c>
      <c r="I8" s="33">
        <f t="shared" ref="I8:I38" si="5">((B8*48)+(H8*10))/C8</f>
        <v>53.607222952801159</v>
      </c>
      <c r="J8" s="33"/>
      <c r="K8" s="33"/>
      <c r="L8" s="33"/>
    </row>
    <row r="9" spans="1:12" x14ac:dyDescent="0.3">
      <c r="A9" s="16">
        <v>1714</v>
      </c>
      <c r="B9" s="14">
        <v>2911</v>
      </c>
      <c r="C9" s="14">
        <v>3128</v>
      </c>
      <c r="D9" s="33">
        <f t="shared" si="1"/>
        <v>53.81418791873481</v>
      </c>
      <c r="E9" s="11">
        <f t="shared" si="2"/>
        <v>3183.4695999999999</v>
      </c>
      <c r="F9" s="11">
        <f t="shared" si="0"/>
        <v>3128</v>
      </c>
      <c r="G9" s="86">
        <f t="shared" si="4"/>
        <v>1.7424259367829364</v>
      </c>
      <c r="H9" s="33">
        <f t="shared" si="3"/>
        <v>2860.2779809802491</v>
      </c>
      <c r="I9" s="33">
        <f t="shared" si="5"/>
        <v>53.81418791873481</v>
      </c>
      <c r="J9" s="33"/>
      <c r="K9" s="33"/>
      <c r="L9" s="33"/>
    </row>
    <row r="10" spans="1:12" x14ac:dyDescent="0.3">
      <c r="A10" s="16">
        <v>1690</v>
      </c>
      <c r="B10" s="14">
        <v>16016</v>
      </c>
      <c r="C10" s="14">
        <v>17060</v>
      </c>
      <c r="D10" s="33">
        <f t="shared" si="1"/>
        <v>54.206713771524576</v>
      </c>
      <c r="E10" s="11">
        <f t="shared" si="2"/>
        <v>17515.097599999997</v>
      </c>
      <c r="F10" s="11">
        <f t="shared" si="0"/>
        <v>17060</v>
      </c>
      <c r="G10" s="86">
        <f t="shared" si="4"/>
        <v>2.5983160950242024</v>
      </c>
      <c r="H10" s="33">
        <f t="shared" si="3"/>
        <v>15599.853694220923</v>
      </c>
      <c r="I10" s="33">
        <f t="shared" si="5"/>
        <v>54.206713771524576</v>
      </c>
      <c r="J10" s="33"/>
      <c r="K10" s="33"/>
      <c r="L10" s="33"/>
    </row>
    <row r="11" spans="1:12" x14ac:dyDescent="0.3">
      <c r="A11" s="16">
        <v>1716</v>
      </c>
      <c r="B11" s="14"/>
      <c r="C11" s="14"/>
      <c r="D11" s="33"/>
      <c r="E11" s="11">
        <f t="shared" si="2"/>
        <v>0</v>
      </c>
      <c r="F11" s="11">
        <f t="shared" si="0"/>
        <v>0</v>
      </c>
      <c r="G11" s="86" t="e">
        <f t="shared" si="4"/>
        <v>#DIV/0!</v>
      </c>
      <c r="H11" s="33">
        <f t="shared" si="3"/>
        <v>0</v>
      </c>
      <c r="I11" s="33" t="e">
        <f t="shared" si="5"/>
        <v>#DIV/0!</v>
      </c>
      <c r="J11" s="33"/>
      <c r="K11" s="33"/>
      <c r="L11" s="33"/>
    </row>
    <row r="12" spans="1:12" x14ac:dyDescent="0.3">
      <c r="A12" s="16">
        <v>1696</v>
      </c>
      <c r="B12" s="14">
        <v>34908</v>
      </c>
      <c r="C12" s="14">
        <v>37420</v>
      </c>
      <c r="D12" s="33">
        <f t="shared" si="1"/>
        <v>53.921877092980019</v>
      </c>
      <c r="E12" s="11">
        <f t="shared" si="2"/>
        <v>38175.388799999993</v>
      </c>
      <c r="F12" s="11">
        <f t="shared" si="0"/>
        <v>37420</v>
      </c>
      <c r="G12" s="86">
        <f t="shared" si="4"/>
        <v>1.9787324340230157</v>
      </c>
      <c r="H12" s="33">
        <f t="shared" si="3"/>
        <v>34217.264081931236</v>
      </c>
      <c r="I12" s="33">
        <f t="shared" si="5"/>
        <v>53.921877092980019</v>
      </c>
    </row>
    <row r="13" spans="1:12" x14ac:dyDescent="0.3">
      <c r="A13" s="16">
        <v>1694</v>
      </c>
      <c r="B13" s="14">
        <v>33379</v>
      </c>
      <c r="C13" s="14">
        <v>35833</v>
      </c>
      <c r="D13" s="33">
        <f t="shared" si="1"/>
        <v>53.856862008678767</v>
      </c>
      <c r="E13" s="11">
        <f t="shared" si="2"/>
        <v>36503.274399999995</v>
      </c>
      <c r="F13" s="11">
        <f t="shared" si="0"/>
        <v>35833</v>
      </c>
      <c r="G13" s="86">
        <f t="shared" si="4"/>
        <v>1.8362034941172141</v>
      </c>
      <c r="H13" s="33">
        <f t="shared" si="3"/>
        <v>32766.093635698613</v>
      </c>
      <c r="I13" s="33">
        <f t="shared" si="5"/>
        <v>53.856862008678767</v>
      </c>
    </row>
    <row r="14" spans="1:12" x14ac:dyDescent="0.3">
      <c r="A14" s="16">
        <v>1687</v>
      </c>
      <c r="B14" s="14">
        <v>25625</v>
      </c>
      <c r="C14" s="14">
        <v>27597</v>
      </c>
      <c r="D14" s="33">
        <f t="shared" si="1"/>
        <v>53.714173155648972</v>
      </c>
      <c r="E14" s="11">
        <f t="shared" si="2"/>
        <v>28023.499999999996</v>
      </c>
      <c r="F14" s="11">
        <f t="shared" si="0"/>
        <v>27597</v>
      </c>
      <c r="G14" s="86">
        <f t="shared" si="4"/>
        <v>1.5219369457776395</v>
      </c>
      <c r="H14" s="33">
        <f t="shared" si="3"/>
        <v>25235.00365764448</v>
      </c>
      <c r="I14" s="33">
        <f t="shared" si="5"/>
        <v>53.714173155648972</v>
      </c>
    </row>
    <row r="15" spans="1:12" x14ac:dyDescent="0.3">
      <c r="A15" s="16">
        <v>1719</v>
      </c>
      <c r="B15" s="14">
        <v>30808</v>
      </c>
      <c r="C15" s="14">
        <v>33167</v>
      </c>
      <c r="D15" s="33">
        <f t="shared" si="1"/>
        <v>53.730115353154304</v>
      </c>
      <c r="E15" s="11">
        <f>B15 * 1.0936</f>
        <v>33691.628799999999</v>
      </c>
      <c r="F15" s="11">
        <f t="shared" si="0"/>
        <v>33167</v>
      </c>
      <c r="G15" s="86">
        <f t="shared" si="4"/>
        <v>1.557148819115568</v>
      </c>
      <c r="H15" s="33">
        <f t="shared" si="3"/>
        <v>30328.273591806879</v>
      </c>
      <c r="I15" s="33">
        <f>((B15*48)+(H15*10))/C15</f>
        <v>53.730115353154304</v>
      </c>
    </row>
    <row r="16" spans="1:12" x14ac:dyDescent="0.3">
      <c r="A16" s="16">
        <v>1688</v>
      </c>
      <c r="B16" s="14">
        <v>23958</v>
      </c>
      <c r="C16" s="14">
        <v>25710</v>
      </c>
      <c r="D16" s="33">
        <f t="shared" si="1"/>
        <v>53.873166034865847</v>
      </c>
      <c r="E16" s="11">
        <f t="shared" si="2"/>
        <v>26200.468799999999</v>
      </c>
      <c r="F16" s="11">
        <f t="shared" si="0"/>
        <v>25710</v>
      </c>
      <c r="G16" s="86">
        <f t="shared" si="4"/>
        <v>1.8719848249432829</v>
      </c>
      <c r="H16" s="33">
        <f t="shared" si="3"/>
        <v>23509.509875640091</v>
      </c>
      <c r="I16" s="33">
        <f>((B16*48)+(H16*10))/C16</f>
        <v>53.873166034865847</v>
      </c>
    </row>
    <row r="17" spans="1:9" x14ac:dyDescent="0.3">
      <c r="A17" s="16" t="s">
        <v>232</v>
      </c>
      <c r="B17" s="14">
        <v>16582</v>
      </c>
      <c r="C17" s="14">
        <v>18018</v>
      </c>
      <c r="D17" s="33">
        <f t="shared" si="1"/>
        <v>53.318603366884275</v>
      </c>
      <c r="E17" s="11">
        <f t="shared" si="2"/>
        <v>18134.075199999999</v>
      </c>
      <c r="F17" s="11">
        <f t="shared" si="0"/>
        <v>18018</v>
      </c>
      <c r="G17" s="86">
        <f t="shared" si="4"/>
        <v>0.64009440084376479</v>
      </c>
      <c r="H17" s="33">
        <f t="shared" si="3"/>
        <v>16475.859546452088</v>
      </c>
      <c r="I17" s="33">
        <f>((B17*48)+(H17*10))/C17</f>
        <v>53.318603366884275</v>
      </c>
    </row>
    <row r="18" spans="1:9" x14ac:dyDescent="0.3">
      <c r="A18" s="16">
        <v>1710</v>
      </c>
      <c r="B18" s="14">
        <v>100795</v>
      </c>
      <c r="C18" s="14">
        <v>108751</v>
      </c>
      <c r="D18" s="33">
        <f t="shared" si="1"/>
        <v>53.632529689693271</v>
      </c>
      <c r="E18" s="11">
        <f t="shared" si="2"/>
        <v>110229.412</v>
      </c>
      <c r="F18" s="11">
        <f t="shared" si="0"/>
        <v>108751</v>
      </c>
      <c r="G18" s="86">
        <f t="shared" si="4"/>
        <v>1.3412137225226104</v>
      </c>
      <c r="H18" s="33">
        <f t="shared" si="3"/>
        <v>99443.123628383328</v>
      </c>
      <c r="I18" s="33">
        <f>((B18*48)+(H18*10))/C18</f>
        <v>53.632529689693271</v>
      </c>
    </row>
    <row r="19" spans="1:9" x14ac:dyDescent="0.3">
      <c r="A19" s="16">
        <v>1725</v>
      </c>
      <c r="B19" s="14">
        <v>54293</v>
      </c>
      <c r="C19" s="14">
        <v>57962</v>
      </c>
      <c r="D19" s="33">
        <f t="shared" si="1"/>
        <v>54.105706720496727</v>
      </c>
      <c r="E19" s="11">
        <f t="shared" si="2"/>
        <v>59374.824799999995</v>
      </c>
      <c r="F19" s="11">
        <f t="shared" si="0"/>
        <v>57962</v>
      </c>
      <c r="G19" s="86">
        <f t="shared" ref="G19:G38" si="6">100- (F19/E19 *100)</f>
        <v>2.3795014212824981</v>
      </c>
      <c r="H19" s="33">
        <f t="shared" si="3"/>
        <v>53001.097293343089</v>
      </c>
      <c r="I19" s="33">
        <f t="shared" si="5"/>
        <v>54.105706720496727</v>
      </c>
    </row>
    <row r="20" spans="1:9" x14ac:dyDescent="0.3">
      <c r="A20" s="16">
        <v>1736</v>
      </c>
      <c r="B20" s="14">
        <v>21346</v>
      </c>
      <c r="C20" s="14">
        <v>22912</v>
      </c>
      <c r="D20" s="33">
        <f t="shared" si="1"/>
        <v>53.86338493540886</v>
      </c>
      <c r="E20" s="11">
        <f>B20 * 1.0936</f>
        <v>23343.985599999996</v>
      </c>
      <c r="F20" s="11">
        <f t="shared" si="0"/>
        <v>22912</v>
      </c>
      <c r="G20" s="86">
        <f t="shared" si="6"/>
        <v>1.8505220462438672</v>
      </c>
      <c r="H20" s="33">
        <f t="shared" si="3"/>
        <v>20950.987564008781</v>
      </c>
      <c r="I20" s="33">
        <f t="shared" si="5"/>
        <v>53.86338493540886</v>
      </c>
    </row>
    <row r="21" spans="1:9" x14ac:dyDescent="0.3">
      <c r="A21" s="16">
        <v>1728</v>
      </c>
      <c r="B21" s="14">
        <v>33574</v>
      </c>
      <c r="C21" s="14">
        <v>35692</v>
      </c>
      <c r="D21" s="33">
        <f t="shared" si="1"/>
        <v>54.295741809897422</v>
      </c>
      <c r="E21" s="11">
        <f t="shared" si="2"/>
        <v>36716.526399999995</v>
      </c>
      <c r="F21" s="11">
        <f t="shared" si="0"/>
        <v>35692</v>
      </c>
      <c r="G21" s="86">
        <f t="shared" si="6"/>
        <v>2.790368535515924</v>
      </c>
      <c r="H21" s="33">
        <f t="shared" si="3"/>
        <v>32637.161667885885</v>
      </c>
      <c r="I21" s="33">
        <f t="shared" si="5"/>
        <v>54.295741809897422</v>
      </c>
    </row>
    <row r="22" spans="1:9" x14ac:dyDescent="0.3">
      <c r="A22" s="16" t="s">
        <v>252</v>
      </c>
      <c r="B22" s="14">
        <v>25839</v>
      </c>
      <c r="C22" s="14">
        <v>28089</v>
      </c>
      <c r="D22" s="33">
        <f t="shared" si="1"/>
        <v>53.299189692872723</v>
      </c>
      <c r="E22" s="11">
        <f t="shared" si="2"/>
        <v>28257.530399999996</v>
      </c>
      <c r="F22" s="11">
        <f t="shared" si="0"/>
        <v>28089</v>
      </c>
      <c r="G22" s="86">
        <f t="shared" si="6"/>
        <v>0.59640880719001643</v>
      </c>
      <c r="H22" s="33">
        <f t="shared" si="3"/>
        <v>25684.893928310172</v>
      </c>
      <c r="I22" s="33">
        <f t="shared" si="5"/>
        <v>53.299189692872723</v>
      </c>
    </row>
    <row r="23" spans="1:9" x14ac:dyDescent="0.3">
      <c r="A23" s="16" t="s">
        <v>253</v>
      </c>
      <c r="B23" s="14">
        <v>13580</v>
      </c>
      <c r="C23" s="14">
        <v>14996</v>
      </c>
      <c r="D23" s="33">
        <f t="shared" si="1"/>
        <v>52.611702550087479</v>
      </c>
      <c r="E23" s="11">
        <f t="shared" si="2"/>
        <v>14851.087999999998</v>
      </c>
      <c r="F23" s="11">
        <f t="shared" si="0"/>
        <v>14996</v>
      </c>
      <c r="G23" s="86">
        <f t="shared" si="6"/>
        <v>-0.97576689330776389</v>
      </c>
      <c r="H23" s="33">
        <f t="shared" si="3"/>
        <v>13712.509144111194</v>
      </c>
      <c r="I23" s="33">
        <f t="shared" si="5"/>
        <v>52.611702550087479</v>
      </c>
    </row>
    <row r="24" spans="1:9" x14ac:dyDescent="0.3">
      <c r="A24" s="16">
        <v>1726</v>
      </c>
      <c r="B24" s="14">
        <v>14869</v>
      </c>
      <c r="C24" s="14">
        <v>16179</v>
      </c>
      <c r="D24" s="33">
        <f t="shared" si="1"/>
        <v>53.257591629996405</v>
      </c>
      <c r="E24" s="11">
        <f t="shared" si="2"/>
        <v>16260.738399999998</v>
      </c>
      <c r="F24" s="11">
        <f t="shared" si="0"/>
        <v>16179</v>
      </c>
      <c r="G24" s="86">
        <f t="shared" si="6"/>
        <v>0.50267335953205361</v>
      </c>
      <c r="H24" s="33">
        <f t="shared" si="3"/>
        <v>14794.257498171179</v>
      </c>
      <c r="I24" s="33">
        <f t="shared" si="5"/>
        <v>53.257591629996405</v>
      </c>
    </row>
    <row r="25" spans="1:9" x14ac:dyDescent="0.3">
      <c r="A25" s="16">
        <v>1730</v>
      </c>
      <c r="B25" s="14">
        <v>13899</v>
      </c>
      <c r="C25" s="14">
        <v>15066</v>
      </c>
      <c r="D25" s="33">
        <f t="shared" si="1"/>
        <v>53.42607057112567</v>
      </c>
      <c r="E25" s="11">
        <f t="shared" si="2"/>
        <v>15199.946399999999</v>
      </c>
      <c r="F25" s="11">
        <f t="shared" si="0"/>
        <v>15066</v>
      </c>
      <c r="G25" s="86">
        <f t="shared" si="6"/>
        <v>0.88122942328269005</v>
      </c>
      <c r="H25" s="33">
        <f t="shared" si="3"/>
        <v>13776.517922457939</v>
      </c>
      <c r="I25" s="33">
        <f t="shared" si="5"/>
        <v>53.42607057112567</v>
      </c>
    </row>
    <row r="26" spans="1:9" x14ac:dyDescent="0.3">
      <c r="A26" s="16" t="s">
        <v>254</v>
      </c>
      <c r="B26" s="14">
        <v>30434</v>
      </c>
      <c r="C26" s="14">
        <v>32937</v>
      </c>
      <c r="D26" s="33">
        <f t="shared" si="1"/>
        <v>53.496420145848695</v>
      </c>
      <c r="E26" s="11">
        <f t="shared" si="2"/>
        <v>33282.6224</v>
      </c>
      <c r="F26" s="11">
        <f t="shared" si="0"/>
        <v>32937</v>
      </c>
      <c r="G26" s="86">
        <f t="shared" si="6"/>
        <v>1.038447018525801</v>
      </c>
      <c r="H26" s="33">
        <f t="shared" si="3"/>
        <v>30117.95903438186</v>
      </c>
      <c r="I26" s="33">
        <f t="shared" si="5"/>
        <v>53.496420145848695</v>
      </c>
    </row>
    <row r="27" spans="1:9" x14ac:dyDescent="0.3">
      <c r="A27" s="16" t="s">
        <v>255</v>
      </c>
      <c r="B27" s="14">
        <v>32916</v>
      </c>
      <c r="C27" s="14">
        <v>36340</v>
      </c>
      <c r="D27" s="33">
        <f t="shared" si="1"/>
        <v>52.621491489585274</v>
      </c>
      <c r="E27" s="11">
        <f t="shared" si="2"/>
        <v>35996.937599999997</v>
      </c>
      <c r="F27" s="11">
        <f t="shared" si="0"/>
        <v>36340</v>
      </c>
      <c r="G27" s="86">
        <f t="shared" si="6"/>
        <v>-0.95303218238210263</v>
      </c>
      <c r="H27" s="33">
        <f t="shared" si="3"/>
        <v>33229.70007315289</v>
      </c>
      <c r="I27" s="33">
        <f t="shared" si="5"/>
        <v>52.621491489585274</v>
      </c>
    </row>
    <row r="28" spans="1:9" x14ac:dyDescent="0.3">
      <c r="A28" s="16">
        <v>1729</v>
      </c>
      <c r="B28" s="14">
        <v>9911</v>
      </c>
      <c r="C28" s="14">
        <v>10710</v>
      </c>
      <c r="D28" s="33">
        <f t="shared" si="1"/>
        <v>53.56315881143972</v>
      </c>
      <c r="E28" s="11">
        <f t="shared" si="2"/>
        <v>10838.669599999999</v>
      </c>
      <c r="F28" s="11">
        <f t="shared" si="0"/>
        <v>10710</v>
      </c>
      <c r="G28" s="86">
        <f t="shared" si="6"/>
        <v>1.1871346276668362</v>
      </c>
      <c r="H28" s="33">
        <f t="shared" si="3"/>
        <v>9793.3430870519387</v>
      </c>
      <c r="I28" s="33">
        <f t="shared" si="5"/>
        <v>53.56315881143972</v>
      </c>
    </row>
    <row r="29" spans="1:9" x14ac:dyDescent="0.3">
      <c r="A29" s="16">
        <v>1748</v>
      </c>
      <c r="B29" s="14">
        <v>19125</v>
      </c>
      <c r="C29" s="14">
        <v>20984</v>
      </c>
      <c r="D29" s="33">
        <f t="shared" si="1"/>
        <v>52.891728424568996</v>
      </c>
      <c r="E29" s="11">
        <f t="shared" si="2"/>
        <v>20915.099999999999</v>
      </c>
      <c r="F29" s="11">
        <f t="shared" si="0"/>
        <v>20984</v>
      </c>
      <c r="G29" s="86">
        <f t="shared" si="6"/>
        <v>-0.32942706465664173</v>
      </c>
      <c r="H29" s="33">
        <f t="shared" si="3"/>
        <v>19188.002926115583</v>
      </c>
      <c r="I29" s="33">
        <f t="shared" si="5"/>
        <v>52.891728424568996</v>
      </c>
    </row>
    <row r="30" spans="1:9" x14ac:dyDescent="0.3">
      <c r="A30" s="16">
        <v>1756</v>
      </c>
      <c r="B30" s="14">
        <v>17080</v>
      </c>
      <c r="C30" s="14">
        <v>18387</v>
      </c>
      <c r="D30" s="33">
        <f t="shared" si="1"/>
        <v>53.732135339887613</v>
      </c>
      <c r="E30" s="11">
        <f t="shared" si="2"/>
        <v>18678.687999999998</v>
      </c>
      <c r="F30" s="11">
        <f t="shared" si="0"/>
        <v>18387</v>
      </c>
      <c r="G30" s="86">
        <f t="shared" si="6"/>
        <v>1.5616086097695785</v>
      </c>
      <c r="H30" s="33">
        <f t="shared" si="3"/>
        <v>16813.277249451356</v>
      </c>
      <c r="I30" s="33">
        <f t="shared" si="5"/>
        <v>53.732135339887613</v>
      </c>
    </row>
    <row r="31" spans="1:9" x14ac:dyDescent="0.3">
      <c r="A31" s="16">
        <v>1757</v>
      </c>
      <c r="B31" s="14">
        <v>190</v>
      </c>
      <c r="C31" s="14">
        <v>210</v>
      </c>
      <c r="D31" s="33">
        <f t="shared" si="1"/>
        <v>52.572682620963533</v>
      </c>
      <c r="E31" s="11">
        <f t="shared" si="2"/>
        <v>207.78399999999999</v>
      </c>
      <c r="F31" s="11">
        <f t="shared" si="0"/>
        <v>210</v>
      </c>
      <c r="G31" s="86">
        <f t="shared" si="6"/>
        <v>-1.0664921264389875</v>
      </c>
      <c r="H31" s="33">
        <f t="shared" si="3"/>
        <v>192.0263350402341</v>
      </c>
      <c r="I31" s="33">
        <f t="shared" si="5"/>
        <v>52.572682620963533</v>
      </c>
    </row>
    <row r="32" spans="1:9" x14ac:dyDescent="0.3">
      <c r="A32" s="16">
        <v>1697</v>
      </c>
      <c r="B32" s="14">
        <v>29554</v>
      </c>
      <c r="C32" s="14">
        <v>31798</v>
      </c>
      <c r="D32" s="33">
        <f t="shared" si="1"/>
        <v>53.756728338124532</v>
      </c>
      <c r="E32" s="11">
        <f t="shared" si="2"/>
        <v>32320.254399999998</v>
      </c>
      <c r="F32" s="11">
        <f t="shared" si="0"/>
        <v>31798</v>
      </c>
      <c r="G32" s="86">
        <f t="shared" si="6"/>
        <v>1.6158734196102102</v>
      </c>
      <c r="H32" s="33">
        <f t="shared" si="3"/>
        <v>29076.444769568399</v>
      </c>
      <c r="I32" s="33">
        <f t="shared" si="5"/>
        <v>53.756728338124532</v>
      </c>
    </row>
    <row r="33" spans="1:9" x14ac:dyDescent="0.3">
      <c r="A33" s="16">
        <v>1727</v>
      </c>
      <c r="B33" s="14">
        <v>10376</v>
      </c>
      <c r="C33" s="14">
        <v>11222</v>
      </c>
      <c r="D33" s="33">
        <f t="shared" ref="D33:D37" si="7">I33</f>
        <v>53.525504883356277</v>
      </c>
      <c r="E33" s="11">
        <f t="shared" ref="E33:E37" si="8">B33 * 1.0936</f>
        <v>11347.193599999999</v>
      </c>
      <c r="F33" s="11">
        <f t="shared" ref="F33:F37" si="9">C33</f>
        <v>11222</v>
      </c>
      <c r="G33" s="86">
        <f t="shared" ref="G33:G37" si="10">100- (F33/E33 *100)</f>
        <v>1.1033001146644636</v>
      </c>
      <c r="H33" s="33">
        <f t="shared" ref="H33:H37" si="11">F33/1.0936</f>
        <v>10261.521580102415</v>
      </c>
      <c r="I33" s="33">
        <f t="shared" ref="I33:I37" si="12">((B33*48)+(H33*10))/C33</f>
        <v>53.525504883356277</v>
      </c>
    </row>
    <row r="34" spans="1:9" x14ac:dyDescent="0.3">
      <c r="A34" s="16">
        <v>1755</v>
      </c>
      <c r="B34" s="14">
        <v>28470</v>
      </c>
      <c r="C34" s="14">
        <v>30491</v>
      </c>
      <c r="D34" s="33">
        <f t="shared" si="7"/>
        <v>53.962582216628761</v>
      </c>
      <c r="E34" s="11">
        <f t="shared" si="8"/>
        <v>31134.791999999998</v>
      </c>
      <c r="F34" s="11">
        <f t="shared" si="9"/>
        <v>30491</v>
      </c>
      <c r="G34" s="86">
        <f t="shared" si="10"/>
        <v>2.0677575106331147</v>
      </c>
      <c r="H34" s="33">
        <f t="shared" si="11"/>
        <v>27881.309436722753</v>
      </c>
      <c r="I34" s="33">
        <f t="shared" si="12"/>
        <v>53.962582216628761</v>
      </c>
    </row>
    <row r="35" spans="1:9" x14ac:dyDescent="0.3">
      <c r="A35" s="16" t="s">
        <v>284</v>
      </c>
      <c r="B35" s="14">
        <v>5818</v>
      </c>
      <c r="C35" s="14">
        <v>6112</v>
      </c>
      <c r="D35" s="33">
        <f t="shared" si="7"/>
        <v>54.835210668831891</v>
      </c>
      <c r="E35" s="11">
        <f t="shared" si="8"/>
        <v>6362.5647999999992</v>
      </c>
      <c r="F35" s="11">
        <f t="shared" si="9"/>
        <v>6112</v>
      </c>
      <c r="G35" s="86">
        <f t="shared" si="10"/>
        <v>3.9381099898581624</v>
      </c>
      <c r="H35" s="33">
        <f t="shared" si="11"/>
        <v>5588.8807607900517</v>
      </c>
      <c r="I35" s="33">
        <f t="shared" si="12"/>
        <v>54.835210668831891</v>
      </c>
    </row>
    <row r="36" spans="1:9" x14ac:dyDescent="0.3">
      <c r="A36" s="16">
        <v>1763</v>
      </c>
      <c r="B36" s="14">
        <v>12019</v>
      </c>
      <c r="C36" s="14">
        <v>12863</v>
      </c>
      <c r="D36" s="33">
        <f t="shared" si="7"/>
        <v>53.994612630625795</v>
      </c>
      <c r="E36" s="11">
        <f t="shared" si="8"/>
        <v>13143.978399999998</v>
      </c>
      <c r="F36" s="11">
        <f t="shared" si="9"/>
        <v>12863</v>
      </c>
      <c r="G36" s="86">
        <f t="shared" si="10"/>
        <v>2.1376967570183893</v>
      </c>
      <c r="H36" s="33">
        <f t="shared" si="11"/>
        <v>11762.070226773958</v>
      </c>
      <c r="I36" s="33">
        <f t="shared" si="12"/>
        <v>53.994612630625795</v>
      </c>
    </row>
    <row r="37" spans="1:9" x14ac:dyDescent="0.3">
      <c r="A37" s="16">
        <v>1701</v>
      </c>
      <c r="B37" s="14">
        <v>3843</v>
      </c>
      <c r="C37" s="14">
        <v>4440</v>
      </c>
      <c r="D37" s="33">
        <f t="shared" si="7"/>
        <v>50.690057138338041</v>
      </c>
      <c r="E37" s="11">
        <f t="shared" si="8"/>
        <v>4202.7047999999995</v>
      </c>
      <c r="F37" s="11">
        <f t="shared" si="9"/>
        <v>4440</v>
      </c>
      <c r="G37" s="86">
        <f t="shared" si="10"/>
        <v>-5.6462495295886725</v>
      </c>
      <c r="H37" s="33">
        <f t="shared" si="11"/>
        <v>4059.9853694220924</v>
      </c>
      <c r="I37" s="33">
        <f t="shared" si="12"/>
        <v>50.690057138338041</v>
      </c>
    </row>
    <row r="38" spans="1:9" x14ac:dyDescent="0.3">
      <c r="A38" s="16">
        <v>1753</v>
      </c>
      <c r="B38" s="14">
        <v>30199</v>
      </c>
      <c r="C38" s="14">
        <v>32005</v>
      </c>
      <c r="D38" s="33">
        <f t="shared" si="1"/>
        <v>54.435534407514737</v>
      </c>
      <c r="E38" s="11">
        <f t="shared" si="2"/>
        <v>33025.626399999994</v>
      </c>
      <c r="F38" s="11">
        <f t="shared" si="0"/>
        <v>32005</v>
      </c>
      <c r="G38" s="86">
        <f t="shared" si="6"/>
        <v>3.0904073934536882</v>
      </c>
      <c r="H38" s="33">
        <f t="shared" si="3"/>
        <v>29265.727871250918</v>
      </c>
      <c r="I38" s="33">
        <f t="shared" si="5"/>
        <v>54.435534407514737</v>
      </c>
    </row>
    <row r="39" spans="1:9" x14ac:dyDescent="0.3">
      <c r="A39" s="16">
        <v>1751</v>
      </c>
      <c r="B39" s="14">
        <v>50317</v>
      </c>
      <c r="C39" s="14">
        <v>54460</v>
      </c>
      <c r="D39" s="33">
        <f t="shared" ref="D39:D44" si="13">I39</f>
        <v>53.492550413839034</v>
      </c>
      <c r="E39" s="11">
        <f t="shared" ref="E39:E44" si="14">B39 * 1.0936</f>
        <v>55026.671199999997</v>
      </c>
      <c r="F39" s="11">
        <f t="shared" ref="F39:F44" si="15">C39</f>
        <v>54460</v>
      </c>
      <c r="G39" s="86">
        <f t="shared" ref="G39:G44" si="16">100- (F39/E39 *100)</f>
        <v>1.0298118851136309</v>
      </c>
      <c r="H39" s="33">
        <f t="shared" ref="H39:H44" si="17">F39/1.0936</f>
        <v>49798.829553767377</v>
      </c>
      <c r="I39" s="33">
        <f t="shared" ref="I39:I44" si="18">((B39*48)+(H39*10))/C39</f>
        <v>53.492550413839034</v>
      </c>
    </row>
    <row r="40" spans="1:9" x14ac:dyDescent="0.3">
      <c r="A40" s="16">
        <v>1760</v>
      </c>
      <c r="B40" s="14">
        <v>25118</v>
      </c>
      <c r="C40" s="14">
        <v>26470</v>
      </c>
      <c r="D40" s="33">
        <f t="shared" si="13"/>
        <v>54.692430043922137</v>
      </c>
      <c r="E40" s="11">
        <f t="shared" si="14"/>
        <v>27469.044799999996</v>
      </c>
      <c r="F40" s="11">
        <f t="shared" si="15"/>
        <v>26470</v>
      </c>
      <c r="G40" s="86">
        <f t="shared" si="16"/>
        <v>3.6369841298594991</v>
      </c>
      <c r="H40" s="33">
        <f t="shared" si="17"/>
        <v>24204.462326261888</v>
      </c>
      <c r="I40" s="33">
        <f t="shared" si="18"/>
        <v>54.692430043922137</v>
      </c>
    </row>
    <row r="41" spans="1:9" x14ac:dyDescent="0.3">
      <c r="A41" s="16">
        <v>1762</v>
      </c>
      <c r="B41" s="14">
        <v>9526</v>
      </c>
      <c r="C41" s="14">
        <v>10457</v>
      </c>
      <c r="D41" s="33">
        <f t="shared" si="13"/>
        <v>52.870610188280025</v>
      </c>
      <c r="E41" s="11">
        <f t="shared" si="14"/>
        <v>10417.633599999999</v>
      </c>
      <c r="F41" s="11">
        <f t="shared" si="15"/>
        <v>10457</v>
      </c>
      <c r="G41" s="86">
        <f t="shared" si="16"/>
        <v>-0.37788236284295351</v>
      </c>
      <c r="H41" s="33">
        <f t="shared" si="17"/>
        <v>9561.9970738844186</v>
      </c>
      <c r="I41" s="33">
        <f t="shared" si="18"/>
        <v>52.870610188280025</v>
      </c>
    </row>
    <row r="42" spans="1:9" x14ac:dyDescent="0.3">
      <c r="A42" s="16">
        <v>1767</v>
      </c>
      <c r="B42" s="14">
        <v>15626</v>
      </c>
      <c r="C42" s="14">
        <v>16894</v>
      </c>
      <c r="D42" s="33">
        <f t="shared" si="13"/>
        <v>53.541412009250159</v>
      </c>
      <c r="E42" s="11">
        <f t="shared" si="14"/>
        <v>17088.5936</v>
      </c>
      <c r="F42" s="11">
        <f t="shared" si="15"/>
        <v>16894</v>
      </c>
      <c r="G42" s="86">
        <f t="shared" si="16"/>
        <v>1.1387338510993743</v>
      </c>
      <c r="H42" s="33">
        <f t="shared" si="17"/>
        <v>15448.061448427214</v>
      </c>
      <c r="I42" s="33">
        <f t="shared" si="18"/>
        <v>53.541412009250159</v>
      </c>
    </row>
    <row r="43" spans="1:9" x14ac:dyDescent="0.3">
      <c r="A43" s="16">
        <v>1764</v>
      </c>
      <c r="B43" s="14">
        <v>11093</v>
      </c>
      <c r="C43" s="14">
        <v>11816</v>
      </c>
      <c r="D43" s="33">
        <f t="shared" si="13"/>
        <v>54.207076662940516</v>
      </c>
      <c r="E43" s="11">
        <f t="shared" si="14"/>
        <v>12131.304799999998</v>
      </c>
      <c r="F43" s="11">
        <f t="shared" si="15"/>
        <v>11816</v>
      </c>
      <c r="G43" s="86">
        <f t="shared" si="16"/>
        <v>2.5991004693905495</v>
      </c>
      <c r="H43" s="33">
        <f t="shared" si="17"/>
        <v>10804.681784930506</v>
      </c>
      <c r="I43" s="33">
        <f t="shared" si="18"/>
        <v>54.207076662940516</v>
      </c>
    </row>
    <row r="44" spans="1:9" x14ac:dyDescent="0.3">
      <c r="A44" s="16">
        <v>1765</v>
      </c>
      <c r="B44" s="14">
        <v>7371</v>
      </c>
      <c r="C44" s="14">
        <v>8140</v>
      </c>
      <c r="D44" s="33">
        <f t="shared" si="13"/>
        <v>52.609467457748366</v>
      </c>
      <c r="E44" s="11">
        <f t="shared" si="14"/>
        <v>8060.9255999999996</v>
      </c>
      <c r="F44" s="11">
        <f t="shared" si="15"/>
        <v>8140</v>
      </c>
      <c r="G44" s="86">
        <f t="shared" si="16"/>
        <v>-0.9809593081965744</v>
      </c>
      <c r="H44" s="33">
        <f t="shared" si="17"/>
        <v>7443.3065106071699</v>
      </c>
      <c r="I44" s="33">
        <f t="shared" si="18"/>
        <v>52.609467457748366</v>
      </c>
    </row>
    <row r="45" spans="1:9" x14ac:dyDescent="0.3">
      <c r="A45" s="16" t="s">
        <v>28</v>
      </c>
      <c r="B45" s="35">
        <v>100795</v>
      </c>
      <c r="C45" s="35">
        <v>944679</v>
      </c>
      <c r="D45" s="33">
        <f t="shared" ref="D45:D58" si="19">I45</f>
        <v>14.265596903411399</v>
      </c>
      <c r="E45" s="11">
        <f t="shared" ref="E45:E58" si="20">B45 * 1.0936</f>
        <v>110229.412</v>
      </c>
      <c r="F45" s="11">
        <f t="shared" ref="F45:F58" si="21">C45</f>
        <v>944679</v>
      </c>
      <c r="G45" s="86">
        <f t="shared" ref="G45:G58" si="22">100- (F45/E45 *100)</f>
        <v>-757.01173839156479</v>
      </c>
      <c r="H45" s="33">
        <f t="shared" ref="H45:H58" si="23">F45/1.0936</f>
        <v>863824.98171177774</v>
      </c>
      <c r="I45" s="33">
        <f t="shared" ref="I45:I58" si="24">((B45*48)+(H45*10))/C45</f>
        <v>14.265596903411399</v>
      </c>
    </row>
    <row r="46" spans="1:9" x14ac:dyDescent="0.3">
      <c r="D46" s="33" t="e">
        <f t="shared" si="19"/>
        <v>#DIV/0!</v>
      </c>
      <c r="E46" s="11">
        <f t="shared" si="20"/>
        <v>0</v>
      </c>
      <c r="F46" s="11">
        <f t="shared" si="21"/>
        <v>0</v>
      </c>
      <c r="G46" s="86" t="e">
        <f t="shared" si="22"/>
        <v>#DIV/0!</v>
      </c>
      <c r="H46" s="33">
        <f t="shared" si="23"/>
        <v>0</v>
      </c>
      <c r="I46" s="33" t="e">
        <f t="shared" si="24"/>
        <v>#DIV/0!</v>
      </c>
    </row>
    <row r="47" spans="1:9" x14ac:dyDescent="0.3">
      <c r="D47" s="33" t="e">
        <f t="shared" si="19"/>
        <v>#DIV/0!</v>
      </c>
      <c r="E47" s="11">
        <f t="shared" si="20"/>
        <v>0</v>
      </c>
      <c r="F47" s="11">
        <f t="shared" si="21"/>
        <v>0</v>
      </c>
      <c r="G47" s="86" t="e">
        <f t="shared" si="22"/>
        <v>#DIV/0!</v>
      </c>
      <c r="H47" s="33">
        <f t="shared" si="23"/>
        <v>0</v>
      </c>
      <c r="I47" s="33" t="e">
        <f t="shared" si="24"/>
        <v>#DIV/0!</v>
      </c>
    </row>
    <row r="48" spans="1:9" x14ac:dyDescent="0.3">
      <c r="D48" s="33" t="e">
        <f t="shared" si="19"/>
        <v>#DIV/0!</v>
      </c>
      <c r="E48" s="11">
        <f t="shared" si="20"/>
        <v>0</v>
      </c>
      <c r="F48" s="11">
        <f t="shared" si="21"/>
        <v>0</v>
      </c>
      <c r="G48" s="86" t="e">
        <f t="shared" si="22"/>
        <v>#DIV/0!</v>
      </c>
      <c r="H48" s="33">
        <f t="shared" si="23"/>
        <v>0</v>
      </c>
      <c r="I48" s="33" t="e">
        <f t="shared" si="24"/>
        <v>#DIV/0!</v>
      </c>
    </row>
    <row r="49" spans="4:9" x14ac:dyDescent="0.3">
      <c r="D49" s="33" t="e">
        <f t="shared" si="19"/>
        <v>#DIV/0!</v>
      </c>
      <c r="E49" s="11">
        <f t="shared" si="20"/>
        <v>0</v>
      </c>
      <c r="F49" s="11">
        <f t="shared" si="21"/>
        <v>0</v>
      </c>
      <c r="G49" s="86" t="e">
        <f t="shared" si="22"/>
        <v>#DIV/0!</v>
      </c>
      <c r="H49" s="33">
        <f t="shared" si="23"/>
        <v>0</v>
      </c>
      <c r="I49" s="33" t="e">
        <f t="shared" si="24"/>
        <v>#DIV/0!</v>
      </c>
    </row>
    <row r="50" spans="4:9" x14ac:dyDescent="0.3">
      <c r="D50" s="33" t="e">
        <f t="shared" si="19"/>
        <v>#DIV/0!</v>
      </c>
      <c r="E50" s="11">
        <f t="shared" si="20"/>
        <v>0</v>
      </c>
      <c r="F50" s="11">
        <f t="shared" si="21"/>
        <v>0</v>
      </c>
      <c r="G50" s="86" t="e">
        <f t="shared" si="22"/>
        <v>#DIV/0!</v>
      </c>
      <c r="H50" s="33">
        <f t="shared" si="23"/>
        <v>0</v>
      </c>
      <c r="I50" s="33" t="e">
        <f t="shared" si="24"/>
        <v>#DIV/0!</v>
      </c>
    </row>
    <row r="51" spans="4:9" x14ac:dyDescent="0.3">
      <c r="D51" s="33" t="e">
        <f t="shared" si="19"/>
        <v>#DIV/0!</v>
      </c>
      <c r="E51" s="11">
        <f t="shared" si="20"/>
        <v>0</v>
      </c>
      <c r="F51" s="11">
        <f t="shared" si="21"/>
        <v>0</v>
      </c>
      <c r="G51" s="86" t="e">
        <f t="shared" si="22"/>
        <v>#DIV/0!</v>
      </c>
      <c r="H51" s="33">
        <f t="shared" si="23"/>
        <v>0</v>
      </c>
      <c r="I51" s="33" t="e">
        <f t="shared" si="24"/>
        <v>#DIV/0!</v>
      </c>
    </row>
    <row r="52" spans="4:9" x14ac:dyDescent="0.3">
      <c r="D52" s="33" t="e">
        <f t="shared" si="19"/>
        <v>#DIV/0!</v>
      </c>
      <c r="E52" s="11">
        <f t="shared" si="20"/>
        <v>0</v>
      </c>
      <c r="F52" s="11">
        <f t="shared" si="21"/>
        <v>0</v>
      </c>
      <c r="G52" s="86" t="e">
        <f t="shared" si="22"/>
        <v>#DIV/0!</v>
      </c>
      <c r="H52" s="33">
        <f t="shared" si="23"/>
        <v>0</v>
      </c>
      <c r="I52" s="33" t="e">
        <f t="shared" si="24"/>
        <v>#DIV/0!</v>
      </c>
    </row>
    <row r="53" spans="4:9" x14ac:dyDescent="0.3">
      <c r="D53" s="33" t="e">
        <f t="shared" si="19"/>
        <v>#DIV/0!</v>
      </c>
      <c r="E53" s="11">
        <f t="shared" si="20"/>
        <v>0</v>
      </c>
      <c r="F53" s="11">
        <f t="shared" si="21"/>
        <v>0</v>
      </c>
      <c r="G53" s="86" t="e">
        <f t="shared" si="22"/>
        <v>#DIV/0!</v>
      </c>
      <c r="H53" s="33">
        <f t="shared" si="23"/>
        <v>0</v>
      </c>
      <c r="I53" s="33" t="e">
        <f t="shared" si="24"/>
        <v>#DIV/0!</v>
      </c>
    </row>
    <row r="54" spans="4:9" x14ac:dyDescent="0.3">
      <c r="D54" s="33" t="e">
        <f t="shared" si="19"/>
        <v>#DIV/0!</v>
      </c>
      <c r="E54" s="11">
        <f t="shared" si="20"/>
        <v>0</v>
      </c>
      <c r="F54" s="11">
        <f t="shared" si="21"/>
        <v>0</v>
      </c>
      <c r="G54" s="86" t="e">
        <f t="shared" si="22"/>
        <v>#DIV/0!</v>
      </c>
      <c r="H54" s="33">
        <f t="shared" si="23"/>
        <v>0</v>
      </c>
      <c r="I54" s="33" t="e">
        <f t="shared" si="24"/>
        <v>#DIV/0!</v>
      </c>
    </row>
    <row r="55" spans="4:9" x14ac:dyDescent="0.3">
      <c r="D55" s="33" t="e">
        <f t="shared" si="19"/>
        <v>#DIV/0!</v>
      </c>
      <c r="E55" s="11">
        <f t="shared" si="20"/>
        <v>0</v>
      </c>
      <c r="F55" s="11">
        <f t="shared" si="21"/>
        <v>0</v>
      </c>
      <c r="G55" s="86" t="e">
        <f t="shared" si="22"/>
        <v>#DIV/0!</v>
      </c>
      <c r="H55" s="33">
        <f t="shared" si="23"/>
        <v>0</v>
      </c>
      <c r="I55" s="33" t="e">
        <f t="shared" si="24"/>
        <v>#DIV/0!</v>
      </c>
    </row>
    <row r="56" spans="4:9" x14ac:dyDescent="0.3">
      <c r="D56" s="33" t="e">
        <f t="shared" si="19"/>
        <v>#DIV/0!</v>
      </c>
      <c r="E56" s="11">
        <f t="shared" si="20"/>
        <v>0</v>
      </c>
      <c r="F56" s="11">
        <f t="shared" si="21"/>
        <v>0</v>
      </c>
      <c r="G56" s="86" t="e">
        <f t="shared" si="22"/>
        <v>#DIV/0!</v>
      </c>
      <c r="H56" s="33">
        <f t="shared" si="23"/>
        <v>0</v>
      </c>
      <c r="I56" s="33" t="e">
        <f t="shared" si="24"/>
        <v>#DIV/0!</v>
      </c>
    </row>
    <row r="57" spans="4:9" x14ac:dyDescent="0.3">
      <c r="D57" s="33" t="e">
        <f t="shared" si="19"/>
        <v>#DIV/0!</v>
      </c>
      <c r="E57" s="11">
        <f t="shared" si="20"/>
        <v>0</v>
      </c>
      <c r="F57" s="11">
        <f t="shared" si="21"/>
        <v>0</v>
      </c>
      <c r="G57" s="86" t="e">
        <f t="shared" si="22"/>
        <v>#DIV/0!</v>
      </c>
      <c r="H57" s="33">
        <f t="shared" si="23"/>
        <v>0</v>
      </c>
      <c r="I57" s="33" t="e">
        <f t="shared" si="24"/>
        <v>#DIV/0!</v>
      </c>
    </row>
    <row r="58" spans="4:9" x14ac:dyDescent="0.3">
      <c r="D58" s="33" t="e">
        <f t="shared" si="19"/>
        <v>#DIV/0!</v>
      </c>
      <c r="E58" s="11">
        <f t="shared" si="20"/>
        <v>0</v>
      </c>
      <c r="F58" s="11">
        <f t="shared" si="21"/>
        <v>0</v>
      </c>
      <c r="G58" s="86" t="e">
        <f t="shared" si="22"/>
        <v>#DIV/0!</v>
      </c>
      <c r="H58" s="33">
        <f t="shared" si="23"/>
        <v>0</v>
      </c>
      <c r="I58" s="33" t="e">
        <f t="shared" si="24"/>
        <v>#DIV/0!</v>
      </c>
    </row>
    <row r="59" spans="4:9" x14ac:dyDescent="0.3">
      <c r="D59" s="33" t="e">
        <f t="shared" ref="D59:D75" si="25">I59</f>
        <v>#DIV/0!</v>
      </c>
      <c r="E59" s="11">
        <f t="shared" ref="E59:E75" si="26">B59 * 1.0936</f>
        <v>0</v>
      </c>
      <c r="F59" s="11">
        <f t="shared" ref="F59:F75" si="27">C59</f>
        <v>0</v>
      </c>
      <c r="G59" s="86" t="e">
        <f t="shared" ref="G59:G75" si="28">100- (F59/E59 *100)</f>
        <v>#DIV/0!</v>
      </c>
      <c r="H59" s="33">
        <f t="shared" ref="H59:H75" si="29">F59/1.0936</f>
        <v>0</v>
      </c>
      <c r="I59" s="33" t="e">
        <f t="shared" ref="I59:I75" si="30">((B59*48)+(H59*10))/C59</f>
        <v>#DIV/0!</v>
      </c>
    </row>
    <row r="60" spans="4:9" x14ac:dyDescent="0.3">
      <c r="D60" s="33" t="e">
        <f t="shared" si="25"/>
        <v>#DIV/0!</v>
      </c>
      <c r="E60" s="11">
        <f t="shared" si="26"/>
        <v>0</v>
      </c>
      <c r="F60" s="11">
        <f t="shared" si="27"/>
        <v>0</v>
      </c>
      <c r="G60" s="86" t="e">
        <f t="shared" si="28"/>
        <v>#DIV/0!</v>
      </c>
      <c r="H60" s="33">
        <f t="shared" si="29"/>
        <v>0</v>
      </c>
      <c r="I60" s="33" t="e">
        <f t="shared" si="30"/>
        <v>#DIV/0!</v>
      </c>
    </row>
    <row r="61" spans="4:9" x14ac:dyDescent="0.3">
      <c r="D61" s="33" t="e">
        <f t="shared" si="25"/>
        <v>#DIV/0!</v>
      </c>
      <c r="E61" s="11">
        <f t="shared" si="26"/>
        <v>0</v>
      </c>
      <c r="F61" s="11">
        <f t="shared" si="27"/>
        <v>0</v>
      </c>
      <c r="G61" s="86" t="e">
        <f t="shared" si="28"/>
        <v>#DIV/0!</v>
      </c>
      <c r="H61" s="33">
        <f t="shared" si="29"/>
        <v>0</v>
      </c>
      <c r="I61" s="33" t="e">
        <f t="shared" si="30"/>
        <v>#DIV/0!</v>
      </c>
    </row>
    <row r="62" spans="4:9" x14ac:dyDescent="0.3">
      <c r="D62" s="33" t="e">
        <f t="shared" si="25"/>
        <v>#DIV/0!</v>
      </c>
      <c r="E62" s="11">
        <f t="shared" si="26"/>
        <v>0</v>
      </c>
      <c r="F62" s="11">
        <f t="shared" si="27"/>
        <v>0</v>
      </c>
      <c r="G62" s="86" t="e">
        <f t="shared" si="28"/>
        <v>#DIV/0!</v>
      </c>
      <c r="H62" s="33">
        <f t="shared" si="29"/>
        <v>0</v>
      </c>
      <c r="I62" s="33" t="e">
        <f t="shared" si="30"/>
        <v>#DIV/0!</v>
      </c>
    </row>
    <row r="63" spans="4:9" x14ac:dyDescent="0.3">
      <c r="D63" s="33" t="e">
        <f t="shared" si="25"/>
        <v>#DIV/0!</v>
      </c>
      <c r="E63" s="11">
        <f t="shared" si="26"/>
        <v>0</v>
      </c>
      <c r="F63" s="11">
        <f t="shared" si="27"/>
        <v>0</v>
      </c>
      <c r="G63" s="86" t="e">
        <f t="shared" si="28"/>
        <v>#DIV/0!</v>
      </c>
      <c r="H63" s="33">
        <f t="shared" si="29"/>
        <v>0</v>
      </c>
      <c r="I63" s="33" t="e">
        <f t="shared" si="30"/>
        <v>#DIV/0!</v>
      </c>
    </row>
    <row r="64" spans="4:9" x14ac:dyDescent="0.3">
      <c r="D64" s="33" t="e">
        <f t="shared" si="25"/>
        <v>#DIV/0!</v>
      </c>
      <c r="E64" s="11">
        <f t="shared" si="26"/>
        <v>0</v>
      </c>
      <c r="F64" s="11">
        <f t="shared" si="27"/>
        <v>0</v>
      </c>
      <c r="G64" s="86" t="e">
        <f t="shared" si="28"/>
        <v>#DIV/0!</v>
      </c>
      <c r="H64" s="33">
        <f t="shared" si="29"/>
        <v>0</v>
      </c>
      <c r="I64" s="33" t="e">
        <f t="shared" si="30"/>
        <v>#DIV/0!</v>
      </c>
    </row>
    <row r="65" spans="4:9" x14ac:dyDescent="0.3">
      <c r="D65" s="33" t="e">
        <f t="shared" si="25"/>
        <v>#DIV/0!</v>
      </c>
      <c r="E65" s="11">
        <f t="shared" si="26"/>
        <v>0</v>
      </c>
      <c r="F65" s="11">
        <f t="shared" si="27"/>
        <v>0</v>
      </c>
      <c r="G65" s="86" t="e">
        <f t="shared" si="28"/>
        <v>#DIV/0!</v>
      </c>
      <c r="H65" s="33">
        <f t="shared" si="29"/>
        <v>0</v>
      </c>
      <c r="I65" s="33" t="e">
        <f t="shared" si="30"/>
        <v>#DIV/0!</v>
      </c>
    </row>
    <row r="66" spans="4:9" x14ac:dyDescent="0.3">
      <c r="D66" s="33" t="e">
        <f t="shared" si="25"/>
        <v>#DIV/0!</v>
      </c>
      <c r="E66" s="11">
        <f t="shared" si="26"/>
        <v>0</v>
      </c>
      <c r="F66" s="11">
        <f t="shared" si="27"/>
        <v>0</v>
      </c>
      <c r="G66" s="86" t="e">
        <f t="shared" si="28"/>
        <v>#DIV/0!</v>
      </c>
      <c r="H66" s="33">
        <f t="shared" si="29"/>
        <v>0</v>
      </c>
      <c r="I66" s="33" t="e">
        <f t="shared" si="30"/>
        <v>#DIV/0!</v>
      </c>
    </row>
    <row r="67" spans="4:9" x14ac:dyDescent="0.3">
      <c r="D67" s="33" t="e">
        <f t="shared" si="25"/>
        <v>#DIV/0!</v>
      </c>
      <c r="E67" s="11">
        <f t="shared" si="26"/>
        <v>0</v>
      </c>
      <c r="F67" s="11">
        <f t="shared" si="27"/>
        <v>0</v>
      </c>
      <c r="G67" s="86" t="e">
        <f t="shared" si="28"/>
        <v>#DIV/0!</v>
      </c>
      <c r="H67" s="33">
        <f t="shared" si="29"/>
        <v>0</v>
      </c>
      <c r="I67" s="33" t="e">
        <f t="shared" si="30"/>
        <v>#DIV/0!</v>
      </c>
    </row>
    <row r="68" spans="4:9" x14ac:dyDescent="0.3">
      <c r="D68" s="33" t="e">
        <f t="shared" si="25"/>
        <v>#DIV/0!</v>
      </c>
      <c r="E68" s="11">
        <f t="shared" si="26"/>
        <v>0</v>
      </c>
      <c r="F68" s="11">
        <f t="shared" si="27"/>
        <v>0</v>
      </c>
      <c r="G68" s="86" t="e">
        <f t="shared" si="28"/>
        <v>#DIV/0!</v>
      </c>
      <c r="H68" s="33">
        <f t="shared" si="29"/>
        <v>0</v>
      </c>
      <c r="I68" s="33" t="e">
        <f t="shared" si="30"/>
        <v>#DIV/0!</v>
      </c>
    </row>
    <row r="69" spans="4:9" x14ac:dyDescent="0.3">
      <c r="D69" s="33" t="e">
        <f t="shared" si="25"/>
        <v>#DIV/0!</v>
      </c>
      <c r="E69" s="11">
        <f t="shared" si="26"/>
        <v>0</v>
      </c>
      <c r="F69" s="11">
        <f t="shared" si="27"/>
        <v>0</v>
      </c>
      <c r="G69" s="86" t="e">
        <f t="shared" si="28"/>
        <v>#DIV/0!</v>
      </c>
      <c r="H69" s="33">
        <f t="shared" si="29"/>
        <v>0</v>
      </c>
      <c r="I69" s="33" t="e">
        <f t="shared" si="30"/>
        <v>#DIV/0!</v>
      </c>
    </row>
    <row r="70" spans="4:9" x14ac:dyDescent="0.3">
      <c r="D70" s="33" t="e">
        <f t="shared" si="25"/>
        <v>#DIV/0!</v>
      </c>
      <c r="E70" s="11">
        <f t="shared" si="26"/>
        <v>0</v>
      </c>
      <c r="F70" s="11">
        <f t="shared" si="27"/>
        <v>0</v>
      </c>
      <c r="G70" s="86" t="e">
        <f t="shared" si="28"/>
        <v>#DIV/0!</v>
      </c>
      <c r="H70" s="33">
        <f t="shared" si="29"/>
        <v>0</v>
      </c>
      <c r="I70" s="33" t="e">
        <f t="shared" si="30"/>
        <v>#DIV/0!</v>
      </c>
    </row>
    <row r="71" spans="4:9" x14ac:dyDescent="0.3">
      <c r="D71" s="33" t="e">
        <f t="shared" si="25"/>
        <v>#DIV/0!</v>
      </c>
      <c r="E71" s="11">
        <f t="shared" si="26"/>
        <v>0</v>
      </c>
      <c r="F71" s="11">
        <f t="shared" si="27"/>
        <v>0</v>
      </c>
      <c r="G71" s="86" t="e">
        <f t="shared" si="28"/>
        <v>#DIV/0!</v>
      </c>
      <c r="H71" s="33">
        <f t="shared" si="29"/>
        <v>0</v>
      </c>
      <c r="I71" s="33" t="e">
        <f t="shared" si="30"/>
        <v>#DIV/0!</v>
      </c>
    </row>
    <row r="72" spans="4:9" x14ac:dyDescent="0.3">
      <c r="D72" s="33" t="e">
        <f t="shared" si="25"/>
        <v>#DIV/0!</v>
      </c>
      <c r="E72" s="11">
        <f t="shared" si="26"/>
        <v>0</v>
      </c>
      <c r="F72" s="11">
        <f t="shared" si="27"/>
        <v>0</v>
      </c>
      <c r="G72" s="86" t="e">
        <f t="shared" si="28"/>
        <v>#DIV/0!</v>
      </c>
      <c r="H72" s="33">
        <f t="shared" si="29"/>
        <v>0</v>
      </c>
      <c r="I72" s="33" t="e">
        <f t="shared" si="30"/>
        <v>#DIV/0!</v>
      </c>
    </row>
    <row r="73" spans="4:9" x14ac:dyDescent="0.3">
      <c r="D73" s="33" t="e">
        <f t="shared" si="25"/>
        <v>#DIV/0!</v>
      </c>
      <c r="E73" s="11">
        <f t="shared" si="26"/>
        <v>0</v>
      </c>
      <c r="F73" s="11">
        <f t="shared" si="27"/>
        <v>0</v>
      </c>
      <c r="G73" s="86" t="e">
        <f t="shared" si="28"/>
        <v>#DIV/0!</v>
      </c>
      <c r="H73" s="33">
        <f t="shared" si="29"/>
        <v>0</v>
      </c>
      <c r="I73" s="33" t="e">
        <f t="shared" si="30"/>
        <v>#DIV/0!</v>
      </c>
    </row>
    <row r="74" spans="4:9" x14ac:dyDescent="0.3">
      <c r="D74" s="33" t="e">
        <f t="shared" si="25"/>
        <v>#DIV/0!</v>
      </c>
      <c r="E74" s="11">
        <f t="shared" si="26"/>
        <v>0</v>
      </c>
      <c r="F74" s="11">
        <f t="shared" si="27"/>
        <v>0</v>
      </c>
      <c r="G74" s="86" t="e">
        <f t="shared" si="28"/>
        <v>#DIV/0!</v>
      </c>
      <c r="H74" s="33">
        <f t="shared" si="29"/>
        <v>0</v>
      </c>
      <c r="I74" s="33" t="e">
        <f t="shared" si="30"/>
        <v>#DIV/0!</v>
      </c>
    </row>
    <row r="75" spans="4: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1" workbookViewId="0">
      <selection activeCell="I4" sqref="I4"/>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76</v>
      </c>
      <c r="C2" t="s">
        <v>45</v>
      </c>
      <c r="D2" t="s">
        <v>46</v>
      </c>
      <c r="E2" t="s">
        <v>66</v>
      </c>
      <c r="H2" t="s">
        <v>76</v>
      </c>
      <c r="I2" t="s">
        <v>45</v>
      </c>
      <c r="J2" t="s">
        <v>46</v>
      </c>
    </row>
    <row r="3" spans="2:10" x14ac:dyDescent="0.3">
      <c r="B3" s="1">
        <v>45916</v>
      </c>
      <c r="C3" t="s">
        <v>119</v>
      </c>
      <c r="D3">
        <f>SUMIFS(Table14[Debit], Table14[Date], Table5[[#This Row],[Date]], Table14[Party], "Rashan")</f>
        <v>0</v>
      </c>
      <c r="H3" s="1">
        <v>45916</v>
      </c>
      <c r="J3">
        <f>SUMIFS(Table14[Debit], Table14[Date], Table15[[#This Row],[Date]], Table14[Party], "Parts")</f>
        <v>5800</v>
      </c>
    </row>
    <row r="4" spans="2:10" x14ac:dyDescent="0.3">
      <c r="B4" s="1">
        <v>45917</v>
      </c>
      <c r="C4" t="s">
        <v>119</v>
      </c>
      <c r="D4">
        <f>SUMIFS(Table14[Debit], Table14[Date], Table5[[#This Row],[Date]], Table14[Party], "Rashan")</f>
        <v>0</v>
      </c>
      <c r="H4" s="1">
        <v>45917</v>
      </c>
      <c r="I4" t="s">
        <v>55</v>
      </c>
      <c r="J4">
        <f>SUMIFS(Table14[Debit], Table14[Date], Table15[[#This Row],[Date]], Table14[Party], "Parts")</f>
        <v>1200</v>
      </c>
    </row>
    <row r="5" spans="2:10" x14ac:dyDescent="0.3">
      <c r="B5" s="1">
        <v>45918</v>
      </c>
      <c r="C5" t="s">
        <v>119</v>
      </c>
      <c r="D5">
        <f>SUMIFS(Table14[Debit], Table14[Date], Table5[[#This Row],[Date]], Table14[Party], "Rashan")</f>
        <v>0</v>
      </c>
      <c r="H5" s="1">
        <v>45918</v>
      </c>
      <c r="I5" t="s">
        <v>55</v>
      </c>
      <c r="J5">
        <f>SUMIFS(Table14[Debit], Table14[Date], Table15[[#This Row],[Date]], Table14[Party], "Parts")</f>
        <v>5350</v>
      </c>
    </row>
    <row r="6" spans="2:10" x14ac:dyDescent="0.3">
      <c r="B6" s="1">
        <v>45919</v>
      </c>
      <c r="C6" t="s">
        <v>119</v>
      </c>
      <c r="D6">
        <f>SUMIFS(Table14[Debit], Table14[Date], Table5[[#This Row],[Date]], Table14[Party], "Rashan")</f>
        <v>11185</v>
      </c>
      <c r="H6" s="1">
        <v>45919</v>
      </c>
      <c r="I6" t="s">
        <v>55</v>
      </c>
      <c r="J6">
        <f>SUMIFS(Table14[Debit], Table14[Date], Table15[[#This Row],[Date]], Table14[Party], "Parts")</f>
        <v>9601</v>
      </c>
    </row>
    <row r="7" spans="2:10" x14ac:dyDescent="0.3">
      <c r="B7" s="1">
        <v>45920</v>
      </c>
      <c r="C7" t="s">
        <v>119</v>
      </c>
      <c r="D7">
        <f>SUMIFS(Table14[Debit], Table14[Date], Table5[[#This Row],[Date]], Table14[Party], "Rashan")</f>
        <v>0</v>
      </c>
      <c r="H7" s="1">
        <v>45920</v>
      </c>
      <c r="I7" t="s">
        <v>55</v>
      </c>
      <c r="J7">
        <f>SUMIFS(Table14[Debit], Table14[Date], Table15[[#This Row],[Date]], Table14[Party], "Parts")</f>
        <v>8140</v>
      </c>
    </row>
    <row r="8" spans="2:10" x14ac:dyDescent="0.3">
      <c r="B8" s="1">
        <v>45921</v>
      </c>
      <c r="C8" t="s">
        <v>119</v>
      </c>
      <c r="D8">
        <f>SUMIFS(Table14[Debit], Table14[Date], Table5[[#This Row],[Date]], Table14[Party], "Rashan")</f>
        <v>0</v>
      </c>
      <c r="H8" s="1">
        <v>45921</v>
      </c>
      <c r="J8">
        <f>SUMIFS(Table14[Debit], Table14[Date], Table15[[#This Row],[Date]], Table14[Party], "Parts")</f>
        <v>14780</v>
      </c>
    </row>
    <row r="9" spans="2:10" x14ac:dyDescent="0.3">
      <c r="B9" s="1">
        <v>45922</v>
      </c>
      <c r="C9" t="s">
        <v>119</v>
      </c>
      <c r="D9">
        <f>SUMIFS(Table14[Debit], Table14[Date], Table5[[#This Row],[Date]], Table14[Party], "Rashan")</f>
        <v>18000</v>
      </c>
      <c r="H9" s="1">
        <v>45922</v>
      </c>
      <c r="J9">
        <f>SUMIFS(Table14[Debit], Table14[Date], Table15[[#This Row],[Date]], Table14[Party], "Parts")</f>
        <v>11600</v>
      </c>
    </row>
    <row r="10" spans="2:10" x14ac:dyDescent="0.3">
      <c r="B10" s="1">
        <v>45923</v>
      </c>
      <c r="C10" t="s">
        <v>119</v>
      </c>
      <c r="D10">
        <f>SUMIFS(Table14[Debit], Table14[Date], Table5[[#This Row],[Date]], Table14[Party], "Rashan")</f>
        <v>0</v>
      </c>
      <c r="H10" s="1">
        <v>45923</v>
      </c>
      <c r="J10">
        <f>SUMIFS(Table14[Debit], Table14[Date], Table15[[#This Row],[Date]], Table14[Party], "Parts")</f>
        <v>93530</v>
      </c>
    </row>
    <row r="11" spans="2:10" x14ac:dyDescent="0.3">
      <c r="B11" s="1">
        <v>45924</v>
      </c>
      <c r="C11" t="s">
        <v>119</v>
      </c>
      <c r="D11">
        <f>SUMIFS(Table14[Debit], Table14[Date], Table5[[#This Row],[Date]], Table14[Party], "Rashan")</f>
        <v>0</v>
      </c>
      <c r="H11" s="1">
        <v>45924</v>
      </c>
      <c r="J11">
        <f>SUMIFS(Table14[Debit], Table14[Date], Table15[[#This Row],[Date]], Table14[Party], "Parts")</f>
        <v>5440</v>
      </c>
    </row>
    <row r="12" spans="2:10" x14ac:dyDescent="0.3">
      <c r="B12" s="1">
        <v>45925</v>
      </c>
      <c r="C12" t="s">
        <v>119</v>
      </c>
      <c r="D12">
        <f>SUMIFS(Table14[Debit], Table14[Date], Table5[[#This Row],[Date]], Table14[Party], "Rashan")</f>
        <v>15995</v>
      </c>
      <c r="H12" s="1">
        <v>45925</v>
      </c>
      <c r="J12">
        <f>SUMIFS(Table14[Debit], Table14[Date], Table15[[#This Row],[Date]], Table14[Party], "Parts")</f>
        <v>0</v>
      </c>
    </row>
    <row r="13" spans="2:10" x14ac:dyDescent="0.3">
      <c r="B13" s="1">
        <v>45926</v>
      </c>
      <c r="C13" t="s">
        <v>119</v>
      </c>
      <c r="D13">
        <f>SUMIFS(Table14[Debit], Table14[Date], Table5[[#This Row],[Date]], Table14[Party], "Rashan")</f>
        <v>0</v>
      </c>
      <c r="H13" s="1">
        <v>45926</v>
      </c>
      <c r="J13">
        <f>SUMIFS(Table14[Debit], Table14[Date], Table15[[#This Row],[Date]], Table14[Party], "Parts")</f>
        <v>0</v>
      </c>
    </row>
    <row r="14" spans="2:10" x14ac:dyDescent="0.3">
      <c r="B14" s="1">
        <v>45927</v>
      </c>
      <c r="C14" t="s">
        <v>119</v>
      </c>
      <c r="D14">
        <f>SUMIFS(Table14[Debit], Table14[Date], Table5[[#This Row],[Date]], Table14[Party], "Rashan")</f>
        <v>0</v>
      </c>
      <c r="H14" s="1">
        <v>45927</v>
      </c>
      <c r="J14">
        <f>SUMIFS(Table14[Debit], Table14[Date], Table15[[#This Row],[Date]], Table14[Party], "Parts")</f>
        <v>1250</v>
      </c>
    </row>
    <row r="15" spans="2:10" x14ac:dyDescent="0.3">
      <c r="B15" s="1">
        <v>45928</v>
      </c>
      <c r="C15" t="s">
        <v>119</v>
      </c>
      <c r="D15">
        <f>SUMIFS(Table14[Debit], Table14[Date], Table5[[#This Row],[Date]], Table14[Party], "Rashan")</f>
        <v>0</v>
      </c>
      <c r="H15" s="1">
        <v>45928</v>
      </c>
      <c r="J15">
        <f>SUMIFS(Table14[Debit], Table14[Date], Table15[[#This Row],[Date]], Table14[Party], "Parts")</f>
        <v>0</v>
      </c>
    </row>
    <row r="16" spans="2:10" x14ac:dyDescent="0.3">
      <c r="B16" s="1">
        <v>45929</v>
      </c>
      <c r="C16" t="s">
        <v>119</v>
      </c>
      <c r="D16">
        <f>SUMIFS(Table14[Debit], Table14[Date], Table5[[#This Row],[Date]], Table14[Party], "Rashan")</f>
        <v>0</v>
      </c>
      <c r="H16" s="1">
        <v>45929</v>
      </c>
      <c r="J16">
        <f>SUMIFS(Table14[Debit], Table14[Date], Table15[[#This Row],[Date]], Table14[Party], "Parts")</f>
        <v>8227</v>
      </c>
    </row>
    <row r="17" spans="2:10" x14ac:dyDescent="0.3">
      <c r="B17" s="1">
        <v>45930</v>
      </c>
      <c r="C17" t="s">
        <v>119</v>
      </c>
      <c r="D17">
        <f>SUMIFS(Table14[Debit], Table14[Date], Table5[[#This Row],[Date]], Table14[Party], "Rashan")</f>
        <v>4000</v>
      </c>
      <c r="H17" s="1">
        <v>45930</v>
      </c>
      <c r="J17">
        <f>SUMIFS(Table14[Debit], Table14[Date], Table15[[#This Row],[Date]], Table14[Party], "Parts")</f>
        <v>0</v>
      </c>
    </row>
    <row r="18" spans="2:10" x14ac:dyDescent="0.3">
      <c r="B18" s="1">
        <v>45931</v>
      </c>
      <c r="C18" t="s">
        <v>119</v>
      </c>
      <c r="D18">
        <f>SUMIFS(Table14[Debit], Table14[Date], Table5[[#This Row],[Date]], Table14[Party], "Rashan")</f>
        <v>0</v>
      </c>
      <c r="H18" s="1">
        <v>45931</v>
      </c>
      <c r="J18">
        <f>SUMIFS(Table14[Debit], Table14[Date], Table15[[#This Row],[Date]], Table14[Party], "Parts")</f>
        <v>15039</v>
      </c>
    </row>
    <row r="19" spans="2:10" x14ac:dyDescent="0.3">
      <c r="B19" s="1">
        <v>45932</v>
      </c>
      <c r="C19" t="s">
        <v>119</v>
      </c>
      <c r="D19">
        <f>SUMIFS(Table14[Debit], Table14[Date], Table5[[#This Row],[Date]], Table14[Party], "Rashan")</f>
        <v>0</v>
      </c>
      <c r="H19" s="1">
        <v>45932</v>
      </c>
      <c r="J19">
        <f>SUMIFS(Table14[Debit], Table14[Date], Table15[[#This Row],[Date]], Table14[Party], "Parts")</f>
        <v>0</v>
      </c>
    </row>
    <row r="20" spans="2:10" x14ac:dyDescent="0.3">
      <c r="B20" s="1">
        <v>45933</v>
      </c>
      <c r="C20" t="s">
        <v>119</v>
      </c>
      <c r="D20">
        <f>SUMIFS(Table14[Debit], Table14[Date], Table5[[#This Row],[Date]], Table14[Party], "Rashan")</f>
        <v>0</v>
      </c>
      <c r="H20" s="1">
        <v>45933</v>
      </c>
      <c r="J20">
        <f>SUMIFS(Table14[Debit], Table14[Date], Table15[[#This Row],[Date]], Table14[Party], "Parts")</f>
        <v>0</v>
      </c>
    </row>
    <row r="21" spans="2:10" x14ac:dyDescent="0.3">
      <c r="B21" s="1">
        <v>45934</v>
      </c>
      <c r="C21" t="s">
        <v>119</v>
      </c>
      <c r="D21">
        <f>SUMIFS(Table14[Debit], Table14[Date], Table5[[#This Row],[Date]], Table14[Party], "Rashan")</f>
        <v>0</v>
      </c>
      <c r="H21" s="1">
        <v>45934</v>
      </c>
      <c r="J21">
        <f>SUMIFS(Table14[Debit], Table14[Date], Table15[[#This Row],[Date]], Table14[Party], "Parts")</f>
        <v>0</v>
      </c>
    </row>
    <row r="22" spans="2:10" x14ac:dyDescent="0.3">
      <c r="B22" s="1">
        <v>45935</v>
      </c>
      <c r="C22" t="s">
        <v>119</v>
      </c>
      <c r="D22">
        <f>SUMIFS(Table14[Debit], Table14[Date], Table5[[#This Row],[Date]], Table14[Party], "Rashan")</f>
        <v>0</v>
      </c>
      <c r="H22" s="1">
        <v>45935</v>
      </c>
      <c r="J22">
        <f>SUMIFS(Table14[Debit], Table14[Date], Table15[[#This Row],[Date]], Table14[Party], "Parts")</f>
        <v>0</v>
      </c>
    </row>
    <row r="23" spans="2:10" x14ac:dyDescent="0.3">
      <c r="B23" s="1">
        <v>45936</v>
      </c>
      <c r="C23" t="s">
        <v>119</v>
      </c>
      <c r="D23">
        <f>SUMIFS(Table14[Debit], Table14[Date], Table5[[#This Row],[Date]], Table14[Party], "Rashan")</f>
        <v>0</v>
      </c>
      <c r="H23" s="1">
        <v>45936</v>
      </c>
      <c r="J23">
        <f>SUMIFS(Table14[Debit], Table14[Date], Table15[[#This Row],[Date]], Table14[Party], "Parts")</f>
        <v>0</v>
      </c>
    </row>
    <row r="24" spans="2:10" x14ac:dyDescent="0.3">
      <c r="B24" s="1">
        <v>45937</v>
      </c>
      <c r="C24" t="s">
        <v>119</v>
      </c>
      <c r="D24">
        <f>SUMIFS(Table14[Debit], Table14[Date], Table5[[#This Row],[Date]], Table14[Party], "Rashan")</f>
        <v>0</v>
      </c>
      <c r="H24" s="1">
        <v>45937</v>
      </c>
      <c r="J24">
        <f>SUMIFS(Table14[Debit], Table14[Date], Table15[[#This Row],[Date]], Table14[Party], "Parts")</f>
        <v>0</v>
      </c>
    </row>
    <row r="25" spans="2:10" x14ac:dyDescent="0.3">
      <c r="B25" s="1">
        <v>45938</v>
      </c>
      <c r="C25" t="s">
        <v>119</v>
      </c>
      <c r="D25">
        <f>SUMIFS(Table14[Debit], Table14[Date], Table5[[#This Row],[Date]], Table14[Party], "Rashan")</f>
        <v>0</v>
      </c>
      <c r="H25" s="1">
        <v>45938</v>
      </c>
      <c r="J25">
        <f>SUMIFS(Table14[Debit], Table14[Date], Table15[[#This Row],[Date]], Table14[Party], "Parts")</f>
        <v>0</v>
      </c>
    </row>
    <row r="26" spans="2:10" x14ac:dyDescent="0.3">
      <c r="B26" s="1">
        <v>45939</v>
      </c>
      <c r="C26" t="s">
        <v>119</v>
      </c>
      <c r="D26">
        <f>SUMIFS(Table14[Debit], Table14[Date], Table5[[#This Row],[Date]], Table14[Party], "Rashan")</f>
        <v>0</v>
      </c>
      <c r="H26" s="1">
        <v>45939</v>
      </c>
      <c r="J26">
        <f>SUMIFS(Table14[Debit], Table14[Date], Table15[[#This Row],[Date]], Table14[Party], "Parts")</f>
        <v>0</v>
      </c>
    </row>
    <row r="27" spans="2:10" x14ac:dyDescent="0.3">
      <c r="B27" s="1">
        <v>45940</v>
      </c>
      <c r="C27" t="s">
        <v>119</v>
      </c>
      <c r="D27">
        <f>SUMIFS(Table14[Debit], Table14[Date], Table5[[#This Row],[Date]], Table14[Party], "Rashan")</f>
        <v>0</v>
      </c>
      <c r="H27" s="1">
        <v>45940</v>
      </c>
      <c r="J27">
        <f>SUMIFS(Table14[Debit], Table14[Date], Table15[[#This Row],[Date]], Table14[Party], "Parts")</f>
        <v>0</v>
      </c>
    </row>
    <row r="28" spans="2:10" x14ac:dyDescent="0.3">
      <c r="B28" s="1">
        <v>45941</v>
      </c>
      <c r="C28" t="s">
        <v>119</v>
      </c>
      <c r="D28">
        <f>SUMIFS(Table14[Debit], Table14[Date], Table5[[#This Row],[Date]], Table14[Party], "Rashan")</f>
        <v>0</v>
      </c>
      <c r="H28" s="1">
        <v>45941</v>
      </c>
      <c r="J28">
        <f>SUMIFS(Table14[Debit], Table14[Date], Table15[[#This Row],[Date]], Table14[Party], "Parts")</f>
        <v>0</v>
      </c>
    </row>
    <row r="29" spans="2:10" x14ac:dyDescent="0.3">
      <c r="B29" s="1">
        <v>45942</v>
      </c>
      <c r="C29" t="s">
        <v>119</v>
      </c>
      <c r="D29">
        <f>SUMIFS(Table14[Debit], Table14[Date], Table5[[#This Row],[Date]], Table14[Party], "Rashan")</f>
        <v>0</v>
      </c>
      <c r="H29" s="1">
        <v>45942</v>
      </c>
      <c r="J29">
        <f>SUMIFS(Table14[Debit], Table14[Date], Table15[[#This Row],[Date]], Table14[Party], "Parts")</f>
        <v>0</v>
      </c>
    </row>
    <row r="30" spans="2:10" x14ac:dyDescent="0.3">
      <c r="B30" s="1">
        <v>45943</v>
      </c>
      <c r="C30" t="s">
        <v>119</v>
      </c>
      <c r="D30">
        <f>SUMIFS(Table14[Debit], Table14[Date], Table5[[#This Row],[Date]], Table14[Party], "Rashan")</f>
        <v>0</v>
      </c>
      <c r="H30" s="1">
        <v>45943</v>
      </c>
      <c r="J30">
        <f>SUMIFS(Table14[Debit], Table14[Date], Table15[[#This Row],[Date]], Table14[Party], "Parts")</f>
        <v>0</v>
      </c>
    </row>
    <row r="31" spans="2:10" x14ac:dyDescent="0.3">
      <c r="B31" s="1">
        <v>45944</v>
      </c>
      <c r="C31" t="s">
        <v>119</v>
      </c>
      <c r="D31">
        <f>SUMIFS(Table14[Debit], Table14[Date], Table5[[#This Row],[Date]], Table14[Party], "Rashan")</f>
        <v>0</v>
      </c>
      <c r="H31" s="1">
        <v>45944</v>
      </c>
      <c r="J31">
        <f>SUMIFS(Table14[Debit], Table14[Date], Table15[[#This Row],[Date]], Table14[Party], "Parts")</f>
        <v>0</v>
      </c>
    </row>
    <row r="32" spans="2:10" x14ac:dyDescent="0.3">
      <c r="B32" s="1">
        <v>45945</v>
      </c>
      <c r="C32" t="s">
        <v>119</v>
      </c>
      <c r="D32">
        <f>SUMIFS(Table14[Debit], Table14[Date], Table5[[#This Row],[Date]], Table14[Party], "Rashan")</f>
        <v>0</v>
      </c>
      <c r="H32" s="1">
        <v>45945</v>
      </c>
      <c r="J32">
        <f>SUMIFS(Table14[Debit], Table14[Date], Table15[[#This Row],[Date]], Table14[Party], "Parts")</f>
        <v>0</v>
      </c>
    </row>
    <row r="33" spans="2:10" x14ac:dyDescent="0.3">
      <c r="B33" s="1">
        <v>45946</v>
      </c>
      <c r="C33" t="s">
        <v>119</v>
      </c>
      <c r="D33">
        <f>SUMIFS(Table14[Debit], Table14[Date], Table5[[#This Row],[Date]], Table14[Party], "Rashan")</f>
        <v>0</v>
      </c>
      <c r="H33" s="1">
        <v>45946</v>
      </c>
      <c r="J33">
        <f>SUMIFS(Table14[Debit], Table14[Date], Table15[[#This Row],[Date]], Table14[Party], "Parts")</f>
        <v>0</v>
      </c>
    </row>
    <row r="34" spans="2:10" x14ac:dyDescent="0.3">
      <c r="B34" s="1">
        <v>45947</v>
      </c>
      <c r="C34" t="s">
        <v>119</v>
      </c>
      <c r="D34">
        <f>SUMIFS(Table14[Debit], Table14[Date], Table5[[#This Row],[Date]], Table14[Party], "Rashan")</f>
        <v>0</v>
      </c>
      <c r="H34" s="1">
        <v>45947</v>
      </c>
      <c r="J34">
        <f>SUMIFS(Table14[Debit], Table14[Date], Table15[[#This Row],[Date]], Table14[Party], "Parts")</f>
        <v>0</v>
      </c>
    </row>
    <row r="35" spans="2:10" x14ac:dyDescent="0.3">
      <c r="B35" s="1"/>
      <c r="D35">
        <f>SUM(Table5[Amount])</f>
        <v>49180</v>
      </c>
      <c r="H35" s="1"/>
      <c r="J35">
        <f>SUM(Table15[Amount])</f>
        <v>179957</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14"/>
  <sheetViews>
    <sheetView workbookViewId="0">
      <selection activeCell="A3" sqref="A3"/>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9" t="str">
        <f>Billing!O5</f>
        <v>BSC</v>
      </c>
      <c r="B2" s="14">
        <f>Billing!W5</f>
        <v>9525316</v>
      </c>
      <c r="C2" s="109">
        <f>Billing!X5</f>
        <v>2778239.2304316033</v>
      </c>
    </row>
    <row r="3" spans="1:3" ht="18" x14ac:dyDescent="0.35">
      <c r="A3" s="89" t="str">
        <f>Billing!O6</f>
        <v>Ejaz Sahab</v>
      </c>
      <c r="B3" s="14">
        <f>Billing!W6</f>
        <v>859904</v>
      </c>
      <c r="C3" s="110">
        <f>Billing!X6</f>
        <v>278812.16678858828</v>
      </c>
    </row>
    <row r="4" spans="1:3" ht="18" x14ac:dyDescent="0.35">
      <c r="A4" s="89" t="str">
        <f>Billing!O7</f>
        <v>Arshad</v>
      </c>
      <c r="B4" s="14">
        <f>Billing!W7</f>
        <v>1833701</v>
      </c>
      <c r="C4" s="110">
        <f>Billing!X7</f>
        <v>73100.389904901385</v>
      </c>
    </row>
    <row r="5" spans="1:3" ht="18" x14ac:dyDescent="0.35">
      <c r="A5" s="89" t="str">
        <f>Billing!O8</f>
        <v>Shehzad Kamoki</v>
      </c>
      <c r="B5" s="14">
        <f>Billing!W8</f>
        <v>1267240</v>
      </c>
      <c r="C5" s="110">
        <f>Billing!X8</f>
        <v>-38314.388953913702</v>
      </c>
    </row>
    <row r="6" spans="1:3" ht="18" x14ac:dyDescent="0.35">
      <c r="A6" s="89" t="str">
        <f>Billing!O9</f>
        <v>Sufi Nawaz Sahab</v>
      </c>
      <c r="B6" s="14">
        <f>Billing!W9</f>
        <v>8129100</v>
      </c>
      <c r="C6" s="109">
        <f>Billing!X9</f>
        <v>1190407.1324067302</v>
      </c>
    </row>
    <row r="7" spans="1:3" ht="18" x14ac:dyDescent="0.35">
      <c r="A7" s="89" t="str">
        <f>Billing!O10</f>
        <v>Sajad Khan</v>
      </c>
      <c r="B7" s="14">
        <f>Billing!W10</f>
        <v>2700000</v>
      </c>
      <c r="C7" s="109">
        <f>Billing!X10</f>
        <v>560908.92465252383</v>
      </c>
    </row>
    <row r="8" spans="1:3" ht="18" x14ac:dyDescent="0.35">
      <c r="A8" s="89" t="str">
        <f>Billing!O11</f>
        <v>Raaz Fabrics</v>
      </c>
      <c r="B8" s="14">
        <f>Billing!W11</f>
        <v>600000</v>
      </c>
      <c r="C8" s="109">
        <f>Billing!X11</f>
        <v>90919.89758595475</v>
      </c>
    </row>
    <row r="9" spans="1:3" ht="18" x14ac:dyDescent="0.35">
      <c r="A9" s="89" t="str">
        <f>Billing!O12</f>
        <v>Azam</v>
      </c>
      <c r="B9" s="14">
        <f>Billing!W12</f>
        <v>1200000</v>
      </c>
      <c r="C9" s="109">
        <f>Billing!X12</f>
        <v>21653.255303584505</v>
      </c>
    </row>
    <row r="10" spans="1:3" ht="18" x14ac:dyDescent="0.35">
      <c r="A10" s="89" t="str">
        <f>Billing!O13</f>
        <v>Ubaidullah</v>
      </c>
      <c r="B10" s="14">
        <f>Billing!W13</f>
        <v>451150</v>
      </c>
      <c r="C10" s="110">
        <f>Billing!X13</f>
        <v>139.3196781273582</v>
      </c>
    </row>
    <row r="11" spans="1:3" ht="18" x14ac:dyDescent="0.35">
      <c r="A11" s="89" t="str">
        <f>Billing!O14</f>
        <v>Ashraf Zia</v>
      </c>
      <c r="B11" s="14">
        <f>Billing!W14</f>
        <v>0</v>
      </c>
      <c r="C11" s="109">
        <f>Billing!X14</f>
        <v>255724.21360643749</v>
      </c>
    </row>
    <row r="12" spans="1:3" ht="18" x14ac:dyDescent="0.35">
      <c r="A12" s="89" t="str">
        <f>Billing!O15</f>
        <v>Hafiz Qureshi</v>
      </c>
      <c r="B12" s="14">
        <f>Billing!W15</f>
        <v>200000</v>
      </c>
      <c r="C12" s="110">
        <f>Billing!X15</f>
        <v>-594.36722750545596</v>
      </c>
    </row>
    <row r="13" spans="1:3" ht="18" x14ac:dyDescent="0.35">
      <c r="A13" s="89" t="str">
        <f>Billing!O16</f>
        <v>Badshah Fabrics</v>
      </c>
      <c r="B13" s="14">
        <f>Billing!W16</f>
        <v>870000</v>
      </c>
      <c r="C13" s="109">
        <f>Billing!X16</f>
        <v>333551.57278712513</v>
      </c>
    </row>
    <row r="14" spans="1:3" x14ac:dyDescent="0.3">
      <c r="A14">
        <f>Billing!O17</f>
        <v>0</v>
      </c>
      <c r="B14" s="14">
        <f>Billing!W17</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4"/>
  <sheetViews>
    <sheetView workbookViewId="0">
      <selection activeCell="B2" sqref="B2"/>
    </sheetView>
  </sheetViews>
  <sheetFormatPr defaultRowHeight="14.4" x14ac:dyDescent="0.3"/>
  <cols>
    <col min="1" max="1" width="13.44140625" customWidth="1"/>
    <col min="2" max="2" width="15.77734375" customWidth="1"/>
  </cols>
  <sheetData>
    <row r="1" spans="1:2" x14ac:dyDescent="0.3">
      <c r="A1" t="s">
        <v>300</v>
      </c>
      <c r="B1" t="s">
        <v>70</v>
      </c>
    </row>
    <row r="2" spans="1:2" x14ac:dyDescent="0.3">
      <c r="A2" t="str">
        <f>Billing!O5</f>
        <v>BSC</v>
      </c>
      <c r="B2" s="10">
        <f>_xlfn.XLOOKUP($A2,[1]Billing!$O$5:$O$29,[1]Billing!$W$5:$W$29)</f>
        <v>7158783</v>
      </c>
    </row>
    <row r="3" spans="1:2" x14ac:dyDescent="0.3">
      <c r="A3" t="str">
        <f>Billing!O6</f>
        <v>Ejaz Sahab</v>
      </c>
      <c r="B3" s="10">
        <f>_xlfn.XLOOKUP($A3,[1]Billing!$O$5:$O$29,[1]Billing!$W$5:$W$29)</f>
        <v>612354</v>
      </c>
    </row>
    <row r="4" spans="1:2" x14ac:dyDescent="0.3">
      <c r="A4" t="str">
        <f>Billing!O7</f>
        <v>Arshad</v>
      </c>
      <c r="B4" s="10">
        <f>_xlfn.XLOOKUP($A4,[1]Billing!$O$5:$O$29,[1]Billing!$W$5:$W$29)</f>
        <v>754210</v>
      </c>
    </row>
    <row r="5" spans="1:2" x14ac:dyDescent="0.3">
      <c r="A5" t="str">
        <f>Billing!O8</f>
        <v>Shehzad Kamoki</v>
      </c>
      <c r="B5" s="10">
        <f>_xlfn.XLOOKUP($A5,[1]Billing!$O$5:$O$29,[1]Billing!$W$5:$W$29)</f>
        <v>1125940</v>
      </c>
    </row>
    <row r="6" spans="1:2" x14ac:dyDescent="0.3">
      <c r="A6" t="str">
        <f>Billing!O9</f>
        <v>Sufi Nawaz Sahab</v>
      </c>
      <c r="B6" s="10">
        <f>_xlfn.XLOOKUP($A6,[1]Billing!$O$5:$O$29,[1]Billing!$W$5:$W$29)</f>
        <v>4079100</v>
      </c>
    </row>
    <row r="7" spans="1:2" x14ac:dyDescent="0.3">
      <c r="A7" t="str">
        <f>Billing!O10</f>
        <v>Sajad Khan</v>
      </c>
      <c r="B7" s="10">
        <f>_xlfn.XLOOKUP($A7,[1]Billing!$O$5:$O$29,[1]Billing!$W$5:$W$29)</f>
        <v>2300000</v>
      </c>
    </row>
    <row r="8" spans="1:2" x14ac:dyDescent="0.3">
      <c r="A8" t="str">
        <f>Billing!O11</f>
        <v>Raaz Fabrics</v>
      </c>
      <c r="B8" s="10">
        <f>_xlfn.XLOOKUP($A8,[1]Billing!$O$5:$O$29,[1]Billing!$W$5:$W$29)</f>
        <v>200000</v>
      </c>
    </row>
    <row r="9" spans="1:2" x14ac:dyDescent="0.3">
      <c r="A9" t="str">
        <f>Billing!O12</f>
        <v>Azam</v>
      </c>
      <c r="B9" s="10">
        <f>_xlfn.XLOOKUP($A9,[1]Billing!$O$5:$O$29,[1]Billing!$W$5:$W$29)</f>
        <v>200000</v>
      </c>
    </row>
    <row r="10" spans="1:2" x14ac:dyDescent="0.3">
      <c r="A10" t="str">
        <f>Billing!O13</f>
        <v>Ubaidullah</v>
      </c>
      <c r="B10" s="10">
        <f>_xlfn.XLOOKUP($A10,[1]Billing!$O$5:$O$29,[1]Billing!$W$5:$W$29)</f>
        <v>296150</v>
      </c>
    </row>
    <row r="11" spans="1:2" x14ac:dyDescent="0.3">
      <c r="A11" t="str">
        <f>Billing!O14</f>
        <v>Ashraf Zia</v>
      </c>
      <c r="B11" s="10">
        <f>_xlfn.XLOOKUP($A11,[1]Billing!$O$5:$O$29,[1]Billing!$W$5:$W$29)</f>
        <v>0</v>
      </c>
    </row>
    <row r="12" spans="1:2" x14ac:dyDescent="0.3">
      <c r="A12" t="str">
        <f>Billing!O15</f>
        <v>Hafiz Qureshi</v>
      </c>
      <c r="B12" s="10">
        <f>_xlfn.XLOOKUP($A12,[1]Billing!$O$5:$O$29,[1]Billing!$W$5:$W$29)</f>
        <v>100000</v>
      </c>
    </row>
    <row r="13" spans="1:2" x14ac:dyDescent="0.3">
      <c r="A13" t="str">
        <f>Billing!O16</f>
        <v>Badshah Fabrics</v>
      </c>
      <c r="B13" s="10" t="e">
        <f>_xlfn.XLOOKUP($A13,[1]Billing!$O$5:$O$29,[1]Billing!$W$5:$W$29)</f>
        <v>#N/A</v>
      </c>
    </row>
    <row r="14" spans="1:2" x14ac:dyDescent="0.3">
      <c r="A14">
        <f>Billing!O17</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2025-10-01T22:17:15Z</dcterms:modified>
  <cp:category/>
  <cp:contentStatus/>
</cp:coreProperties>
</file>