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334" documentId="8_{04F26ED9-7C3F-46BE-B42F-003E2A3A444E}" xr6:coauthVersionLast="47" xr6:coauthVersionMax="47" xr10:uidLastSave="{89E05E16-7E59-4A61-BF79-7BCE850B2933}"/>
  <bookViews>
    <workbookView xWindow="-108" yWindow="-108" windowWidth="23256" windowHeight="12456" firstSheet="4" activeTab="1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6" r:id="rId19"/>
    <pivotCache cacheId="7" r:id="rId20"/>
    <pivotCache cacheId="8" r:id="rId21"/>
    <pivotCache cacheId="9" r:id="rId22"/>
    <pivotCache cacheId="10" r:id="rId23"/>
    <pivotCache cacheId="1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6" l="1"/>
  <c r="I5" i="6" s="1"/>
  <c r="G5" i="7"/>
  <c r="H5" i="7" s="1"/>
  <c r="H24" i="7" s="1"/>
  <c r="C19" i="8"/>
  <c r="E35" i="7"/>
  <c r="E36" i="7"/>
  <c r="E37" i="7"/>
  <c r="E38" i="7"/>
  <c r="E39" i="7"/>
  <c r="E40" i="7"/>
  <c r="E41" i="7"/>
  <c r="E42" i="7"/>
  <c r="E43" i="7"/>
  <c r="E44" i="7"/>
  <c r="E45" i="7"/>
  <c r="E46" i="7"/>
  <c r="E47" i="7"/>
  <c r="E48" i="7"/>
  <c r="E49" i="7"/>
  <c r="E50" i="7"/>
  <c r="E51" i="7"/>
  <c r="E52" i="7"/>
  <c r="E53" i="7"/>
  <c r="E54" i="7"/>
  <c r="E55" i="7"/>
  <c r="E34" i="7"/>
  <c r="C49" i="7"/>
  <c r="C47" i="7"/>
  <c r="C44" i="7"/>
  <c r="B26" i="9" a="1"/>
  <c r="G30" i="9" a="1"/>
  <c r="G30" i="9"/>
  <c r="H69" i="6"/>
  <c r="I69" i="6" s="1"/>
  <c r="H70" i="6"/>
  <c r="I70" i="6" s="1"/>
  <c r="G69" i="6"/>
  <c r="G70" i="6"/>
  <c r="B28" i="15"/>
  <c r="B25" i="15"/>
  <c r="B24" i="15"/>
  <c r="B23" i="15"/>
  <c r="G16" i="15"/>
  <c r="H16" i="15"/>
  <c r="D3" i="17"/>
  <c r="D444" i="17" s="1"/>
  <c r="I10" i="1"/>
  <c r="J10" i="1" s="1" a="1"/>
  <c r="J10" i="1" s="1"/>
  <c r="I4" i="1"/>
  <c r="J4" i="1" s="1" a="1"/>
  <c r="J4" i="1" s="1"/>
  <c r="I7" i="1"/>
  <c r="J7" i="1" s="1" a="1"/>
  <c r="J7" i="1" s="1"/>
  <c r="I12" i="1"/>
  <c r="J12" i="1" s="1" a="1"/>
  <c r="J12" i="1" s="1"/>
  <c r="I5" i="1"/>
  <c r="J5" i="1" s="1" a="1"/>
  <c r="J5" i="1" s="1"/>
  <c r="C410" i="17"/>
  <c r="C16" i="10"/>
  <c r="H78" i="6"/>
  <c r="I78" i="6" s="1"/>
  <c r="H79" i="6"/>
  <c r="I79" i="6"/>
  <c r="G79" i="6"/>
  <c r="G78" i="6"/>
  <c r="I149" i="1"/>
  <c r="J149" i="1" a="1"/>
  <c r="J149" i="1" s="1"/>
  <c r="I150" i="1"/>
  <c r="J150" i="1" a="1"/>
  <c r="J150" i="1" s="1"/>
  <c r="I151" i="1"/>
  <c r="J151" i="1" a="1"/>
  <c r="J151" i="1" s="1"/>
  <c r="I152" i="1"/>
  <c r="J152" i="1" a="1"/>
  <c r="J152" i="1"/>
  <c r="I153" i="1"/>
  <c r="J153" i="1" a="1"/>
  <c r="J153" i="1" s="1"/>
  <c r="I154" i="1"/>
  <c r="J154" i="1" a="1"/>
  <c r="J154" i="1" s="1"/>
  <c r="I155" i="1"/>
  <c r="J155" i="1" a="1"/>
  <c r="J155" i="1" s="1"/>
  <c r="I156" i="1"/>
  <c r="J156" i="1" a="1"/>
  <c r="J156" i="1"/>
  <c r="I157" i="1"/>
  <c r="J157" i="1" a="1"/>
  <c r="J157" i="1" s="1"/>
  <c r="I158" i="1"/>
  <c r="J158" i="1" a="1"/>
  <c r="J158" i="1" s="1"/>
  <c r="I159" i="1"/>
  <c r="J159" i="1" a="1"/>
  <c r="J159" i="1" s="1"/>
  <c r="I160" i="1"/>
  <c r="J160" i="1" a="1"/>
  <c r="J160" i="1" s="1"/>
  <c r="I161" i="1"/>
  <c r="J161" i="1" a="1"/>
  <c r="J161" i="1" s="1"/>
  <c r="I162" i="1"/>
  <c r="J162" i="1" a="1"/>
  <c r="J162" i="1" s="1"/>
  <c r="I163" i="1"/>
  <c r="J163" i="1" a="1"/>
  <c r="J163" i="1" s="1"/>
  <c r="I164" i="1"/>
  <c r="J164" i="1" a="1"/>
  <c r="J164" i="1"/>
  <c r="I165" i="1"/>
  <c r="J165" i="1" a="1"/>
  <c r="J165" i="1" s="1"/>
  <c r="I166" i="1"/>
  <c r="J166" i="1" a="1"/>
  <c r="J166" i="1" s="1"/>
  <c r="I167" i="1"/>
  <c r="J167" i="1" a="1"/>
  <c r="J167" i="1" s="1"/>
  <c r="F163" i="1"/>
  <c r="C438" i="17"/>
  <c r="G77" i="6"/>
  <c r="H76" i="6"/>
  <c r="I76" i="6" s="1"/>
  <c r="H77" i="6"/>
  <c r="I77" i="6" s="1"/>
  <c r="E21" i="7"/>
  <c r="E20" i="7"/>
  <c r="E19" i="7"/>
  <c r="E18" i="7"/>
  <c r="H18" i="7"/>
  <c r="D18" i="7"/>
  <c r="H19" i="7"/>
  <c r="H20" i="7"/>
  <c r="H21" i="7"/>
  <c r="H22" i="7"/>
  <c r="H23" i="7"/>
  <c r="C26" i="12"/>
  <c r="C27" i="12"/>
  <c r="C28" i="12"/>
  <c r="C29" i="12"/>
  <c r="C30" i="12"/>
  <c r="C31" i="12"/>
  <c r="C32" i="12"/>
  <c r="C33" i="12"/>
  <c r="C34" i="12"/>
  <c r="C35" i="12"/>
  <c r="C36" i="12"/>
  <c r="C25" i="12"/>
  <c r="H75" i="6"/>
  <c r="I75" i="6" s="1"/>
  <c r="G74" i="6"/>
  <c r="G75" i="6"/>
  <c r="G76" i="6"/>
  <c r="I74" i="6"/>
  <c r="P23" i="9" a="1"/>
  <c r="P23" i="9"/>
  <c r="Q23" i="9" a="1"/>
  <c r="Q23" i="9"/>
  <c r="R23" i="9" a="1"/>
  <c r="R23" i="9"/>
  <c r="S23" i="9" a="1"/>
  <c r="S23" i="9"/>
  <c r="T23" i="9" a="1"/>
  <c r="T23" i="9"/>
  <c r="U23" i="9" a="1"/>
  <c r="U23" i="9"/>
  <c r="W23" i="9"/>
  <c r="B20" i="20" s="1"/>
  <c r="I133" i="1"/>
  <c r="J133" i="1" a="1"/>
  <c r="J133" i="1"/>
  <c r="I134" i="1"/>
  <c r="J134" i="1" a="1"/>
  <c r="J134" i="1" s="1"/>
  <c r="I135" i="1"/>
  <c r="J135" i="1" a="1"/>
  <c r="J135" i="1" s="1"/>
  <c r="I136" i="1"/>
  <c r="J136" i="1" a="1"/>
  <c r="J136" i="1"/>
  <c r="I137" i="1"/>
  <c r="J137" i="1" a="1"/>
  <c r="J137" i="1" s="1"/>
  <c r="I138" i="1"/>
  <c r="J138" i="1" a="1"/>
  <c r="J138" i="1" s="1"/>
  <c r="I139" i="1"/>
  <c r="J139" i="1" a="1"/>
  <c r="J139" i="1"/>
  <c r="I140" i="1"/>
  <c r="J140" i="1" a="1"/>
  <c r="J140" i="1" s="1"/>
  <c r="I141" i="1"/>
  <c r="J141" i="1" a="1"/>
  <c r="J141" i="1"/>
  <c r="I142" i="1"/>
  <c r="J142" i="1" a="1"/>
  <c r="J142" i="1" s="1"/>
  <c r="I143" i="1"/>
  <c r="J143" i="1" a="1"/>
  <c r="J143" i="1" s="1"/>
  <c r="I144" i="1"/>
  <c r="J144" i="1" a="1"/>
  <c r="J144" i="1" s="1"/>
  <c r="I145" i="1"/>
  <c r="J145" i="1" a="1"/>
  <c r="J145" i="1" s="1"/>
  <c r="I146" i="1"/>
  <c r="J146" i="1" a="1"/>
  <c r="J146" i="1" s="1"/>
  <c r="I147" i="1"/>
  <c r="J147" i="1" a="1"/>
  <c r="J147" i="1"/>
  <c r="I148" i="1"/>
  <c r="J148" i="1" a="1"/>
  <c r="J148" i="1" s="1"/>
  <c r="E83" i="2"/>
  <c r="F83" i="2"/>
  <c r="H83" i="2"/>
  <c r="I83" i="2"/>
  <c r="D83" i="2"/>
  <c r="E84" i="2"/>
  <c r="F84" i="2"/>
  <c r="H84" i="2"/>
  <c r="I84" i="2"/>
  <c r="D84" i="2"/>
  <c r="E85" i="2"/>
  <c r="F85" i="2"/>
  <c r="E86" i="2"/>
  <c r="F86" i="2"/>
  <c r="H86" i="2"/>
  <c r="I86" i="2"/>
  <c r="D86" i="2"/>
  <c r="E87" i="2"/>
  <c r="F87" i="2"/>
  <c r="G87" i="2"/>
  <c r="H87" i="2"/>
  <c r="I87" i="2"/>
  <c r="D87" i="2"/>
  <c r="E88" i="2"/>
  <c r="F88" i="2"/>
  <c r="G88" i="2"/>
  <c r="H154" i="1"/>
  <c r="E89" i="2"/>
  <c r="F89" i="2"/>
  <c r="G89" i="2"/>
  <c r="H89" i="2"/>
  <c r="I89" i="2"/>
  <c r="D89" i="2"/>
  <c r="E90" i="2"/>
  <c r="G90" i="2"/>
  <c r="H157" i="1"/>
  <c r="F90" i="2"/>
  <c r="H90" i="2"/>
  <c r="I90" i="2"/>
  <c r="D90" i="2"/>
  <c r="E91" i="2"/>
  <c r="G91" i="2"/>
  <c r="H158" i="1"/>
  <c r="F91" i="2"/>
  <c r="H91" i="2"/>
  <c r="I91" i="2"/>
  <c r="D91" i="2"/>
  <c r="E92" i="2"/>
  <c r="F92" i="2"/>
  <c r="G92" i="2"/>
  <c r="H161" i="1"/>
  <c r="H92" i="2"/>
  <c r="I92" i="2"/>
  <c r="D92" i="2"/>
  <c r="E93" i="2"/>
  <c r="F93" i="2"/>
  <c r="G93" i="2"/>
  <c r="H160" i="1"/>
  <c r="E94" i="2"/>
  <c r="F94" i="2"/>
  <c r="G94" i="2"/>
  <c r="H162" i="1"/>
  <c r="H94" i="2"/>
  <c r="I94" i="2"/>
  <c r="D94" i="2"/>
  <c r="E95" i="2"/>
  <c r="F95" i="2"/>
  <c r="G95" i="2"/>
  <c r="H163" i="1"/>
  <c r="E96" i="2"/>
  <c r="F96" i="2"/>
  <c r="G96" i="2"/>
  <c r="H165" i="1"/>
  <c r="H96" i="2"/>
  <c r="I96" i="2"/>
  <c r="D96" i="2"/>
  <c r="E97" i="2"/>
  <c r="F97" i="2"/>
  <c r="G97" i="2"/>
  <c r="H167" i="1"/>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G76" i="2"/>
  <c r="E77" i="2"/>
  <c r="F77" i="2"/>
  <c r="H77" i="2"/>
  <c r="I77" i="2"/>
  <c r="D77" i="2"/>
  <c r="E78" i="2"/>
  <c r="F78" i="2"/>
  <c r="H78" i="2"/>
  <c r="I78" i="2"/>
  <c r="D78" i="2"/>
  <c r="E79" i="2"/>
  <c r="F79" i="2"/>
  <c r="H79" i="2"/>
  <c r="I79" i="2"/>
  <c r="D79" i="2"/>
  <c r="E80" i="2"/>
  <c r="F80" i="2"/>
  <c r="H80" i="2"/>
  <c r="I80" i="2"/>
  <c r="D80" i="2"/>
  <c r="E81" i="2"/>
  <c r="F81" i="2"/>
  <c r="G81" i="2"/>
  <c r="E82" i="2"/>
  <c r="F82" i="2"/>
  <c r="D384" i="17"/>
  <c r="H73" i="6"/>
  <c r="I73" i="6" s="1"/>
  <c r="G73" i="6"/>
  <c r="F7" i="15"/>
  <c r="H7" i="15"/>
  <c r="H71" i="6"/>
  <c r="I71" i="6" s="1"/>
  <c r="H72" i="6"/>
  <c r="I72" i="6" s="1"/>
  <c r="G72" i="6"/>
  <c r="G14" i="15"/>
  <c r="H14" i="15" s="1"/>
  <c r="G15" i="15"/>
  <c r="H15" i="15" s="1"/>
  <c r="E17" i="7"/>
  <c r="E16" i="7"/>
  <c r="H16" i="7"/>
  <c r="E15" i="7"/>
  <c r="H15" i="7"/>
  <c r="D15" i="7"/>
  <c r="H17" i="7"/>
  <c r="G13" i="15"/>
  <c r="H13" i="15" s="1"/>
  <c r="I126" i="1"/>
  <c r="J126" i="1" a="1"/>
  <c r="J126" i="1" s="1"/>
  <c r="I127" i="1"/>
  <c r="J127" i="1" a="1"/>
  <c r="J127" i="1" s="1"/>
  <c r="I128" i="1"/>
  <c r="J128" i="1" a="1"/>
  <c r="J128" i="1"/>
  <c r="I129" i="1"/>
  <c r="J129" i="1" a="1"/>
  <c r="J129" i="1" s="1"/>
  <c r="I130" i="1"/>
  <c r="J130" i="1" a="1"/>
  <c r="J130" i="1" s="1"/>
  <c r="I131" i="1"/>
  <c r="J131" i="1" a="1"/>
  <c r="J131" i="1" s="1"/>
  <c r="I132" i="1"/>
  <c r="J132" i="1" a="1"/>
  <c r="J132" i="1" s="1"/>
  <c r="C343" i="17"/>
  <c r="H33" i="6"/>
  <c r="I33" i="6" s="1"/>
  <c r="H34" i="6"/>
  <c r="I34" i="6" s="1"/>
  <c r="G33" i="6"/>
  <c r="H68" i="6"/>
  <c r="I68" i="6"/>
  <c r="G68" i="6"/>
  <c r="G71"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A12" i="21"/>
  <c r="B12" i="21"/>
  <c r="J41" i="9"/>
  <c r="K41" i="9" s="1"/>
  <c r="G44" i="9" a="1"/>
  <c r="G44" i="9"/>
  <c r="H44" i="9" a="1"/>
  <c r="H44" i="9"/>
  <c r="J44" i="9"/>
  <c r="K44" i="9" s="1"/>
  <c r="G45" i="9" a="1"/>
  <c r="G45" i="9"/>
  <c r="H45" i="9" a="1"/>
  <c r="H45" i="9"/>
  <c r="J45" i="9"/>
  <c r="K45" i="9" s="1"/>
  <c r="G46" i="9" a="1"/>
  <c r="G46" i="9"/>
  <c r="H46" i="9" a="1"/>
  <c r="H46" i="9"/>
  <c r="J46" i="9"/>
  <c r="K46" i="9" s="1"/>
  <c r="I125" i="1"/>
  <c r="J125" i="1" a="1"/>
  <c r="J125" i="1" s="1"/>
  <c r="I107" i="1"/>
  <c r="J107" i="1" a="1"/>
  <c r="J107" i="1" s="1"/>
  <c r="I108" i="1"/>
  <c r="J108" i="1" a="1"/>
  <c r="J108" i="1"/>
  <c r="I109" i="1"/>
  <c r="J109" i="1" a="1"/>
  <c r="J109" i="1" s="1"/>
  <c r="I110" i="1"/>
  <c r="J110" i="1" a="1"/>
  <c r="J110" i="1" s="1"/>
  <c r="I111" i="1"/>
  <c r="J111" i="1" a="1"/>
  <c r="J111" i="1"/>
  <c r="I112" i="1"/>
  <c r="J112" i="1" a="1"/>
  <c r="J112" i="1"/>
  <c r="I113" i="1"/>
  <c r="J113" i="1" a="1"/>
  <c r="J113" i="1"/>
  <c r="I114" i="1"/>
  <c r="J114" i="1" a="1"/>
  <c r="J114" i="1" s="1"/>
  <c r="I115" i="1"/>
  <c r="J115" i="1" a="1"/>
  <c r="J115" i="1" s="1"/>
  <c r="I116" i="1"/>
  <c r="J116" i="1" a="1"/>
  <c r="J116" i="1"/>
  <c r="I117" i="1"/>
  <c r="J117" i="1" a="1"/>
  <c r="J117" i="1" s="1"/>
  <c r="I118" i="1"/>
  <c r="J118" i="1" a="1"/>
  <c r="J118" i="1" s="1"/>
  <c r="I119" i="1"/>
  <c r="J119" i="1" a="1"/>
  <c r="J119" i="1"/>
  <c r="I120" i="1"/>
  <c r="J120" i="1" a="1"/>
  <c r="J120" i="1" s="1"/>
  <c r="I121" i="1"/>
  <c r="J121" i="1" a="1"/>
  <c r="J121" i="1"/>
  <c r="I122" i="1"/>
  <c r="J122" i="1" a="1"/>
  <c r="J122" i="1" s="1"/>
  <c r="I123" i="1"/>
  <c r="J123" i="1" a="1"/>
  <c r="J123" i="1" s="1"/>
  <c r="I124" i="1"/>
  <c r="J124" i="1" a="1"/>
  <c r="J124" i="1"/>
  <c r="F116" i="1"/>
  <c r="H64" i="6"/>
  <c r="I64" i="6" s="1"/>
  <c r="G58" i="6"/>
  <c r="I58" i="6"/>
  <c r="G62" i="6"/>
  <c r="G63" i="6"/>
  <c r="G64" i="6"/>
  <c r="G65" i="6"/>
  <c r="I62" i="6"/>
  <c r="I63" i="6"/>
  <c r="I103" i="1"/>
  <c r="J103" i="1" a="1"/>
  <c r="J103" i="1" s="1"/>
  <c r="I104" i="1"/>
  <c r="J104" i="1" a="1"/>
  <c r="J104" i="1"/>
  <c r="I105" i="1"/>
  <c r="J105" i="1" a="1"/>
  <c r="J105" i="1" s="1"/>
  <c r="I106" i="1"/>
  <c r="J106" i="1" a="1"/>
  <c r="J106" i="1" s="1"/>
  <c r="H61" i="6"/>
  <c r="I61" i="6" s="1"/>
  <c r="G61" i="6"/>
  <c r="H60" i="6"/>
  <c r="I60" i="6" s="1"/>
  <c r="G60" i="6"/>
  <c r="H59" i="6"/>
  <c r="I59" i="6" s="1"/>
  <c r="H57" i="6"/>
  <c r="I57" i="6" s="1"/>
  <c r="I97" i="1"/>
  <c r="J97" i="1" a="1"/>
  <c r="J97" i="1"/>
  <c r="I98" i="1"/>
  <c r="J98" i="1" a="1"/>
  <c r="J98" i="1" s="1"/>
  <c r="I99" i="1"/>
  <c r="J99" i="1" a="1"/>
  <c r="J99" i="1" s="1"/>
  <c r="I100" i="1"/>
  <c r="J100" i="1" a="1"/>
  <c r="J100" i="1"/>
  <c r="I101" i="1"/>
  <c r="J101" i="1" a="1"/>
  <c r="J101" i="1" s="1"/>
  <c r="I102" i="1"/>
  <c r="J102" i="1" a="1"/>
  <c r="J102" i="1"/>
  <c r="H55" i="6"/>
  <c r="I55" i="6" s="1"/>
  <c r="D227" i="17"/>
  <c r="I89" i="1"/>
  <c r="J89" i="1" a="1"/>
  <c r="J89" i="1"/>
  <c r="H54" i="6"/>
  <c r="I54" i="6"/>
  <c r="H50" i="6"/>
  <c r="I50" i="6" s="1"/>
  <c r="G50" i="6"/>
  <c r="G51" i="6"/>
  <c r="G52" i="6"/>
  <c r="G53" i="6"/>
  <c r="G54" i="6"/>
  <c r="G55" i="6"/>
  <c r="G56" i="6"/>
  <c r="G57" i="6"/>
  <c r="G59" i="6"/>
  <c r="I51" i="6"/>
  <c r="I52" i="6"/>
  <c r="I53" i="6"/>
  <c r="I56" i="6"/>
  <c r="I81" i="1"/>
  <c r="J81" i="1" a="1"/>
  <c r="J81" i="1" s="1"/>
  <c r="I82" i="1"/>
  <c r="J82" i="1" a="1"/>
  <c r="J82" i="1"/>
  <c r="I83" i="1"/>
  <c r="J83" i="1" a="1"/>
  <c r="J83" i="1" s="1"/>
  <c r="I84" i="1"/>
  <c r="J84" i="1" a="1"/>
  <c r="J84" i="1" s="1"/>
  <c r="I85" i="1"/>
  <c r="I86" i="1"/>
  <c r="J86" i="1" a="1"/>
  <c r="J86" i="1" s="1"/>
  <c r="I87" i="1"/>
  <c r="J87" i="1" a="1"/>
  <c r="J87" i="1" s="1"/>
  <c r="I88" i="1"/>
  <c r="J88" i="1" a="1"/>
  <c r="J88" i="1"/>
  <c r="I90" i="1"/>
  <c r="J90" i="1" a="1"/>
  <c r="J90" i="1" s="1"/>
  <c r="I91" i="1"/>
  <c r="J91" i="1" a="1"/>
  <c r="J91" i="1" s="1"/>
  <c r="I92" i="1"/>
  <c r="J92" i="1" a="1"/>
  <c r="J92" i="1"/>
  <c r="I93" i="1"/>
  <c r="J93" i="1" a="1"/>
  <c r="J93" i="1" s="1"/>
  <c r="I94" i="1"/>
  <c r="J94" i="1" a="1"/>
  <c r="J94" i="1"/>
  <c r="I95" i="1"/>
  <c r="J95" i="1" a="1"/>
  <c r="J95" i="1" s="1"/>
  <c r="I96" i="1"/>
  <c r="J96" i="1" a="1"/>
  <c r="J96" i="1" s="1"/>
  <c r="G49" i="6"/>
  <c r="I49" i="6"/>
  <c r="H48" i="6"/>
  <c r="I48" i="6" s="1"/>
  <c r="G48" i="6"/>
  <c r="B61" i="9" a="1"/>
  <c r="B61" i="9"/>
  <c r="I71" i="1"/>
  <c r="J71" i="1" a="1"/>
  <c r="J71" i="1" s="1"/>
  <c r="I72" i="1"/>
  <c r="J72" i="1" a="1"/>
  <c r="J72" i="1" s="1"/>
  <c r="I73" i="1"/>
  <c r="J73" i="1" a="1"/>
  <c r="J73" i="1" s="1"/>
  <c r="I74" i="1"/>
  <c r="J74" i="1" a="1"/>
  <c r="J74" i="1" s="1"/>
  <c r="I75" i="1"/>
  <c r="J75" i="1" a="1"/>
  <c r="J75" i="1" s="1"/>
  <c r="I76" i="1"/>
  <c r="J76" i="1" a="1"/>
  <c r="J76" i="1" s="1"/>
  <c r="I77" i="1"/>
  <c r="J77" i="1" a="1"/>
  <c r="J77" i="1" s="1"/>
  <c r="I78" i="1"/>
  <c r="J78" i="1" a="1"/>
  <c r="J78" i="1" s="1"/>
  <c r="I79" i="1"/>
  <c r="J79" i="1" a="1"/>
  <c r="J79" i="1" s="1"/>
  <c r="I80" i="1"/>
  <c r="J80" i="1" a="1"/>
  <c r="J80" i="1" s="1"/>
  <c r="H47" i="6"/>
  <c r="I47" i="6" s="1"/>
  <c r="G47" i="6"/>
  <c r="I63" i="1"/>
  <c r="J63" i="1" a="1"/>
  <c r="J63" i="1" s="1"/>
  <c r="I64" i="1"/>
  <c r="J64" i="1" a="1"/>
  <c r="J64" i="1" s="1"/>
  <c r="I65" i="1"/>
  <c r="J65" i="1" a="1"/>
  <c r="J65" i="1" s="1"/>
  <c r="I66" i="1"/>
  <c r="J66" i="1" a="1"/>
  <c r="J66" i="1" s="1"/>
  <c r="I67" i="1"/>
  <c r="J67" i="1" a="1"/>
  <c r="J67" i="1" s="1"/>
  <c r="I68" i="1"/>
  <c r="J68" i="1" a="1"/>
  <c r="J68" i="1" s="1"/>
  <c r="I69" i="1"/>
  <c r="J69" i="1" a="1"/>
  <c r="J69" i="1" s="1"/>
  <c r="I70" i="1"/>
  <c r="J70" i="1" a="1"/>
  <c r="J70" i="1" s="1"/>
  <c r="H46" i="6"/>
  <c r="I46" i="6" s="1"/>
  <c r="G42" i="6"/>
  <c r="G43" i="6"/>
  <c r="G44" i="6"/>
  <c r="G45" i="6"/>
  <c r="G46" i="6"/>
  <c r="I42" i="6"/>
  <c r="I43" i="6"/>
  <c r="I44" i="6"/>
  <c r="I45" i="6"/>
  <c r="G6" i="6"/>
  <c r="H40" i="6"/>
  <c r="I40" i="6" s="1"/>
  <c r="I41" i="6"/>
  <c r="G40" i="6"/>
  <c r="H31" i="6"/>
  <c r="I31" i="6" s="1"/>
  <c r="G31" i="6"/>
  <c r="G41" i="6"/>
  <c r="E8" i="7"/>
  <c r="E9" i="7"/>
  <c r="H9" i="7"/>
  <c r="E10" i="7"/>
  <c r="H10" i="7"/>
  <c r="E11" i="7"/>
  <c r="H11" i="7"/>
  <c r="E12" i="7"/>
  <c r="H12" i="7"/>
  <c r="E13" i="7"/>
  <c r="H13" i="7"/>
  <c r="E14" i="7"/>
  <c r="H14" i="7"/>
  <c r="E7" i="7"/>
  <c r="H7" i="7"/>
  <c r="I57" i="1"/>
  <c r="J57" i="1" a="1"/>
  <c r="J57" i="1"/>
  <c r="I58" i="1"/>
  <c r="J58" i="1" a="1"/>
  <c r="J58" i="1" s="1"/>
  <c r="I59" i="1"/>
  <c r="J59" i="1" a="1"/>
  <c r="J59" i="1" s="1"/>
  <c r="I60" i="1"/>
  <c r="J60" i="1" a="1"/>
  <c r="J60" i="1"/>
  <c r="I61" i="1"/>
  <c r="J61" i="1" a="1"/>
  <c r="J61" i="1" s="1"/>
  <c r="I62" i="1"/>
  <c r="J62" i="1" a="1"/>
  <c r="J62" i="1" s="1"/>
  <c r="H38" i="6"/>
  <c r="I38" i="6" s="1"/>
  <c r="G39" i="6"/>
  <c r="I39" i="6"/>
  <c r="G38" i="6"/>
  <c r="G37" i="6"/>
  <c r="I37" i="6"/>
  <c r="G35" i="6"/>
  <c r="I35" i="6"/>
  <c r="H10" i="15"/>
  <c r="G5" i="15"/>
  <c r="G6" i="15"/>
  <c r="G8" i="15"/>
  <c r="H8" i="15" s="1"/>
  <c r="G9" i="15"/>
  <c r="H9" i="15" s="1"/>
  <c r="G11" i="15"/>
  <c r="H11" i="15" s="1"/>
  <c r="G12" i="15"/>
  <c r="H12" i="15" s="1"/>
  <c r="H6" i="7"/>
  <c r="I52" i="1"/>
  <c r="J52" i="1" a="1"/>
  <c r="J52" i="1" s="1"/>
  <c r="I53" i="1"/>
  <c r="J53" i="1" a="1"/>
  <c r="J53" i="1"/>
  <c r="I54" i="1"/>
  <c r="J54" i="1" a="1"/>
  <c r="J54" i="1" s="1"/>
  <c r="I55" i="1"/>
  <c r="J55" i="1" a="1"/>
  <c r="J55" i="1"/>
  <c r="I56" i="1"/>
  <c r="J56" i="1" a="1"/>
  <c r="J56" i="1" s="1"/>
  <c r="H36" i="6"/>
  <c r="I36" i="6"/>
  <c r="G36" i="6"/>
  <c r="H3" i="7"/>
  <c r="H4" i="7"/>
  <c r="D146" i="17"/>
  <c r="I51" i="1"/>
  <c r="J51" i="1" a="1"/>
  <c r="J51" i="1"/>
  <c r="H32" i="6"/>
  <c r="I32" i="6" s="1"/>
  <c r="G32" i="6"/>
  <c r="G34" i="6"/>
  <c r="I42" i="1"/>
  <c r="J42" i="1" a="1"/>
  <c r="J42" i="1" s="1"/>
  <c r="I43" i="1"/>
  <c r="J43" i="1" a="1"/>
  <c r="J43" i="1"/>
  <c r="I44" i="1"/>
  <c r="J44" i="1" a="1"/>
  <c r="J44" i="1" s="1"/>
  <c r="I45" i="1"/>
  <c r="J45" i="1" a="1"/>
  <c r="J45" i="1" s="1"/>
  <c r="I46" i="1"/>
  <c r="J46" i="1" a="1"/>
  <c r="J46" i="1"/>
  <c r="I47" i="1"/>
  <c r="J47" i="1" a="1"/>
  <c r="J47" i="1" s="1"/>
  <c r="I48" i="1"/>
  <c r="J48" i="1" a="1"/>
  <c r="J48" i="1" s="1"/>
  <c r="I49" i="1"/>
  <c r="J49" i="1" a="1"/>
  <c r="J49" i="1"/>
  <c r="I50" i="1"/>
  <c r="J50" i="1" a="1"/>
  <c r="J50" i="1"/>
  <c r="C10" i="12"/>
  <c r="C11" i="12"/>
  <c r="C9" i="12"/>
  <c r="D99" i="17"/>
  <c r="I39" i="1"/>
  <c r="J39" i="1" a="1"/>
  <c r="J39" i="1" s="1"/>
  <c r="I40" i="1"/>
  <c r="J40" i="1" a="1"/>
  <c r="J40" i="1" s="1"/>
  <c r="I41" i="1"/>
  <c r="J41" i="1" a="1"/>
  <c r="J41" i="1" s="1"/>
  <c r="H28" i="6"/>
  <c r="I28" i="6" s="1"/>
  <c r="H27" i="6"/>
  <c r="I27" i="6" s="1"/>
  <c r="G26" i="6"/>
  <c r="G27" i="6"/>
  <c r="G28" i="6"/>
  <c r="G29" i="6"/>
  <c r="G30" i="6"/>
  <c r="I26" i="6"/>
  <c r="I29" i="6"/>
  <c r="I30" i="6"/>
  <c r="I35" i="1"/>
  <c r="J35" i="1" a="1"/>
  <c r="J35" i="1" s="1"/>
  <c r="I36" i="1"/>
  <c r="J36" i="1" a="1"/>
  <c r="J36" i="1" s="1"/>
  <c r="I37" i="1"/>
  <c r="J37" i="1" a="1"/>
  <c r="J37" i="1" s="1"/>
  <c r="I38" i="1"/>
  <c r="J38" i="1" a="1"/>
  <c r="J38" i="1" s="1"/>
  <c r="H25" i="6"/>
  <c r="I25" i="6" s="1"/>
  <c r="G25" i="6"/>
  <c r="I23" i="6"/>
  <c r="H24" i="6"/>
  <c r="I24" i="6" s="1"/>
  <c r="H20" i="6"/>
  <c r="I20" i="6" s="1"/>
  <c r="H21" i="6"/>
  <c r="I21" i="6"/>
  <c r="H22" i="6"/>
  <c r="I22" i="6" s="1"/>
  <c r="G24" i="6"/>
  <c r="G23" i="6"/>
  <c r="G22" i="6"/>
  <c r="H19" i="6"/>
  <c r="I19" i="6" s="1"/>
  <c r="D72" i="17"/>
  <c r="I28" i="1"/>
  <c r="J28" i="1" a="1"/>
  <c r="J28" i="1" s="1"/>
  <c r="I29" i="1"/>
  <c r="J29" i="1" a="1"/>
  <c r="J29" i="1" s="1"/>
  <c r="I30" i="1"/>
  <c r="J30" i="1" a="1"/>
  <c r="J30" i="1" s="1"/>
  <c r="I31" i="1"/>
  <c r="J31" i="1" a="1"/>
  <c r="J31" i="1" s="1"/>
  <c r="I32" i="1"/>
  <c r="J32" i="1" a="1"/>
  <c r="J32" i="1" s="1"/>
  <c r="I33" i="1"/>
  <c r="J33" i="1" a="1"/>
  <c r="J33" i="1" s="1"/>
  <c r="I34" i="1"/>
  <c r="J34" i="1" a="1"/>
  <c r="J34" i="1" s="1"/>
  <c r="I25" i="1"/>
  <c r="J25" i="1" a="1"/>
  <c r="J25" i="1" s="1"/>
  <c r="I26" i="1"/>
  <c r="J26" i="1" a="1"/>
  <c r="J26" i="1" s="1"/>
  <c r="I27" i="1"/>
  <c r="J27" i="1" a="1"/>
  <c r="J27" i="1" s="1"/>
  <c r="F5" i="15"/>
  <c r="C6" i="8"/>
  <c r="F6" i="15"/>
  <c r="H18" i="6"/>
  <c r="I18" i="6" s="1"/>
  <c r="H16" i="6"/>
  <c r="I16" i="6"/>
  <c r="D62" i="17"/>
  <c r="D55" i="17"/>
  <c r="H14" i="6"/>
  <c r="I14" i="6"/>
  <c r="D45" i="17"/>
  <c r="I16" i="1"/>
  <c r="J16" i="1" a="1"/>
  <c r="J16" i="1" s="1"/>
  <c r="I17" i="1"/>
  <c r="J17" i="1" a="1"/>
  <c r="J17" i="1" s="1"/>
  <c r="I18" i="1"/>
  <c r="J18" i="1" a="1"/>
  <c r="J18" i="1" s="1"/>
  <c r="I19" i="1"/>
  <c r="J19" i="1" a="1"/>
  <c r="J19" i="1" s="1"/>
  <c r="I20" i="1"/>
  <c r="J20" i="1" a="1"/>
  <c r="J20" i="1" s="1"/>
  <c r="I21" i="1"/>
  <c r="J21" i="1" a="1"/>
  <c r="J21" i="1" s="1"/>
  <c r="I22" i="1"/>
  <c r="J22" i="1" a="1"/>
  <c r="J22" i="1" s="1"/>
  <c r="I23" i="1"/>
  <c r="J23" i="1" a="1"/>
  <c r="J23" i="1" s="1"/>
  <c r="I24" i="1"/>
  <c r="J24" i="1" a="1"/>
  <c r="J24" i="1" s="1"/>
  <c r="I15" i="1"/>
  <c r="J15" i="1" a="1"/>
  <c r="J15" i="1" s="1"/>
  <c r="H7" i="6"/>
  <c r="I7" i="6" s="1"/>
  <c r="H8" i="6"/>
  <c r="I8" i="6" s="1"/>
  <c r="H9" i="6"/>
  <c r="I9" i="6" s="1"/>
  <c r="H10" i="6"/>
  <c r="I10" i="6" s="1"/>
  <c r="H11" i="6"/>
  <c r="I11" i="6" s="1"/>
  <c r="H12" i="6"/>
  <c r="I12" i="6" s="1"/>
  <c r="H13" i="6"/>
  <c r="I13"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G72" i="2"/>
  <c r="H134" i="1"/>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E16" i="2"/>
  <c r="E17" i="2"/>
  <c r="E18" i="2"/>
  <c r="E19" i="2"/>
  <c r="E7" i="2"/>
  <c r="E8" i="2"/>
  <c r="E9" i="2"/>
  <c r="E10" i="2"/>
  <c r="E11" i="2"/>
  <c r="E12" i="2"/>
  <c r="E13" i="2"/>
  <c r="E14" i="2"/>
  <c r="E5" i="2"/>
  <c r="E6" i="2"/>
  <c r="E4" i="2"/>
  <c r="F13" i="2"/>
  <c r="H13" i="2"/>
  <c r="I13" i="2"/>
  <c r="D13" i="2"/>
  <c r="F14" i="2"/>
  <c r="H14" i="2"/>
  <c r="I14" i="2"/>
  <c r="D14" i="2"/>
  <c r="F15" i="2"/>
  <c r="F16" i="2"/>
  <c r="H16" i="2"/>
  <c r="I16" i="2"/>
  <c r="D16" i="2"/>
  <c r="F17" i="2"/>
  <c r="H17" i="2"/>
  <c r="I17" i="2"/>
  <c r="D17" i="2"/>
  <c r="F18" i="2"/>
  <c r="F19" i="2"/>
  <c r="H19" i="2"/>
  <c r="I19" i="2"/>
  <c r="D19" i="2"/>
  <c r="C8" i="8"/>
  <c r="F11" i="2"/>
  <c r="H11" i="2"/>
  <c r="I11" i="2"/>
  <c r="F10" i="2"/>
  <c r="H10" i="2"/>
  <c r="I10" i="2"/>
  <c r="D10" i="2"/>
  <c r="F6" i="2"/>
  <c r="H6" i="2"/>
  <c r="I6" i="2"/>
  <c r="D6" i="2"/>
  <c r="F7" i="2"/>
  <c r="H7" i="2"/>
  <c r="I7" i="2"/>
  <c r="D7" i="2"/>
  <c r="F8" i="2"/>
  <c r="H8" i="2"/>
  <c r="I8" i="2"/>
  <c r="D8" i="2"/>
  <c r="F9" i="2"/>
  <c r="H9" i="2"/>
  <c r="I9" i="2"/>
  <c r="D9" i="2"/>
  <c r="N3" i="7"/>
  <c r="N5" i="7"/>
  <c r="E6" i="11"/>
  <c r="D6" i="11"/>
  <c r="F12" i="2"/>
  <c r="H12" i="2"/>
  <c r="I12" i="2"/>
  <c r="D12" i="2"/>
  <c r="F5" i="2"/>
  <c r="H5" i="2"/>
  <c r="I5" i="2"/>
  <c r="D5" i="2"/>
  <c r="F3" i="2"/>
  <c r="F4" i="2"/>
  <c r="H4" i="2"/>
  <c r="I4" i="2"/>
  <c r="D4" i="2"/>
  <c r="C16" i="12"/>
  <c r="J15" i="14"/>
  <c r="B2" i="2"/>
  <c r="I9" i="1"/>
  <c r="J9" i="1" s="1" a="1"/>
  <c r="J9" i="1" s="1"/>
  <c r="I11" i="1"/>
  <c r="J11" i="1" s="1" a="1"/>
  <c r="J11" i="1" s="1"/>
  <c r="H12" i="1"/>
  <c r="H6" i="1"/>
  <c r="H13" i="1"/>
  <c r="H14" i="1"/>
  <c r="H9" i="1"/>
  <c r="H3" i="1"/>
  <c r="I3" i="1"/>
  <c r="J3" i="1" s="1" a="1"/>
  <c r="J3" i="1" s="1"/>
  <c r="I8" i="1"/>
  <c r="J8" i="1" s="1" a="1"/>
  <c r="J8" i="1" s="1"/>
  <c r="I6" i="1"/>
  <c r="J6" i="1" s="1" a="1"/>
  <c r="J6" i="1" s="1"/>
  <c r="H2" i="1"/>
  <c r="H8" i="1"/>
  <c r="I2" i="1"/>
  <c r="J2" i="1" s="1" a="1"/>
  <c r="J2" i="1" s="1"/>
  <c r="I13" i="1"/>
  <c r="J13" i="1" s="1" a="1"/>
  <c r="J13" i="1" s="1"/>
  <c r="D2" i="17"/>
  <c r="N5" i="17"/>
  <c r="E24" i="7"/>
  <c r="C7" i="8"/>
  <c r="H155" i="1"/>
  <c r="H156" i="1"/>
  <c r="H85" i="1"/>
  <c r="H153" i="1"/>
  <c r="G83" i="2"/>
  <c r="H145" i="1"/>
  <c r="H159" i="1"/>
  <c r="H166" i="1"/>
  <c r="H164" i="1"/>
  <c r="G10" i="2"/>
  <c r="H21" i="1"/>
  <c r="G80" i="2"/>
  <c r="H98" i="2"/>
  <c r="I98" i="2"/>
  <c r="D98" i="2"/>
  <c r="H93" i="2"/>
  <c r="I93" i="2"/>
  <c r="D93" i="2"/>
  <c r="G85" i="2"/>
  <c r="H88" i="2"/>
  <c r="I88" i="2"/>
  <c r="D88" i="2"/>
  <c r="G41" i="2"/>
  <c r="H95" i="2"/>
  <c r="I95" i="2"/>
  <c r="D95" i="2"/>
  <c r="G84" i="2"/>
  <c r="H146" i="1"/>
  <c r="H97" i="2"/>
  <c r="I97" i="2"/>
  <c r="D97" i="2"/>
  <c r="A19" i="20"/>
  <c r="W22" i="9"/>
  <c r="B19" i="20" s="1"/>
  <c r="P21" i="9" a="1"/>
  <c r="P21" i="9"/>
  <c r="P22" i="9" a="1"/>
  <c r="P22" i="9"/>
  <c r="Q22" i="9" a="1"/>
  <c r="Q22" i="9"/>
  <c r="R22" i="9" a="1"/>
  <c r="R22" i="9"/>
  <c r="G43" i="9" a="1"/>
  <c r="G43" i="9"/>
  <c r="S22" i="9" a="1"/>
  <c r="S22" i="9"/>
  <c r="H43" i="9" a="1"/>
  <c r="H43" i="9"/>
  <c r="T22" i="9" a="1"/>
  <c r="T22" i="9"/>
  <c r="J43" i="9"/>
  <c r="K43" i="9" s="1"/>
  <c r="U22" i="9" a="1"/>
  <c r="U22" i="9"/>
  <c r="T21" i="9" a="1"/>
  <c r="T21" i="9"/>
  <c r="S21" i="9" a="1"/>
  <c r="S21" i="9"/>
  <c r="R21" i="9" a="1"/>
  <c r="R21" i="9"/>
  <c r="U21" i="9" a="1"/>
  <c r="U21" i="9"/>
  <c r="Q21" i="9" a="1"/>
  <c r="Q21" i="9"/>
  <c r="W21" i="9"/>
  <c r="X21" i="9" s="1"/>
  <c r="C18" i="20" s="1"/>
  <c r="H42" i="9" a="1"/>
  <c r="H42" i="9"/>
  <c r="H8" i="7"/>
  <c r="G71" i="2"/>
  <c r="H133" i="1"/>
  <c r="G60" i="2"/>
  <c r="H112" i="1"/>
  <c r="G50" i="2"/>
  <c r="H96" i="1"/>
  <c r="G67" i="2"/>
  <c r="H128" i="1"/>
  <c r="G8" i="2"/>
  <c r="H19" i="1"/>
  <c r="G42" i="2"/>
  <c r="H76" i="1"/>
  <c r="G36" i="2"/>
  <c r="H66" i="1"/>
  <c r="G55" i="2"/>
  <c r="H101" i="1"/>
  <c r="H72" i="2"/>
  <c r="I72" i="2"/>
  <c r="D72" i="2"/>
  <c r="G58" i="2"/>
  <c r="H110" i="1"/>
  <c r="G35" i="2"/>
  <c r="H65" i="1"/>
  <c r="G86" i="2"/>
  <c r="H152" i="1"/>
  <c r="G70" i="2"/>
  <c r="H131" i="1"/>
  <c r="G56" i="2"/>
  <c r="H106" i="1"/>
  <c r="G39" i="2"/>
  <c r="G65" i="2"/>
  <c r="H124" i="1"/>
  <c r="G44" i="2"/>
  <c r="H78" i="1"/>
  <c r="G77" i="2"/>
  <c r="H141" i="1"/>
  <c r="G80" i="6"/>
  <c r="N14" i="6"/>
  <c r="C4" i="8"/>
  <c r="G75" i="2"/>
  <c r="H138" i="1"/>
  <c r="G45" i="2"/>
  <c r="H84" i="1"/>
  <c r="G64" i="2"/>
  <c r="H119" i="1"/>
  <c r="G74" i="2"/>
  <c r="H137" i="1"/>
  <c r="G68" i="2"/>
  <c r="H129" i="1"/>
  <c r="G82" i="2"/>
  <c r="H139" i="1"/>
  <c r="G78" i="2"/>
  <c r="H142" i="1"/>
  <c r="H85" i="2"/>
  <c r="I85" i="2"/>
  <c r="D85" i="2"/>
  <c r="G12" i="2"/>
  <c r="H23" i="1"/>
  <c r="G22" i="2"/>
  <c r="H45" i="1"/>
  <c r="G47" i="2"/>
  <c r="H11" i="1"/>
  <c r="H10" i="1"/>
  <c r="H4" i="1"/>
  <c r="H7" i="1"/>
  <c r="H5" i="1"/>
  <c r="H123" i="1"/>
  <c r="G24" i="2"/>
  <c r="H49" i="1"/>
  <c r="G46" i="2"/>
  <c r="H86" i="1"/>
  <c r="G79" i="2"/>
  <c r="H143" i="1"/>
  <c r="G16" i="2"/>
  <c r="H36" i="1"/>
  <c r="G6" i="2"/>
  <c r="H16" i="1"/>
  <c r="G49" i="2"/>
  <c r="H90" i="1"/>
  <c r="G26" i="2"/>
  <c r="H50" i="1"/>
  <c r="H144" i="1"/>
  <c r="G7" i="2"/>
  <c r="H18" i="1"/>
  <c r="G30" i="2"/>
  <c r="H64" i="1"/>
  <c r="G52" i="2"/>
  <c r="H98" i="1"/>
  <c r="G11" i="2"/>
  <c r="H42" i="1"/>
  <c r="G21" i="2"/>
  <c r="H44" i="1"/>
  <c r="H56" i="2"/>
  <c r="I56" i="2"/>
  <c r="D56" i="2"/>
  <c r="G17" i="2"/>
  <c r="H37" i="1"/>
  <c r="G53" i="2"/>
  <c r="H97" i="1"/>
  <c r="G19" i="2"/>
  <c r="H82" i="2"/>
  <c r="I82" i="2"/>
  <c r="D82" i="2"/>
  <c r="G27" i="2"/>
  <c r="H51" i="1"/>
  <c r="G34" i="2"/>
  <c r="H63" i="1"/>
  <c r="G38" i="2"/>
  <c r="H70" i="1"/>
  <c r="G37" i="2"/>
  <c r="H68" i="1"/>
  <c r="G15" i="2"/>
  <c r="H27" i="1"/>
  <c r="G28" i="2"/>
  <c r="H52" i="1"/>
  <c r="H132" i="1"/>
  <c r="G4" i="2"/>
  <c r="H26" i="2"/>
  <c r="I26" i="2"/>
  <c r="D26" i="2"/>
  <c r="G40" i="2"/>
  <c r="G59" i="2"/>
  <c r="H151" i="1"/>
  <c r="G18" i="2"/>
  <c r="H43" i="1"/>
  <c r="G14" i="2"/>
  <c r="H34" i="1"/>
  <c r="G29" i="2"/>
  <c r="H54" i="1"/>
  <c r="G63" i="2"/>
  <c r="H118" i="1"/>
  <c r="H74" i="2"/>
  <c r="I74" i="2"/>
  <c r="D74" i="2"/>
  <c r="H140" i="1"/>
  <c r="G13" i="2"/>
  <c r="H32" i="1"/>
  <c r="G9" i="2"/>
  <c r="H20" i="1"/>
  <c r="G25" i="2"/>
  <c r="H48" i="1"/>
  <c r="H81" i="2"/>
  <c r="I81" i="2"/>
  <c r="D81" i="2"/>
  <c r="H76" i="2"/>
  <c r="I76" i="2"/>
  <c r="D76" i="2"/>
  <c r="G20" i="2"/>
  <c r="H61" i="1"/>
  <c r="G32" i="2"/>
  <c r="H58" i="1"/>
  <c r="G43" i="2"/>
  <c r="H81" i="1"/>
  <c r="G33" i="2"/>
  <c r="H60" i="1"/>
  <c r="G73" i="2"/>
  <c r="H135" i="1"/>
  <c r="G69" i="2"/>
  <c r="H130" i="1"/>
  <c r="G66" i="2"/>
  <c r="H127" i="1"/>
  <c r="G62" i="2"/>
  <c r="H116" i="1"/>
  <c r="G57" i="2"/>
  <c r="H109" i="1"/>
  <c r="H73" i="1"/>
  <c r="H82" i="1"/>
  <c r="H74" i="1"/>
  <c r="H125" i="1"/>
  <c r="H75" i="1"/>
  <c r="H80" i="1"/>
  <c r="H136" i="1"/>
  <c r="H15" i="2"/>
  <c r="I15" i="2"/>
  <c r="D15" i="2"/>
  <c r="H33" i="2"/>
  <c r="I33" i="2"/>
  <c r="D33" i="2"/>
  <c r="G23" i="2"/>
  <c r="H46" i="1"/>
  <c r="H41" i="2"/>
  <c r="I41" i="2"/>
  <c r="D41" i="2"/>
  <c r="H65" i="2"/>
  <c r="I65" i="2"/>
  <c r="D65" i="2"/>
  <c r="G51" i="2"/>
  <c r="G54" i="2"/>
  <c r="G48" i="2"/>
  <c r="H89" i="1"/>
  <c r="G31" i="2"/>
  <c r="H56" i="1"/>
  <c r="G5" i="2"/>
  <c r="H36" i="2"/>
  <c r="I36" i="2"/>
  <c r="D36" i="2"/>
  <c r="H42" i="2"/>
  <c r="I42" i="2"/>
  <c r="D42" i="2"/>
  <c r="H83" i="1"/>
  <c r="G61" i="2"/>
  <c r="H18" i="2"/>
  <c r="I18" i="2"/>
  <c r="D18" i="2"/>
  <c r="A18" i="20"/>
  <c r="J42" i="9"/>
  <c r="K42" i="9" s="1"/>
  <c r="G42" i="9" a="1"/>
  <c r="G42" i="9"/>
  <c r="J29" i="9"/>
  <c r="K29" i="9" s="1"/>
  <c r="B6" i="9"/>
  <c r="C6" i="9"/>
  <c r="G33" i="9" a="1"/>
  <c r="G33" i="9"/>
  <c r="H66" i="9"/>
  <c r="U10" i="9" s="1" a="1"/>
  <c r="U10" i="9" s="1"/>
  <c r="T17" i="9" a="1"/>
  <c r="T17" i="9"/>
  <c r="H37" i="9" a="1"/>
  <c r="H37" i="9"/>
  <c r="C70" i="9"/>
  <c r="P14" i="9" s="1" a="1"/>
  <c r="P14" i="9" s="1"/>
  <c r="F67" i="9"/>
  <c r="S11" i="9" s="1" a="1"/>
  <c r="S11" i="9" s="1"/>
  <c r="B10" i="9"/>
  <c r="C10" i="9"/>
  <c r="H27" i="9" a="1"/>
  <c r="H27" i="9"/>
  <c r="H64" i="9"/>
  <c r="U8" i="9" a="1"/>
  <c r="U8" i="9" s="1"/>
  <c r="I14" i="1"/>
  <c r="J14" i="1" a="1"/>
  <c r="J14" i="1" s="1"/>
  <c r="H91" i="1"/>
  <c r="H148" i="1"/>
  <c r="H150" i="1"/>
  <c r="H149" i="1"/>
  <c r="H31" i="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H62" i="1"/>
  <c r="H33" i="1"/>
  <c r="H117" i="1"/>
  <c r="H69" i="1"/>
  <c r="H40" i="1"/>
  <c r="H59" i="1"/>
  <c r="H103" i="1"/>
  <c r="H99" i="1"/>
  <c r="H105" i="1"/>
  <c r="H120" i="1"/>
  <c r="H100" i="1"/>
  <c r="H95" i="1"/>
  <c r="H92" i="1"/>
  <c r="H115" i="1"/>
  <c r="H122" i="1"/>
  <c r="H114" i="1"/>
  <c r="H121" i="1"/>
  <c r="C444" i="17"/>
  <c r="K4" i="17" s="1"/>
  <c r="H30" i="9" a="1"/>
  <c r="H30" i="9"/>
  <c r="G37" i="9" a="1"/>
  <c r="G37" i="9"/>
  <c r="J27" i="9"/>
  <c r="E64" i="9"/>
  <c r="R8" i="9" s="1" a="1"/>
  <c r="R8" i="9" s="1"/>
  <c r="B5" i="9"/>
  <c r="C5" i="9"/>
  <c r="H68" i="9"/>
  <c r="U12" i="9" a="1"/>
  <c r="U12" i="9" s="1"/>
  <c r="U20" i="9" a="1"/>
  <c r="U20" i="9"/>
  <c r="H34" i="9" a="1"/>
  <c r="H34" i="9"/>
  <c r="H36" i="9" a="1"/>
  <c r="H36" i="9"/>
  <c r="G36" i="9" a="1"/>
  <c r="G36" i="9"/>
  <c r="I36" i="9"/>
  <c r="Q17" i="9" a="1"/>
  <c r="Q17" i="9"/>
  <c r="F63" i="9"/>
  <c r="S7" i="9" a="1"/>
  <c r="S7" i="9" s="1"/>
  <c r="G64" i="9"/>
  <c r="T8" i="9" a="1"/>
  <c r="T8" i="9" s="1"/>
  <c r="P20" i="9" a="1"/>
  <c r="P20" i="9"/>
  <c r="U18" i="9" a="1"/>
  <c r="U18" i="9"/>
  <c r="J34" i="9"/>
  <c r="K34" i="9" s="1"/>
  <c r="D62" i="9"/>
  <c r="Q6" i="9" a="1"/>
  <c r="Q6" i="9" s="1"/>
  <c r="C64" i="9"/>
  <c r="P8" i="9" a="1"/>
  <c r="P8" i="9" s="1"/>
  <c r="G69" i="9"/>
  <c r="J69" i="9"/>
  <c r="H38" i="9" a="1"/>
  <c r="H38" i="9"/>
  <c r="G38" i="9" a="1"/>
  <c r="G38" i="9"/>
  <c r="I38" i="9"/>
  <c r="B26" i="9"/>
  <c r="J61" i="9"/>
  <c r="D65" i="9"/>
  <c r="Q9" i="9" a="1"/>
  <c r="Q9" i="9" s="1"/>
  <c r="F71" i="9"/>
  <c r="S15" i="9" s="1" a="1"/>
  <c r="S15" i="9" s="1"/>
  <c r="J39" i="9"/>
  <c r="K39" i="9" s="1"/>
  <c r="C68" i="9"/>
  <c r="P12" i="9" s="1" a="1"/>
  <c r="P12" i="9" s="1"/>
  <c r="H70" i="9"/>
  <c r="U14" i="9" s="1" a="1"/>
  <c r="U14" i="9" s="1"/>
  <c r="D63" i="9"/>
  <c r="Q7" i="9" a="1"/>
  <c r="Q7" i="9" s="1"/>
  <c r="J38" i="9"/>
  <c r="K38" i="9" s="1"/>
  <c r="J36" i="9"/>
  <c r="K36" i="9" s="1"/>
  <c r="T19" i="9" a="1"/>
  <c r="T19" i="9"/>
  <c r="G67" i="9"/>
  <c r="C66" i="9"/>
  <c r="P10" i="9" a="1"/>
  <c r="P10" i="9" s="1"/>
  <c r="D8" i="19" s="1" a="1"/>
  <c r="D8" i="19" s="1"/>
  <c r="H33" i="9" a="1"/>
  <c r="H33" i="9"/>
  <c r="I33" i="9"/>
  <c r="E66" i="9"/>
  <c r="R10" i="9" s="1" a="1"/>
  <c r="R10" i="9" s="1"/>
  <c r="D69" i="9"/>
  <c r="Q13" i="9" s="1" a="1"/>
  <c r="Q13" i="9" s="1"/>
  <c r="F66" i="9"/>
  <c r="S10" i="9" a="1"/>
  <c r="S10" i="9" s="1"/>
  <c r="D14" i="19" s="1" a="1"/>
  <c r="D14" i="19" s="1"/>
  <c r="Q18" i="9" a="1"/>
  <c r="Q18" i="9"/>
  <c r="J31" i="9"/>
  <c r="K31" i="9" s="1"/>
  <c r="E67" i="9"/>
  <c r="R11" i="9" a="1"/>
  <c r="R11" i="9" s="1"/>
  <c r="G70" i="9"/>
  <c r="I70" i="9" s="1"/>
  <c r="K70" i="9" s="1"/>
  <c r="H31" i="9" a="1"/>
  <c r="H31" i="9"/>
  <c r="S18" i="9" a="1"/>
  <c r="S18" i="9"/>
  <c r="E70" i="9"/>
  <c r="R14" i="9" a="1"/>
  <c r="R14" i="9" s="1"/>
  <c r="G63" i="9"/>
  <c r="T7" i="9" a="1"/>
  <c r="T7" i="9"/>
  <c r="B9" i="9"/>
  <c r="C9" i="9"/>
  <c r="D67" i="9"/>
  <c r="Q11" i="9" a="1"/>
  <c r="Q11" i="9" s="1"/>
  <c r="E68" i="9"/>
  <c r="R12" i="9" s="1" a="1"/>
  <c r="R12" i="9" s="1"/>
  <c r="B13" i="9"/>
  <c r="E13" i="9"/>
  <c r="U19" i="9" a="1"/>
  <c r="U19" i="9"/>
  <c r="T16" i="9" a="1"/>
  <c r="T16" i="9"/>
  <c r="H35" i="9" a="1"/>
  <c r="H35" i="9"/>
  <c r="B11" i="9"/>
  <c r="E11" i="9"/>
  <c r="H39" i="9" a="1"/>
  <c r="H39" i="9"/>
  <c r="J68" i="9"/>
  <c r="W12" i="9" s="1"/>
  <c r="B9" i="20" s="1"/>
  <c r="G32" i="9" a="1"/>
  <c r="G32" i="9"/>
  <c r="Q20" i="9" a="1"/>
  <c r="Q20" i="9"/>
  <c r="J65" i="9"/>
  <c r="W9" i="9" s="1"/>
  <c r="S20" i="9" a="1"/>
  <c r="S20" i="9"/>
  <c r="R16" i="9" a="1"/>
  <c r="R16" i="9"/>
  <c r="E62" i="9"/>
  <c r="R6" i="9" a="1"/>
  <c r="R6" i="9" s="1"/>
  <c r="H29" i="9" a="1"/>
  <c r="H29" i="9"/>
  <c r="C71" i="9"/>
  <c r="P15" i="9" s="1" a="1"/>
  <c r="P15" i="9" s="1"/>
  <c r="H63" i="9"/>
  <c r="U7" i="9" a="1"/>
  <c r="U7" i="9" s="1"/>
  <c r="F69" i="9"/>
  <c r="S13" i="9" a="1"/>
  <c r="S13" i="9" s="1"/>
  <c r="D71" i="9"/>
  <c r="Q15" i="9" s="1" a="1"/>
  <c r="Q15" i="9" s="1"/>
  <c r="U17" i="9" a="1"/>
  <c r="U17" i="9"/>
  <c r="F68" i="9"/>
  <c r="S12" i="9" s="1" a="1"/>
  <c r="S12" i="9" s="1"/>
  <c r="C63" i="9"/>
  <c r="P7" i="9" a="1"/>
  <c r="P7" i="9" s="1"/>
  <c r="E65" i="9"/>
  <c r="R9" i="9" s="1" a="1"/>
  <c r="R9" i="9" s="1"/>
  <c r="J32" i="9"/>
  <c r="K32" i="9" s="1"/>
  <c r="E63" i="9"/>
  <c r="R7" i="9" s="1" a="1"/>
  <c r="R7" i="9" s="1"/>
  <c r="S16" i="9" a="1"/>
  <c r="S16" i="9"/>
  <c r="G68" i="9"/>
  <c r="P18" i="9" a="1"/>
  <c r="P18" i="9"/>
  <c r="H62" i="9"/>
  <c r="I62" i="9" s="1"/>
  <c r="K62" i="9" s="1"/>
  <c r="D68" i="9"/>
  <c r="Q12" i="9" a="1"/>
  <c r="Q12" i="9" s="1"/>
  <c r="G29" i="9" a="1"/>
  <c r="G29" i="9"/>
  <c r="S19" i="9" a="1"/>
  <c r="S19" i="9"/>
  <c r="G28" i="9" a="1"/>
  <c r="G28" i="9"/>
  <c r="H28" i="9" a="1"/>
  <c r="H28" i="9"/>
  <c r="I28" i="9"/>
  <c r="B12" i="9"/>
  <c r="C12" i="9"/>
  <c r="C69" i="9"/>
  <c r="P13" i="9" s="1" a="1"/>
  <c r="P13" i="9" s="1"/>
  <c r="H32" i="9" a="1"/>
  <c r="H32" i="9"/>
  <c r="G40" i="9" a="1"/>
  <c r="G40" i="9"/>
  <c r="G27" i="9" a="1"/>
  <c r="G27" i="9"/>
  <c r="J71" i="9"/>
  <c r="H67" i="9"/>
  <c r="D66" i="9"/>
  <c r="Q10" i="9" s="1" a="1"/>
  <c r="Q10" i="9" s="1"/>
  <c r="D10" i="19" s="1" a="1"/>
  <c r="D10" i="19" s="1"/>
  <c r="H65" i="9"/>
  <c r="I65" i="9" s="1"/>
  <c r="K65" i="9" s="1"/>
  <c r="J33" i="9"/>
  <c r="K33" i="9" s="1"/>
  <c r="J35" i="9"/>
  <c r="J30" i="9"/>
  <c r="K30" i="9" s="1"/>
  <c r="D70" i="9"/>
  <c r="Q14" i="9" a="1"/>
  <c r="Q14" i="9" s="1"/>
  <c r="C67" i="9"/>
  <c r="P11" i="9" s="1" a="1"/>
  <c r="P11" i="9" s="1"/>
  <c r="R18" i="9" a="1"/>
  <c r="R18" i="9"/>
  <c r="B7" i="9"/>
  <c r="E7" i="9"/>
  <c r="P19" i="9" a="1"/>
  <c r="P19" i="9"/>
  <c r="J28" i="9"/>
  <c r="K28" i="9" s="1"/>
  <c r="B16" i="9"/>
  <c r="E16" i="9"/>
  <c r="T18" i="9" a="1"/>
  <c r="T18" i="9"/>
  <c r="V18" i="9"/>
  <c r="C65" i="9"/>
  <c r="P9" i="9" s="1" a="1"/>
  <c r="P9" i="9" s="1"/>
  <c r="B15" i="9"/>
  <c r="E15" i="9"/>
  <c r="C62" i="9"/>
  <c r="P6" i="9" a="1"/>
  <c r="P6" i="9" s="1"/>
  <c r="G39" i="9" a="1"/>
  <c r="G39" i="9"/>
  <c r="J64" i="9"/>
  <c r="W8" i="9"/>
  <c r="B5" i="20" s="1"/>
  <c r="J66" i="9"/>
  <c r="W10" i="9" s="1"/>
  <c r="E18" i="19" s="1" a="1"/>
  <c r="E18" i="19" s="1"/>
  <c r="U16" i="9" a="1"/>
  <c r="U16" i="9"/>
  <c r="J63" i="9"/>
  <c r="W7" i="9" s="1"/>
  <c r="B4" i="20" s="1"/>
  <c r="H69" i="9"/>
  <c r="I69" i="9" s="1"/>
  <c r="K69" i="9" s="1"/>
  <c r="U13" i="9" a="1"/>
  <c r="U13" i="9" s="1"/>
  <c r="V13" i="9" s="1"/>
  <c r="Q19" i="9" a="1"/>
  <c r="Q19" i="9"/>
  <c r="R19" i="9" a="1"/>
  <c r="R19" i="9"/>
  <c r="B8" i="9"/>
  <c r="C8" i="9"/>
  <c r="H71" i="9"/>
  <c r="U15" i="9" s="1" a="1"/>
  <c r="U15" i="9" s="1"/>
  <c r="E71" i="9"/>
  <c r="R15" i="9" a="1"/>
  <c r="R15" i="9" s="1"/>
  <c r="J62" i="9"/>
  <c r="W6" i="9"/>
  <c r="B3" i="20" s="1"/>
  <c r="G31" i="9" a="1"/>
  <c r="G31" i="9"/>
  <c r="I31" i="9"/>
  <c r="R20" i="9" a="1"/>
  <c r="R20" i="9"/>
  <c r="J40" i="9"/>
  <c r="K40" i="9" s="1"/>
  <c r="B14" i="9"/>
  <c r="C14" i="9"/>
  <c r="J37" i="9"/>
  <c r="K37" i="9" s="1"/>
  <c r="R17" i="9" a="1"/>
  <c r="R17" i="9"/>
  <c r="P16" i="9" a="1"/>
  <c r="P16" i="9"/>
  <c r="J67" i="9"/>
  <c r="W11" i="9" s="1"/>
  <c r="B8" i="20" s="1"/>
  <c r="F65" i="9"/>
  <c r="S9" i="9" s="1" a="1"/>
  <c r="S9" i="9" s="1"/>
  <c r="F64" i="9"/>
  <c r="S8" i="9" s="1" a="1"/>
  <c r="S8" i="9" s="1"/>
  <c r="D64" i="9"/>
  <c r="Q8" i="9" s="1" a="1"/>
  <c r="Q8" i="9" s="1"/>
  <c r="E69" i="9"/>
  <c r="R13" i="9" s="1" a="1"/>
  <c r="R13" i="9" s="1"/>
  <c r="Q16" i="9" a="1"/>
  <c r="Q16" i="9"/>
  <c r="G62" i="9"/>
  <c r="F70" i="9"/>
  <c r="S14" i="9" s="1" a="1"/>
  <c r="S14" i="9" s="1"/>
  <c r="J70" i="9"/>
  <c r="W14" i="9"/>
  <c r="B11" i="20" s="1"/>
  <c r="S17" i="9" a="1"/>
  <c r="S17" i="9"/>
  <c r="G35" i="9" a="1"/>
  <c r="G35" i="9"/>
  <c r="G34" i="9" a="1"/>
  <c r="G34" i="9"/>
  <c r="G66" i="9"/>
  <c r="T10" i="9" s="1" a="1"/>
  <c r="T10" i="9" s="1"/>
  <c r="F62" i="9"/>
  <c r="S6" i="9" a="1"/>
  <c r="S6" i="9" s="1"/>
  <c r="P17" i="9" a="1"/>
  <c r="P17" i="9"/>
  <c r="G71" i="9"/>
  <c r="I71" i="9" s="1"/>
  <c r="K71" i="9" s="1"/>
  <c r="T20" i="9" a="1"/>
  <c r="T20" i="9"/>
  <c r="V20" i="9"/>
  <c r="G41" i="9" a="1"/>
  <c r="G41" i="9"/>
  <c r="F17" i="15"/>
  <c r="E57" i="7"/>
  <c r="C5" i="8"/>
  <c r="W15" i="9"/>
  <c r="B12" i="20" s="1"/>
  <c r="A9" i="20"/>
  <c r="A12" i="20"/>
  <c r="E5" i="9"/>
  <c r="C11" i="9"/>
  <c r="C26" i="9" a="1"/>
  <c r="H26" i="9" a="1"/>
  <c r="H26" i="9"/>
  <c r="C7" i="9"/>
  <c r="W17" i="9"/>
  <c r="X17" i="9" s="1"/>
  <c r="C14" i="20" s="1"/>
  <c r="W16" i="9"/>
  <c r="B13" i="20" s="1"/>
  <c r="O5" i="9"/>
  <c r="A14" i="21"/>
  <c r="A13" i="20"/>
  <c r="A11" i="21"/>
  <c r="B11" i="21"/>
  <c r="A16" i="20"/>
  <c r="A15" i="20"/>
  <c r="A6" i="21"/>
  <c r="B6" i="21"/>
  <c r="A5" i="21"/>
  <c r="B5" i="21"/>
  <c r="A3" i="20"/>
  <c r="A4" i="21"/>
  <c r="B4" i="21"/>
  <c r="G26" i="9" a="1"/>
  <c r="G26" i="9"/>
  <c r="W13" i="9"/>
  <c r="B10" i="20" s="1"/>
  <c r="W18" i="9"/>
  <c r="X18" i="9" s="1"/>
  <c r="C15" i="20" s="1"/>
  <c r="E6" i="9"/>
  <c r="A9" i="21"/>
  <c r="B9" i="21"/>
  <c r="A7" i="21"/>
  <c r="B7" i="21"/>
  <c r="A6" i="20"/>
  <c r="W20" i="9"/>
  <c r="X20" i="9" s="1"/>
  <c r="C17" i="20" s="1"/>
  <c r="A17" i="20"/>
  <c r="A8" i="20"/>
  <c r="A7" i="20"/>
  <c r="A10" i="21"/>
  <c r="B10" i="21"/>
  <c r="A3" i="21"/>
  <c r="B3" i="21"/>
  <c r="A10" i="20"/>
  <c r="A14" i="20"/>
  <c r="A4" i="20"/>
  <c r="A11" i="20"/>
  <c r="I42" i="9"/>
  <c r="I43" i="9"/>
  <c r="V17" i="9"/>
  <c r="A5" i="20"/>
  <c r="A8" i="21"/>
  <c r="B8" i="21"/>
  <c r="A13" i="21"/>
  <c r="B13" i="21"/>
  <c r="W19" i="9"/>
  <c r="B16" i="20" s="1"/>
  <c r="V22" i="9"/>
  <c r="I39" i="9"/>
  <c r="I44" i="9"/>
  <c r="E14" i="9"/>
  <c r="I35" i="9"/>
  <c r="E8" i="9"/>
  <c r="C12" i="19" a="1"/>
  <c r="C12" i="19" s="1"/>
  <c r="I27" i="9"/>
  <c r="K27" i="9"/>
  <c r="I32" i="9"/>
  <c r="C16" i="9"/>
  <c r="V19" i="9"/>
  <c r="I46" i="9"/>
  <c r="E10" i="9"/>
  <c r="T13" i="9" a="1"/>
  <c r="T13" i="9"/>
  <c r="V16" i="9"/>
  <c r="I45" i="9"/>
  <c r="I29" i="9"/>
  <c r="I37" i="9"/>
  <c r="V21" i="9"/>
  <c r="V23" i="9"/>
  <c r="I34" i="9"/>
  <c r="E61" i="9"/>
  <c r="R5" i="9" s="1" a="1"/>
  <c r="R5" i="9" s="1"/>
  <c r="T12" i="9" a="1"/>
  <c r="T12" i="9" s="1"/>
  <c r="G65" i="9"/>
  <c r="T9" i="9" s="1" a="1"/>
  <c r="T9" i="9" s="1"/>
  <c r="E9" i="9" a="1"/>
  <c r="E9" i="9"/>
  <c r="C15" i="9"/>
  <c r="I30" i="9"/>
  <c r="U11" i="9" a="1"/>
  <c r="U11" i="9" s="1"/>
  <c r="U9" i="9" a="1"/>
  <c r="U9" i="9" s="1"/>
  <c r="I64" i="9"/>
  <c r="K64" i="9" s="1"/>
  <c r="W5" i="9"/>
  <c r="B2" i="20" s="1"/>
  <c r="T6" i="9" a="1"/>
  <c r="T6" i="9" s="1"/>
  <c r="K35" i="9"/>
  <c r="E12" i="9"/>
  <c r="H61" i="9"/>
  <c r="U5" i="9" s="1" a="1"/>
  <c r="U5" i="9" s="1"/>
  <c r="D26" i="9" a="1"/>
  <c r="D26" i="9"/>
  <c r="B4" i="9"/>
  <c r="C13" i="9"/>
  <c r="F26" i="9" a="1"/>
  <c r="F26" i="9"/>
  <c r="G61" i="9"/>
  <c r="I61" i="9" s="1"/>
  <c r="T5" i="9" a="1"/>
  <c r="T5" i="9" s="1"/>
  <c r="F61" i="9"/>
  <c r="S5" i="9" s="1" a="1"/>
  <c r="S5" i="9" s="1"/>
  <c r="C14" i="19" a="1"/>
  <c r="C14" i="19" s="1"/>
  <c r="D61" i="9"/>
  <c r="Q5" i="9" a="1"/>
  <c r="Q5" i="9" s="1"/>
  <c r="C61" i="9"/>
  <c r="P5" i="9" a="1"/>
  <c r="P5" i="9" s="1"/>
  <c r="J26" i="9"/>
  <c r="K26" i="9" s="1"/>
  <c r="E26" i="9" a="1"/>
  <c r="E26" i="9"/>
  <c r="C26" i="9"/>
  <c r="H41" i="9" a="1"/>
  <c r="H41" i="9"/>
  <c r="I41" i="9"/>
  <c r="H40" i="9" a="1"/>
  <c r="H40" i="9"/>
  <c r="I40" i="9"/>
  <c r="I26" i="9"/>
  <c r="A2" i="21"/>
  <c r="B2" i="21"/>
  <c r="A2" i="20"/>
  <c r="E4" i="9"/>
  <c r="C4" i="9"/>
  <c r="C20" i="9"/>
  <c r="C2" i="2"/>
  <c r="X22" i="9" l="1"/>
  <c r="C19" i="20" s="1"/>
  <c r="X23" i="9"/>
  <c r="C20" i="20" s="1"/>
  <c r="B17" i="20"/>
  <c r="T15" i="9" a="1"/>
  <c r="T15" i="9" s="1"/>
  <c r="V15" i="9" s="1"/>
  <c r="X15" i="9" s="1"/>
  <c r="C12" i="20" s="1"/>
  <c r="C12" i="10"/>
  <c r="U6" i="9" a="1"/>
  <c r="U6" i="9" s="1"/>
  <c r="V6" i="9" s="1"/>
  <c r="X6" i="9" s="1"/>
  <c r="C3" i="20" s="1"/>
  <c r="X19" i="9"/>
  <c r="C16" i="20" s="1"/>
  <c r="I63" i="9"/>
  <c r="K63" i="9" s="1"/>
  <c r="V8" i="9"/>
  <c r="X8" i="9" s="1"/>
  <c r="C5" i="20" s="1"/>
  <c r="I67" i="9"/>
  <c r="K67" i="9" s="1"/>
  <c r="V9" i="9"/>
  <c r="X9" i="9" s="1"/>
  <c r="C6" i="20" s="1"/>
  <c r="I68" i="9"/>
  <c r="K68" i="9" s="1"/>
  <c r="I168" i="1" a="1"/>
  <c r="I168" i="1" s="1"/>
  <c r="I35" i="12"/>
  <c r="B15" i="20"/>
  <c r="X16" i="9"/>
  <c r="C13" i="20" s="1"/>
  <c r="D35" i="18"/>
  <c r="C11" i="8" s="1"/>
  <c r="C37" i="12"/>
  <c r="G17" i="15"/>
  <c r="J35" i="14"/>
  <c r="C12" i="8" s="1"/>
  <c r="E35" i="18"/>
  <c r="B7" i="20"/>
  <c r="X13" i="9"/>
  <c r="C10" i="20" s="1"/>
  <c r="H80" i="6"/>
  <c r="D35" i="14"/>
  <c r="C10" i="8" s="1"/>
  <c r="H17" i="15"/>
  <c r="I80" i="6"/>
  <c r="L42" i="6" s="1"/>
  <c r="E14" i="19"/>
  <c r="V10" i="9"/>
  <c r="X10" i="9" s="1"/>
  <c r="D2" i="2"/>
  <c r="V7" i="9"/>
  <c r="X7" i="9" s="1"/>
  <c r="C4" i="20" s="1"/>
  <c r="V5" i="9"/>
  <c r="X5" i="9" s="1"/>
  <c r="C2" i="20" s="1"/>
  <c r="B6" i="20"/>
  <c r="K5" i="17"/>
  <c r="K6" i="17" s="1"/>
  <c r="F444" i="17"/>
  <c r="K61" i="9"/>
  <c r="V12" i="9"/>
  <c r="X12" i="9" s="1"/>
  <c r="C9" i="20" s="1"/>
  <c r="D12" i="19" a="1"/>
  <c r="D12" i="19" s="1"/>
  <c r="E12" i="19" s="1"/>
  <c r="K168" i="1"/>
  <c r="J168" i="1" a="1"/>
  <c r="J168" i="1" s="1"/>
  <c r="B14" i="20"/>
  <c r="T14" i="9" a="1"/>
  <c r="T14" i="9" s="1"/>
  <c r="V14" i="9" s="1"/>
  <c r="X14" i="9" s="1"/>
  <c r="C11" i="20" s="1"/>
  <c r="T11" i="9" a="1"/>
  <c r="T11" i="9" s="1"/>
  <c r="V11" i="9" s="1"/>
  <c r="X11" i="9" s="1"/>
  <c r="C8" i="20" s="1"/>
  <c r="B18" i="20"/>
  <c r="N6" i="17"/>
  <c r="I66" i="9"/>
  <c r="K66" i="9" s="1"/>
  <c r="C9" i="8" l="1"/>
  <c r="C14" i="8" s="1"/>
  <c r="C4" i="10" s="1"/>
  <c r="C15" i="10" s="1"/>
  <c r="C17" i="10" s="1"/>
  <c r="F35" i="18"/>
  <c r="E16" i="19"/>
  <c r="N7" i="17"/>
  <c r="C22" i="9"/>
  <c r="C3" i="10" s="1"/>
  <c r="C7" i="20"/>
  <c r="E20" i="19" a="1"/>
  <c r="E20" i="19" s="1"/>
  <c r="C11" i="10" l="1"/>
  <c r="C13" i="10" s="1"/>
  <c r="C5" i="10"/>
  <c r="F21" i="10" s="1"/>
  <c r="P7" i="17"/>
  <c r="C19" i="10"/>
  <c r="C21"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<sst xmlns="http://schemas.openxmlformats.org/spreadsheetml/2006/main" count="2302" uniqueCount="454">
  <si>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</si>
  <si>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</si>
  <si>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</si>
  <si>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</si>
  <si>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</si>
  <si>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</si>
  <si>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</si>
  <si>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</si>
  <si>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</si>
  <si>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</si>
  <si>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</si>
  <si>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</si>
  <si>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</si>
  <si>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</si>
  <si>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</si>
  <si>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</si>
  <si>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</si>
  <si>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</si>
  <si>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</si>
  <si>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</si>
  <si>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</si>
  <si>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</si>
  <si>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</si>
  <si>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</si>
  <si>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</si>
  <si>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</si>
  <si>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</si>
  <si>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</si>
  <si>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</si>
  <si>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</si>
  <si>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</si>
  <si>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</si>
  <si>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</si>
  <si>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</si>
  <si>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</si>
  <si>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</si>
  <si>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</si>
  <si>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</si>
  <si>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</si>
  <si>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</si>
  <si>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</si>
  <si>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</si>
  <si>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</si>
  <si>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</si>
  <si>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</si>
  <si>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</si>
  <si>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</si>
  <si>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</si>
  <si>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</si>
  <si>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</si>
  <si>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</si>
  <si>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</si>
  <si>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</si>
  <si>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</si>
  <si>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</si>
  <si>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</si>
  <si>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</si>
  <si>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</si>
  <si>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</si>
  <si>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</si>
  <si>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</si>
  <si>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</si>
  <si>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</si>
  <si>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</si>
  <si>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</si>
  <si>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</si>
  <si>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</si>
  <si>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</si>
  <si>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</si>
  <si>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</si>
  <si>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</si>
  <si>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</si>
  <si>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</si>
  <si>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</si>
  <si>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</si>
  <si>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</si>
  <si>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</si>
  <si>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</si>
  <si>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</si>
  <si>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</si>
  <si>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</si>
  <si>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</si>
  <si>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</si>
  <si>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</si>
  <si>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</si>
  <si>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</si>
  <si>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</si>
  <si>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</si>
  <si>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</si>
  <si>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</si>
  <si>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</si>
  <si>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</si>
  <si>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</si>
  <si>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</si>
  <si>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</si>
  <si>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</si>
  <si>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</si>
  <si>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</si>
  <si>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</si>
  <si>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</si>
  <si>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</si>
  <si>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</si>
  <si>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</si>
  <si>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</si>
  <si>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</si>
  <si>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</si>
  <si>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</si>
  <si>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</si>
  <si>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</si>
  <si>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</si>
  <si>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</si>
  <si>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</si>
  <si>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</si>
  <si>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</si>
  <si>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</si>
  <si>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</si>
  <si>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</si>
  <si>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</si>
  <si>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</si>
  <si>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</si>
  <si>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</si>
  <si>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</si>
  <si>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</si>
  <si>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</si>
  <si>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</si>
  <si>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</si>
  <si>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</si>
  <si>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</si>
  <si>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</si>
  <si>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</si>
  <si>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</si>
  <si>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</si>
  <si>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</si>
  <si>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</si>
  <si>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</si>
  <si>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</si>
  <si>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</si>
  <si>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</si>
  <si>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</si>
  <si>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</si>
  <si>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</si>
  <si>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</si>
  <si>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</si>
  <si>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</si>
  <si>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</si>
  <si>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</si>
  <si>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</si>
  <si>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</si>
  <si>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</si>
  <si>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</si>
  <si>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</si>
  <si>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</si>
  <si>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</si>
  <si>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</si>
  <si>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</si>
  <si>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</si>
  <si>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</si>
  <si>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</si>
  <si>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</si>
  <si>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</si>
  <si>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</si>
  <si>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</si>
  <si>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</si>
  <si>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</si>
  <si>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</si>
  <si>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</si>
  <si>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</si>
  <si>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</si>
  <si>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</si>
  <si>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</si>
  <si>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</si>
  <si>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</si>
  <si>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</si>
  <si>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</si>
  <si>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</si>
  <si>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</si>
  <si>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</si>
  <si>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</si>
  <si>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</si>
  <si>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</si>
  <si>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Afzaal Hussein</t>
  </si>
  <si>
    <t>Naeem Electric</t>
  </si>
  <si>
    <t>grocceries+fruit</t>
  </si>
  <si>
    <t>cash-&gt;Taha//+1500 jc</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</si>
  <si>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</si>
  <si>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</si>
  <si>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</si>
  <si>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</si>
  <si>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</si>
  <si>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</si>
  <si>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</si>
  <si>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</si>
  <si>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</si>
  <si>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</si>
  <si>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</si>
  <si>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</si>
  <si>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</si>
  <si>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</si>
  <si>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</si>
  <si>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</si>
  <si>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</si>
  <si>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</si>
  <si>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</si>
  <si>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</si>
  <si>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</si>
  <si>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</si>
  <si>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</si>
  <si>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</si>
  <si>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</si>
  <si>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</si>
  <si>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</si>
  <si>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</si>
  <si>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</si>
  <si>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</si>
  <si>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</si>
  <si>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</si>
  <si>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</si>
  <si>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</si>
  <si>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</si>
  <si>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</si>
  <si>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</si>
  <si>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</si>
  <si>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</si>
  <si>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</si>
  <si>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</si>
  <si>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</si>
  <si>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</si>
  <si>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</si>
  <si>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</si>
  <si>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</si>
  <si>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</si>
  <si>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</si>
  <si>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</si>
  <si>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</si>
  <si>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</si>
  <si>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</si>
  <si>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</si>
  <si>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</si>
  <si>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</si>
  <si>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</si>
  <si>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</si>
  <si>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</si>
  <si>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</si>
  <si>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</si>
  <si>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</si>
  <si>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</si>
  <si>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</si>
  <si>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</si>
  <si>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</si>
  <si>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</si>
  <si>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</si>
  <si>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</si>
  <si>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</si>
  <si>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</si>
  <si>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</si>
  <si>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</si>
  <si>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</si>
  <si>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</si>
  <si>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</si>
  <si>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</si>
  <si>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</si>
  <si>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</si>
  <si>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</si>
  <si>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</si>
  <si>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</si>
  <si>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</si>
  <si>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</si>
  <si>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</si>
  <si>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</si>
  <si>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</si>
  <si>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</si>
  <si>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</si>
  <si>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</si>
  <si>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</si>
  <si>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</si>
  <si>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</si>
  <si>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</si>
  <si>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</si>
  <si>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</si>
  <si>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</si>
  <si>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</si>
  <si>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</si>
  <si>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</si>
  <si>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</si>
  <si>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</si>
  <si>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</si>
  <si>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</si>
  <si>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</si>
  <si>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</si>
  <si>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</si>
  <si>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</si>
  <si>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</si>
  <si>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</si>
  <si>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</si>
  <si>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</si>
  <si>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</si>
  <si>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</si>
  <si>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</si>
  <si>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</si>
  <si>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</si>
  <si>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</si>
  <si>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</si>
  <si>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</si>
  <si>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</si>
  <si>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</si>
  <si>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</si>
  <si>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</si>
  <si>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</si>
  <si>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</si>
  <si>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</si>
  <si>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</si>
  <si>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</si>
  <si>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</si>
  <si>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</si>
  <si>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</si>
  <si>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</si>
  <si>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</si>
  <si>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</si>
  <si>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</si>
  <si>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</si>
  <si>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</si>
  <si>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</si>
  <si>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</si>
  <si>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</si>
  <si>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</si>
  <si>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</si>
  <si>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</si>
  <si>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</si>
  <si>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</si>
  <si>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</si>
  <si>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</si>
  <si>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</si>
  <si>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</si>
  <si>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</si>
  <si>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</si>
  <si>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</si>
  <si>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</si>
  <si>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</si>
  <si>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</si>
  <si>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</si>
  <si>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</si>
  <si>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</si>
  <si>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</si>
  <si>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</si>
  <si>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</si>
  <si>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</si>
  <si>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</si>
  <si>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</si>
  <si>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</si>
  <si>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</si>
  <si>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</si>
  <si>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</si>
  <si>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</si>
  <si>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</si>
  <si>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</si>
  <si>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</si>
  <si>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</si>
  <si>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</si>
  <si>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</si>
  <si>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</si>
  <si>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</si>
  <si>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</si>
  <si>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</si>
  <si>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</si>
  <si>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</si>
  <si>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</si>
  <si>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</si>
  <si>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</si>
  <si>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</si>
  <si>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</si>
  <si>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</si>
  <si>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</si>
  <si>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</si>
  <si>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</si>
  <si>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</si>
  <si>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</si>
  <si>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</si>
  <si>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</si>
  <si>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</si>
  <si>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</si>
  <si>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</si>
  <si>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</si>
  <si>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</si>
  <si>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</si>
  <si>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</si>
  <si>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</si>
  <si>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</si>
  <si>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</si>
  <si>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</si>
  <si>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</si>
  <si>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</si>
  <si>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</si>
  <si>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</si>
  <si>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</si>
  <si>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</si>
  <si>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</si>
  <si>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</si>
  <si>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</si>
  <si>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</si>
  <si>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</si>
  <si>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</si>
  <si>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</si>
  <si>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</si>
  <si>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</si>
  <si>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</si>
  <si>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</si>
  <si>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</si>
  <si>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</si>
  <si>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</si>
  <si>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</si>
  <si>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</si>
  <si>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</si>
  <si>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</si>
  <si>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</si>
  <si>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</si>
  <si>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</si>
  <si>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</si>
  <si>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</si>
  <si>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</si>
  <si>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</si>
  <si>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</si>
  <si>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</si>
  <si>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</si>
  <si>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</si>
  <si>
    <t>LR 6733</t>
  </si>
  <si>
    <t>Rashan//till 14/10/25</t>
  </si>
  <si>
    <t>karaya crate</t>
  </si>
  <si>
    <t>crate karaya</t>
  </si>
  <si>
    <t>ice cream</t>
  </si>
  <si>
    <t>food</t>
  </si>
  <si>
    <t>250+50 malik zaheer</t>
  </si>
  <si>
    <t>TID:934907</t>
  </si>
  <si>
    <t>TID:682490</t>
  </si>
  <si>
    <t>Atiq helper</t>
  </si>
  <si>
    <t>atiq</t>
  </si>
  <si>
    <t>haseen khan</t>
  </si>
  <si>
    <t>ups//powerbank</t>
  </si>
  <si>
    <t>LPg</t>
  </si>
  <si>
    <t>tanveer</t>
  </si>
  <si>
    <t>environment (30k)</t>
  </si>
  <si>
    <t>Munawar bajwa</t>
  </si>
  <si>
    <t>1300+3300 mazdoor</t>
  </si>
  <si>
    <t>qadeer sb</t>
  </si>
  <si>
    <t>LES 7356</t>
  </si>
  <si>
    <t>290k-283k (salary)</t>
  </si>
  <si>
    <t>300 mann stock of Aug added + (317*775 + 100*650)</t>
  </si>
  <si>
    <t>Last month stock added------this months subtracted</t>
  </si>
  <si>
    <t>33 bori starch. 100kg PVA----16 small+45 bori starch. 2 bp26</t>
  </si>
  <si>
    <t>total stock (into next)</t>
  </si>
  <si>
    <t>stock from aug</t>
  </si>
  <si>
    <t>Sajid</t>
  </si>
  <si>
    <t>sajid</t>
  </si>
  <si>
    <t>khalid Sahab</t>
  </si>
  <si>
    <t>khalid sahab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</si>
</sst>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65" fontId="0" fillId="13" borderId="0" xfId="1" applyNumberFormat="1" applyFont="1" applyFill="1"/>
    <xf numFmtId="0" fontId="9" fillId="0" borderId="1" xfId="0" applyFont="1" applyBorder="1"/>
    <xf numFmtId="164" fontId="11" fillId="0" borderId="1" xfId="1" applyNumberFormat="1" applyFont="1" applyBorder="1"/>
  </cellXfs>
  <cellStyles count="2">
    <cellStyle name="Comma" xfId="1" builtinId="3"/>
    <cellStyle name="Normal" xfId="0" builtinId="0"/>
  </cellStyles>
  <dxfs count="127">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13</xdr:col>
      <xdr:colOff>81717</xdr:colOff>
      <xdr:row>37</xdr:row>
      <xdr:rowOff>37307</xdr:rowOff>
    </xdr:from>
    <xdr:to>
      <xdr:col>17</xdr:col>
      <xdr:colOff>424296</xdr:colOff>
      <xdr:row>47</xdr:row>
      <xdr:rowOff>173181</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4118103" y="6765421"/>
              <a:ext cx="4715420" cy="195428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22</xdr:row>
      <xdr:rowOff>36383</xdr:rowOff>
    </xdr:from>
    <xdr:to>
      <xdr:col>13</xdr:col>
      <xdr:colOff>282884</xdr:colOff>
      <xdr:row>37</xdr:row>
      <xdr:rowOff>156184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421267</xdr:colOff>
      <xdr:row>11</xdr:row>
      <xdr:rowOff>181338</xdr:rowOff>
    </xdr:from>
    <xdr:to>
      <xdr:col>11</xdr:col>
      <xdr:colOff>718368</xdr:colOff>
      <xdr:row>18</xdr:row>
      <xdr:rowOff>36557</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8697166" y="2197262"/>
              <a:ext cx="1946493" cy="113808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-466706</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89583333"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0162041" createdVersion="8" refreshedVersion="8" minRefreshableVersion="3" recordCount="166" xr:uid="{46CBB50D-3613-4E5B-8212-DD0313DCD05A}">
  <cacheSource type="worksheet">
    <worksheetSource name="Table1"/>
  </cacheSource>
  <cacheFields count="14">
    <cacheField name="Date" numFmtId="14">
      <sharedItems containsSemiMixedTypes="0" containsNonDate="0" containsDate="1" containsString="0" minDate="2025-07-25T00:00:00" maxDate="2025-10-18T00:00:00" count="68">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10-15T00:00:00"/>
        <d v="2025-10-16T00:00:00"/>
        <d v="2025-10-17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84" count="372">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201">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83"/>
        <n v="1790"/>
        <n v="1794"/>
        <n v="1802"/>
        <n v="1789"/>
        <n v="1778"/>
        <n v="1808"/>
        <n v="1795"/>
        <n v="1799"/>
        <n v="1792"/>
        <n v="1817"/>
        <n v="1818"/>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319442" createdVersion="8" refreshedVersion="8" minRefreshableVersion="3" recordCount="74" xr:uid="{3E5C2981-ACF5-44A9-8567-B1D65DB3A8D2}">
  <cacheSource type="worksheet">
    <worksheetSource name="Table3"/>
  </cacheSource>
  <cacheFields count="9">
    <cacheField name="Date" numFmtId="14">
      <sharedItems containsSemiMixedTypes="0" containsNonDate="0" containsDate="1" containsString="0" minDate="2025-05-02T00:00:00" maxDate="2025-10-16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d v="2025-10-15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u="1"/>
        <s v="Aqib Freight" u="1"/>
      </sharedItems>
    </cacheField>
    <cacheField name="Vehicle Number" numFmtId="0">
      <sharedItems containsBlank="1" containsMixedTypes="1" containsNumber="1" containsInteger="1" minValue="31" maxValue="9940" count="88">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s v="LR 6733"/>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666665"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Al madina"/>
        <s v="-" u="1"/>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013888"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507832.8456474031"/>
    </cacheField>
    <cacheField name="Rate" numFmtId="0">
      <sharedItems containsString="0" containsBlank="1" containsNumber="1" minValue="10" maxValue="12"/>
    </cacheField>
    <cacheField name="Total" numFmtId="164">
      <sharedItems containsSemiMixedTypes="0" containsString="0" containsNumber="1" minValue="0" maxValue="5374213.60643745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361112" createdVersion="8" refreshedVersion="8" minRefreshableVersion="3" recordCount="440" xr:uid="{B5BDFB73-D93A-4A7A-8149-666BC190B09B}">
  <cacheSource type="worksheet">
    <worksheetSource name="Table14"/>
  </cacheSource>
  <cacheFields count="7">
    <cacheField name="Date" numFmtId="14">
      <sharedItems containsSemiMixedTypes="0" containsNonDate="0" containsDate="1" containsString="0" minDate="2025-09-16T00:00:00" maxDate="2025-10-18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r>
    <x v="19"/>
    <x v="0"/>
    <x v="135"/>
    <s v="Chamki"/>
    <x v="81"/>
    <n v="19457"/>
    <n v="3738"/>
    <n v="90.032039965532377"/>
    <n v="3418.0687637161673"/>
    <n v="34180.687637161675"/>
    <m/>
  </r>
  <r>
    <x v="19"/>
    <x v="0"/>
    <x v="136"/>
    <s v="Chamki"/>
    <x v="81"/>
    <n v="19457"/>
    <n v="15256"/>
    <n v="90.032039965532377"/>
    <n v="13950.256035113389"/>
    <n v="139502.5603511339"/>
    <m/>
  </r>
  <r>
    <x v="20"/>
    <x v="13"/>
    <x v="137"/>
    <s v="Chamki"/>
    <x v="55"/>
    <n v="50522"/>
    <n v="8453"/>
    <n v="19.528853227317768"/>
    <n v="7729.517190929042"/>
    <n v="77295.171909290424"/>
    <m/>
  </r>
  <r>
    <x v="20"/>
    <x v="4"/>
    <x v="138"/>
    <s v="Silky"/>
    <x v="82"/>
    <n v="16027"/>
    <n v="17079"/>
    <s v="NF"/>
    <n v="15617.227505486468"/>
    <n v="187406.73006583762"/>
    <m/>
  </r>
  <r>
    <x v="20"/>
    <x v="4"/>
    <x v="139"/>
    <s v="Silky"/>
    <x v="83"/>
    <n v="15060"/>
    <n v="16263"/>
    <s v="NF"/>
    <n v="14871.068032187273"/>
    <n v="178452.81638624729"/>
    <m/>
  </r>
  <r>
    <x v="20"/>
    <x v="4"/>
    <x v="140"/>
    <s v="Silky"/>
    <x v="84"/>
    <n v="7501"/>
    <n v="8052"/>
    <s v="NF"/>
    <n v="7362.8383321141191"/>
    <n v="88354.059985369429"/>
    <m/>
  </r>
  <r>
    <x v="20"/>
    <x v="4"/>
    <x v="141"/>
    <s v="Silky"/>
    <x v="85"/>
    <n v="6006"/>
    <n v="2080"/>
    <s v="NF"/>
    <n v="1901.9751280175569"/>
    <n v="22823.701536210683"/>
    <m/>
  </r>
  <r>
    <x v="20"/>
    <x v="4"/>
    <x v="142"/>
    <s v="Silky"/>
    <x v="85"/>
    <n v="6006"/>
    <n v="4509"/>
    <s v="NF"/>
    <n v="4123.0797366495981"/>
    <n v="49476.956839795181"/>
    <m/>
  </r>
  <r>
    <x v="20"/>
    <x v="4"/>
    <x v="143"/>
    <s v="Silky"/>
    <x v="86"/>
    <n v="9081"/>
    <n v="9720"/>
    <s v="NF"/>
    <n v="8888.0760790051208"/>
    <n v="106656.91294806145"/>
    <m/>
  </r>
  <r>
    <x v="21"/>
    <x v="4"/>
    <x v="144"/>
    <s v="Silky"/>
    <x v="87"/>
    <n v="4384"/>
    <n v="4695"/>
    <s v="NF"/>
    <n v="4293.1602048280911"/>
    <n v="51517.922457937093"/>
    <m/>
  </r>
  <r>
    <x v="21"/>
    <x v="4"/>
    <x v="145"/>
    <s v="Silky"/>
    <x v="88"/>
    <n v="8737"/>
    <n v="4128"/>
    <s v="NF"/>
    <n v="3774.6891002194589"/>
    <n v="45296.269202633506"/>
    <m/>
  </r>
  <r>
    <x v="21"/>
    <x v="8"/>
    <x v="146"/>
    <s v="Silky"/>
    <x v="89"/>
    <n v="15015"/>
    <n v="16399"/>
    <s v="NF"/>
    <n v="14995.427944403806"/>
    <n v="179945.13533284568"/>
    <m/>
  </r>
  <r>
    <x v="21"/>
    <x v="4"/>
    <x v="147"/>
    <s v="Silky"/>
    <x v="88"/>
    <n v="8737"/>
    <n v="3265"/>
    <s v="NF"/>
    <n v="2985.5523043160206"/>
    <n v="35826.627651792245"/>
    <m/>
  </r>
  <r>
    <x v="21"/>
    <x v="0"/>
    <x v="148"/>
    <s v="Chamki"/>
    <x v="90"/>
    <n v="1600"/>
    <n v="1723"/>
    <s v="NF"/>
    <n v="1575.5303584491589"/>
    <n v="15755.30358449159"/>
    <m/>
  </r>
  <r>
    <x v="22"/>
    <x v="11"/>
    <x v="149"/>
    <s v="Silky"/>
    <x v="91"/>
    <n v="19649"/>
    <n v="20762"/>
    <s v="NF"/>
    <n v="18985.00365764448"/>
    <n v="227820.04389173375"/>
    <m/>
  </r>
  <r>
    <x v="22"/>
    <x v="4"/>
    <x v="150"/>
    <s v="Silky"/>
    <x v="88"/>
    <n v="8737"/>
    <n v="2048"/>
    <s v="NF"/>
    <n v="1872.7139722019022"/>
    <n v="22472.567666422827"/>
    <m/>
  </r>
  <r>
    <x v="22"/>
    <x v="0"/>
    <x v="151"/>
    <s v="Silky"/>
    <x v="92"/>
    <n v="10021"/>
    <n v="6435"/>
    <s v="NF"/>
    <n v="5884.2355523043161"/>
    <n v="70610.826627651797"/>
    <m/>
  </r>
  <r>
    <x v="22"/>
    <x v="0"/>
    <x v="152"/>
    <s v="Silky"/>
    <x v="92"/>
    <n v="10021"/>
    <n v="1842"/>
    <s v="NF"/>
    <n v="1684.3452816386248"/>
    <n v="20212.143379663496"/>
    <m/>
  </r>
  <r>
    <x v="22"/>
    <x v="0"/>
    <x v="153"/>
    <s v="Silky"/>
    <x v="93"/>
    <n v="15182"/>
    <n v="8613"/>
    <s v="NF"/>
    <n v="7875.8229700073161"/>
    <n v="94509.8756400877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0"/>
    <x v="35"/>
    <n v="297"/>
    <n v="810"/>
    <n v="31750"/>
    <n v="240570"/>
    <n v="31750"/>
    <n v="208820"/>
  </r>
  <r>
    <x v="27"/>
    <x v="5"/>
    <x v="3"/>
    <m/>
    <m/>
    <m/>
    <n v="0"/>
    <n v="70000"/>
    <n v="-7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2"/>
    <m/>
    <n v="28000"/>
    <m/>
  </r>
  <r>
    <x v="6"/>
    <s v="Orange H3R"/>
    <n v="1"/>
    <n v="1120"/>
    <n v="28000"/>
    <x v="2"/>
    <m/>
    <n v="28000"/>
    <m/>
  </r>
  <r>
    <x v="6"/>
    <s v="Navy Blue"/>
    <n v="1"/>
    <n v="1140"/>
    <n v="28500"/>
    <x v="2"/>
    <m/>
    <n v="28500"/>
    <m/>
  </r>
  <r>
    <x v="6"/>
    <s v="Blue SE2R"/>
    <n v="1"/>
    <n v="1350"/>
    <n v="33750"/>
    <x v="2"/>
    <m/>
    <n v="33750"/>
    <m/>
  </r>
  <r>
    <x v="6"/>
    <m/>
    <m/>
    <m/>
    <m/>
    <x v="2"/>
    <n v="118250"/>
    <n v="-118250"/>
    <m/>
  </r>
  <r>
    <x v="7"/>
    <m/>
    <m/>
    <m/>
    <m/>
    <x v="1"/>
    <m/>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35358.4491587418"/>
    <n v="10"/>
    <n v="4384857.3518653996"/>
  </r>
  <r>
    <x v="1"/>
    <n v="59466.898317483545"/>
    <n v="10"/>
    <n v="624464.15508412581"/>
  </r>
  <r>
    <x v="2"/>
    <n v="93855.157278712519"/>
    <n v="10"/>
    <n v="968140.08778346749"/>
  </r>
  <r>
    <x v="3"/>
    <n v="13635.6986100951"/>
    <n v="10.5"/>
    <n v="143174.83540599854"/>
  </r>
  <r>
    <x v="4"/>
    <n v="507832.8456474031"/>
    <n v="10"/>
    <n v="5374213.606437454"/>
  </r>
  <r>
    <x v="5"/>
    <n v="189378.20043891735"/>
    <n v="10"/>
    <n v="1893782.0043891736"/>
  </r>
  <r>
    <x v="6"/>
    <n v="23509.509875640091"/>
    <n v="10"/>
    <n v="235095.09875640093"/>
  </r>
  <r>
    <x v="7"/>
    <n v="135703.18215069498"/>
    <n v="10"/>
    <n v="1357031.8215069498"/>
  </r>
  <r>
    <x v="8"/>
    <n v="30595.281638624729"/>
    <n v="10"/>
    <n v="335943.67227505491"/>
  </r>
  <r>
    <x v="9"/>
    <n v="0"/>
    <n v="12"/>
    <n v="0"/>
  </r>
  <r>
    <x v="10"/>
    <n v="24747.622531089979"/>
    <m/>
    <n v="247476.22531089978"/>
  </r>
  <r>
    <x v="11"/>
    <n v="252923.37234820778"/>
    <m/>
    <n v="2655543.1602048283"/>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0">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5T00:00:00"/>
    <x v="30"/>
    <n v="70000"/>
    <m/>
    <m/>
    <s v="Bank"/>
    <m/>
  </r>
  <r>
    <d v="2025-10-15T00:00:00"/>
    <x v="2"/>
    <n v="31750"/>
    <m/>
    <s v="LR 6733"/>
    <s v="Bank"/>
    <m/>
  </r>
  <r>
    <d v="2025-10-15T00:00:00"/>
    <x v="8"/>
    <m/>
    <n v="100000"/>
    <s v="Cash"/>
    <s v="Cash"/>
    <m/>
  </r>
  <r>
    <d v="2025-10-15T00:00:00"/>
    <x v="15"/>
    <m/>
    <n v="196000"/>
    <s v="Cash"/>
    <s v="Cash"/>
    <m/>
  </r>
  <r>
    <d v="2025-10-15T00:00:00"/>
    <x v="8"/>
    <m/>
    <n v="100000"/>
    <s v="bank"/>
    <s v="Bank"/>
    <m/>
  </r>
  <r>
    <d v="2025-10-15T00:00:00"/>
    <x v="12"/>
    <n v="50000"/>
    <m/>
    <s v="Master Tanveer"/>
    <s v="Bank"/>
    <m/>
  </r>
  <r>
    <d v="2025-10-15T00:00:00"/>
    <x v="12"/>
    <n v="40000"/>
    <m/>
    <s v="Master Arshad"/>
    <s v="Bank"/>
    <m/>
  </r>
  <r>
    <d v="2025-10-15T00:00:00"/>
    <x v="17"/>
    <n v="18450"/>
    <m/>
    <s v="Rashan//till 14/10/25"/>
    <s v="Bank"/>
    <m/>
  </r>
  <r>
    <d v="2025-10-15T00:00:00"/>
    <x v="8"/>
    <m/>
    <n v="6500"/>
    <s v="LPG"/>
    <s v="Bank"/>
    <m/>
  </r>
  <r>
    <d v="2025-10-15T00:00:00"/>
    <x v="9"/>
    <n v="6500"/>
    <m/>
    <s v="LPG"/>
    <s v="Bank"/>
    <m/>
  </r>
  <r>
    <d v="2025-10-15T00:00:00"/>
    <x v="8"/>
    <m/>
    <n v="2000"/>
    <s v="toll"/>
    <s v="Bank"/>
    <m/>
  </r>
  <r>
    <d v="2025-10-15T00:00:00"/>
    <x v="9"/>
    <n v="2000"/>
    <m/>
    <s v="toll"/>
    <s v="Bank"/>
    <m/>
  </r>
  <r>
    <d v="2025-10-15T00:00:00"/>
    <x v="8"/>
    <m/>
    <n v="12000"/>
    <s v="karaya crate"/>
    <s v="Bank"/>
    <m/>
  </r>
  <r>
    <d v="2025-10-15T00:00:00"/>
    <x v="9"/>
    <n v="12000"/>
    <m/>
    <s v="crate karaya"/>
    <s v="Bank"/>
    <m/>
  </r>
  <r>
    <d v="2025-10-15T00:00:00"/>
    <x v="10"/>
    <n v="1200"/>
    <m/>
    <s v="ice cream"/>
    <s v="Cash"/>
    <m/>
  </r>
  <r>
    <d v="2025-10-15T00:00:00"/>
    <x v="10"/>
    <n v="2900"/>
    <m/>
    <s v="food"/>
    <s v="Cash"/>
    <m/>
  </r>
  <r>
    <d v="2025-10-16T00:00:00"/>
    <x v="10"/>
    <n v="8900"/>
    <m/>
    <s v="grocceries"/>
    <s v="Cash"/>
    <m/>
  </r>
  <r>
    <d v="2025-10-16T00:00:00"/>
    <x v="12"/>
    <n v="290000"/>
    <m/>
    <s v="General"/>
    <s v="Cash"/>
    <m/>
  </r>
  <r>
    <d v="2025-10-16T00:00:00"/>
    <x v="9"/>
    <n v="5344"/>
    <m/>
    <s v="Petrol"/>
    <s v="Bank"/>
    <m/>
  </r>
  <r>
    <d v="2025-10-16T00:00:00"/>
    <x v="8"/>
    <m/>
    <n v="300000"/>
    <s v="250+50 malik zaheer"/>
    <s v="Bank"/>
    <m/>
  </r>
  <r>
    <d v="2025-10-16T00:00:00"/>
    <x v="2"/>
    <n v="250000"/>
    <m/>
    <s v="TID:934907"/>
    <s v="Bank"/>
    <m/>
  </r>
  <r>
    <d v="2025-10-16T00:00:00"/>
    <x v="2"/>
    <n v="50000"/>
    <m/>
    <s v="TID:682490"/>
    <s v="Bank"/>
    <m/>
  </r>
  <r>
    <d v="2025-10-16T00:00:00"/>
    <x v="8"/>
    <m/>
    <n v="10000"/>
    <s v="Atiq helper"/>
    <s v="Bank"/>
    <m/>
  </r>
  <r>
    <d v="2025-10-16T00:00:00"/>
    <x v="10"/>
    <n v="10000"/>
    <m/>
    <s v="atiq"/>
    <s v="Bank"/>
    <m/>
  </r>
  <r>
    <d v="2025-10-16T00:00:00"/>
    <x v="8"/>
    <m/>
    <n v="15000"/>
    <s v="haseen khan"/>
    <s v="Bank"/>
    <m/>
  </r>
  <r>
    <d v="2025-10-16T00:00:00"/>
    <x v="12"/>
    <n v="15000"/>
    <m/>
    <s v="haseen khan"/>
    <s v="Bank"/>
    <m/>
  </r>
  <r>
    <d v="2025-10-16T00:00:00"/>
    <x v="8"/>
    <m/>
    <n v="14000"/>
    <m/>
    <s v="Bank"/>
    <m/>
  </r>
  <r>
    <d v="2025-10-16T00:00:00"/>
    <x v="10"/>
    <n v="1100"/>
    <m/>
    <s v="misc"/>
    <s v="Bank"/>
    <m/>
  </r>
  <r>
    <d v="2025-10-16T00:00:00"/>
    <x v="10"/>
    <n v="1850"/>
    <m/>
    <s v="ups//powerbank"/>
    <s v="Cash"/>
    <m/>
  </r>
  <r>
    <d v="2025-10-16T00:00:00"/>
    <x v="8"/>
    <m/>
    <n v="4060"/>
    <s v="LPg"/>
    <s v="Bank"/>
    <m/>
  </r>
  <r>
    <d v="2025-10-16T00:00:00"/>
    <x v="9"/>
    <n v="4060"/>
    <m/>
    <s v="LPG"/>
    <s v="Bank"/>
    <m/>
  </r>
  <r>
    <d v="2025-10-16T00:00:00"/>
    <x v="8"/>
    <m/>
    <n v="24500"/>
    <s v="tanveer"/>
    <s v="Bank"/>
    <m/>
  </r>
  <r>
    <d v="2025-10-16T00:00:00"/>
    <x v="12"/>
    <n v="24500"/>
    <m/>
    <s v="Master Tanveer"/>
    <s v="Bank"/>
    <m/>
  </r>
  <r>
    <d v="2025-10-16T00:00:00"/>
    <x v="6"/>
    <m/>
    <n v="1100"/>
    <m/>
    <s v="Bank"/>
    <m/>
  </r>
  <r>
    <d v="2025-10-16T00:00:00"/>
    <x v="10"/>
    <n v="1100"/>
    <m/>
    <s v="misc"/>
    <s v="Bank"/>
    <m/>
  </r>
  <r>
    <d v="2025-10-17T00:00:00"/>
    <x v="8"/>
    <m/>
    <n v="43000"/>
    <m/>
    <s v="Bank"/>
    <m/>
  </r>
  <r>
    <d v="2025-10-17T00:00:00"/>
    <x v="8"/>
    <m/>
    <n v="57000"/>
    <m/>
    <s v="Bank"/>
    <m/>
  </r>
  <r>
    <d v="2025-10-17T00:00:00"/>
    <x v="5"/>
    <n v="30000"/>
    <m/>
    <s v="environment (30k)"/>
    <s v="Bank"/>
    <m/>
  </r>
  <r>
    <d v="2025-10-17T00:00:00"/>
    <x v="17"/>
    <n v="20000"/>
    <m/>
    <s v="Atta"/>
    <s v="Bank"/>
    <m/>
  </r>
  <r>
    <d v="2025-10-17T00:00:00"/>
    <x v="12"/>
    <n v="15300"/>
    <m/>
    <s v="Anayat"/>
    <s v="Bank"/>
    <m/>
  </r>
  <r>
    <d v="2025-10-17T00:00:00"/>
    <x v="12"/>
    <n v="20000"/>
    <m/>
    <s v="Munawar bajwa"/>
    <s v="Bank"/>
    <m/>
  </r>
  <r>
    <d v="2025-10-17T00:00:00"/>
    <x v="12"/>
    <n v="7000"/>
    <m/>
    <s v="nazim"/>
    <s v="Bank"/>
    <m/>
  </r>
  <r>
    <d v="2025-10-17T00:00:00"/>
    <x v="9"/>
    <n v="4500"/>
    <m/>
    <s v="LPG"/>
    <s v="Bank"/>
    <m/>
  </r>
  <r>
    <d v="2025-10-17T00:00:00"/>
    <x v="8"/>
    <m/>
    <n v="4500"/>
    <s v="LPG"/>
    <s v="Bank"/>
    <m/>
  </r>
  <r>
    <d v="2025-10-17T00:00:00"/>
    <x v="9"/>
    <n v="500"/>
    <m/>
    <s v="toll"/>
    <s v="Bank"/>
    <m/>
  </r>
  <r>
    <d v="2025-10-17T00:00:00"/>
    <x v="10"/>
    <n v="4600"/>
    <m/>
    <s v="1300+3300 mazdoor"/>
    <s v="Cash"/>
    <m/>
  </r>
  <r>
    <d v="2025-10-17T00:00:00"/>
    <x v="10"/>
    <m/>
    <n v="15000"/>
    <s v="qadeer sb"/>
    <s v="Bank"/>
    <m/>
  </r>
  <r>
    <d v="2025-10-17T00:00:00"/>
    <x v="10"/>
    <n v="14500"/>
    <m/>
    <s v="qadeer sb"/>
    <s v="Bank"/>
    <m/>
  </r>
  <r>
    <d v="2025-10-17T00:00:00"/>
    <x v="33"/>
    <m/>
    <m/>
    <m/>
    <m/>
    <m/>
  </r>
  <r>
    <d v="2025-10-17T00:00:00"/>
    <x v="33"/>
    <m/>
    <m/>
    <m/>
    <m/>
    <m/>
  </r>
  <r>
    <d v="2025-10-17T00:00:00"/>
    <x v="3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99:G354" firstHeaderRow="0" firstDataRow="1" firstDataCol="1" rowPageCount="3" colPageCount="1"/>
  <pivotFields count="14">
    <pivotField axis="axisPage"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7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262"/>
        <item m="1" x="263"/>
        <item m="1" x="264"/>
        <item m="1" x="265"/>
        <item m="1" x="266"/>
        <item m="1" x="267"/>
        <item m="1" x="268"/>
        <item m="1" x="269"/>
        <item m="1" x="270"/>
        <item m="1" x="271"/>
        <item m="1" x="272"/>
        <item m="1" x="273"/>
        <item m="1" x="274"/>
        <item m="1" x="275"/>
        <item m="1" x="276"/>
        <item m="1" x="277"/>
        <item m="1" x="278"/>
        <item m="1" x="279"/>
        <item m="1" x="308"/>
        <item m="1" x="280"/>
        <item m="1" x="281"/>
        <item m="1" x="282"/>
        <item m="1" x="283"/>
        <item m="1" x="284"/>
        <item m="1" x="285"/>
        <item m="1" x="297"/>
        <item m="1" x="286"/>
        <item m="1" x="287"/>
        <item m="1" x="288"/>
        <item m="1" x="289"/>
        <item m="1" x="290"/>
        <item m="1" x="291"/>
        <item m="1" x="292"/>
        <item m="1" x="293"/>
        <item m="1" x="294"/>
        <item m="1" x="295"/>
        <item m="1" x="296"/>
        <item m="1" x="298"/>
        <item m="1" x="299"/>
        <item m="1" x="300"/>
        <item m="1" x="301"/>
        <item m="1" x="302"/>
        <item m="1" x="303"/>
        <item m="1" x="304"/>
        <item m="1" x="305"/>
        <item m="1" x="306"/>
        <item m="1" x="307"/>
        <item m="1" x="309"/>
        <item m="1" x="310"/>
        <item m="1" x="311"/>
        <item m="1" x="312"/>
        <item m="1" x="313"/>
        <item m="1" x="314"/>
        <item m="1" x="315"/>
        <item m="1" x="316"/>
        <item m="1" x="317"/>
        <item m="1" x="318"/>
        <item m="1" x="319"/>
        <item m="1" x="320"/>
        <item m="1" x="321"/>
        <item m="1" x="322"/>
        <item m="1" x="323"/>
        <item m="1" x="154"/>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55"/>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2"/>
        <item m="1" x="253"/>
        <item m="1" x="254"/>
        <item m="1" x="251"/>
        <item m="1" x="255"/>
        <item m="1" x="256"/>
        <item m="1" x="257"/>
        <item m="1" x="258"/>
        <item m="1" x="259"/>
        <item m="1" x="260"/>
        <item m="1" x="2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55">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99:K223" firstHeaderRow="0" firstDataRow="1" firstDataCol="1"/>
  <pivotFields count="14">
    <pivotField axis="axisRow" numFmtId="14"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4">
    <i>
      <x v="41"/>
    </i>
    <i>
      <x v="42"/>
    </i>
    <i>
      <x v="43"/>
    </i>
    <i>
      <x v="44"/>
    </i>
    <i>
      <x v="45"/>
    </i>
    <i>
      <x v="46"/>
    </i>
    <i>
      <x v="47"/>
    </i>
    <i>
      <x v="48"/>
    </i>
    <i>
      <x v="49"/>
    </i>
    <i>
      <x v="50"/>
    </i>
    <i>
      <x v="51"/>
    </i>
    <i>
      <x v="52"/>
    </i>
    <i>
      <x v="53"/>
    </i>
    <i>
      <x v="54"/>
    </i>
    <i>
      <x v="56"/>
    </i>
    <i>
      <x v="57"/>
    </i>
    <i>
      <x v="59"/>
    </i>
    <i>
      <x v="60"/>
    </i>
    <i>
      <x v="61"/>
    </i>
    <i>
      <x v="64"/>
    </i>
    <i>
      <x v="65"/>
    </i>
    <i>
      <x v="66"/>
    </i>
    <i>
      <x v="6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91:I176"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m="1" x="6"/>
        <item m="1" x="7"/>
        <item x="2"/>
        <item x="3"/>
        <item x="4"/>
        <item x="5"/>
        <item t="default"/>
      </items>
    </pivotField>
    <pivotField axis="axisRow" showAll="0">
      <items count="89">
        <item m="1" x="78"/>
        <item m="1" x="62"/>
        <item m="1" x="74"/>
        <item m="1" x="44"/>
        <item m="1" x="79"/>
        <item m="1" x="80"/>
        <item m="1" x="75"/>
        <item m="1" x="76"/>
        <item m="1" x="77"/>
        <item x="3"/>
        <item m="1" x="55"/>
        <item m="1" x="81"/>
        <item m="1" x="82"/>
        <item m="1" x="83"/>
        <item m="1" x="84"/>
        <item m="1" x="85"/>
        <item m="1" x="86"/>
        <item m="1" x="51"/>
        <item m="1" x="52"/>
        <item m="1" x="87"/>
        <item m="1" x="53"/>
        <item x="0"/>
        <item m="1" x="54"/>
        <item m="1" x="56"/>
        <item m="1" x="57"/>
        <item m="1" x="58"/>
        <item m="1" x="59"/>
        <item m="1" x="60"/>
        <item m="1" x="61"/>
        <item m="1" x="63"/>
        <item m="1" x="64"/>
        <item m="1" x="46"/>
        <item m="1" x="65"/>
        <item m="1" x="66"/>
        <item m="1" x="67"/>
        <item m="1" x="50"/>
        <item m="1" x="68"/>
        <item m="1" x="69"/>
        <item m="1" x="48"/>
        <item m="1" x="70"/>
        <item m="1" x="71"/>
        <item m="1" x="72"/>
        <item m="1" x="73"/>
        <item m="1" x="36"/>
        <item m="1" x="37"/>
        <item m="1" x="38"/>
        <item m="1" x="39"/>
        <item m="1" x="40"/>
        <item m="1" x="41"/>
        <item m="1" x="42"/>
        <item m="1" x="43"/>
        <item m="1" x="45"/>
        <item m="1" x="47"/>
        <item m="1" x="49"/>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x="3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r="1">
      <x v="8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m="1" x="3"/>
        <item x="2"/>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98"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95">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dataOnly="0" labelOnly="1" outline="0" fieldPosition="0">
        <references count="1">
          <reference field="4294967294" count="2">
            <x v="0"/>
            <x v="1"/>
          </reference>
        </references>
      </pivotArea>
    </format>
    <format dxfId="15">
      <pivotArea grandRow="1" outline="0" collapsedLevelsAreSubtotals="1" fieldPosition="0"/>
    </format>
    <format dxfId="14">
      <pivotArea field="4" type="button" dataOnly="0" labelOnly="1" outline="0" axis="axisRow" fieldPosition="0"/>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87" s="1"/>
        <i x="50" s="1"/>
        <i x="61" s="1"/>
        <i x="52" s="1"/>
        <i x="82" s="1"/>
        <i x="60" s="1"/>
        <i x="78" s="1"/>
        <i x="67" s="1"/>
        <i x="65" s="1"/>
        <i x="86" s="1"/>
        <i x="83" s="1"/>
        <i x="91" s="1"/>
        <i x="72" s="1"/>
        <i x="84" s="1"/>
        <i x="89" s="1"/>
        <i x="90" s="1"/>
        <i x="85" s="1"/>
        <i x="74" s="1"/>
        <i x="77" s="1"/>
        <i x="88" s="1"/>
        <i x="75" s="1"/>
        <i x="76" s="1"/>
        <i x="92" s="1"/>
        <i x="93" s="1"/>
        <i x="57" s="1"/>
        <i x="13" s="1"/>
        <i x="19" s="1"/>
        <i x="18" s="1"/>
        <i x="23" s="1"/>
        <i x="31" s="1"/>
        <i x="22" s="1"/>
        <i x="66" s="1"/>
        <i x="70" s="1"/>
        <i x="73" s="1"/>
        <i x="80" s="1"/>
        <i x="8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138" s="1" nd="1"/>
        <i x="139" s="1" nd="1"/>
        <i x="146" s="1" nd="1"/>
        <i x="140" s="1" nd="1"/>
        <i x="141" s="1" nd="1"/>
        <i x="148" s="1" nd="1"/>
        <i x="147" s="1" nd="1"/>
        <i x="142" s="1" nd="1"/>
        <i x="145" s="1" nd="1"/>
        <i x="144" s="1" nd="1"/>
        <i x="7" s="1" nd="1"/>
        <i x="94"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68" totalsRowCount="1" headerRowDxfId="101" dataDxfId="100" headerRowCellStyle="Comma" dataCellStyle="Comma">
  <autoFilter ref="A1:K167"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80" totalsRowCount="1" headerRowDxfId="79" headerRowBorderDxfId="78" tableBorderDxfId="77">
  <autoFilter ref="A1:I79" xr:uid="{F8E8C957-ABE7-4E4F-8D4E-7D44E26B334F}">
    <filterColumn colId="1">
      <filters>
        <filter val="Malik Zaheer"/>
      </filters>
    </filterColumn>
  </autoFilter>
  <tableColumns count="9">
    <tableColumn id="1" xr3:uid="{C2E817D6-AB98-4DDD-8890-736B27F261CD}" name="Date" dataDxfId="76" totalsRowDxfId="75"/>
    <tableColumn id="2" xr3:uid="{CFB51890-CCDC-463C-81C9-3F8BD7469CB9}" name="Party Name"/>
    <tableColumn id="3" xr3:uid="{A113D971-1C9D-4733-99C4-BD0CC4333209}" name="Vehicle Number"/>
    <tableColumn id="4" xr3:uid="{49780304-3DD1-4AE9-98EE-2BC7EB8F3B57}" name="Weight" dataDxfId="74" totalsRowDxfId="73" dataCellStyle="Comma"/>
    <tableColumn id="5" xr3:uid="{FCAF1BC6-1D8C-42AD-8BBC-F924BF2DC7FE}" name="Rate" dataDxfId="72" totalsRowDxfId="71" dataCellStyle="Comma"/>
    <tableColumn id="6" xr3:uid="{8C70A624-4134-410C-9C45-9FDEB51D51BF}" name="Rent" dataDxfId="70" totalsRowDxfId="69" dataCellStyle="Comma"/>
    <tableColumn id="7" xr3:uid="{EBCE10AE-9634-4982-9C95-37ABC8A7078C}" name="Total" totalsRowFunction="sum" dataDxfId="68" totalsRowDxfId="67" dataCellStyle="Comma">
      <calculatedColumnFormula>D2*E2</calculatedColumnFormula>
    </tableColumn>
    <tableColumn id="9" xr3:uid="{D4788559-C94A-44D9-B9AE-E72B214355AC}" name="Paid" totalsRowFunction="sum" dataDxfId="66" totalsRowDxfId="65" dataCellStyle="Comma"/>
    <tableColumn id="8" xr3:uid="{E26F5BF0-1875-4FC6-994D-49F202ED562B}" name="balance" totalsRowFunction="sum" dataDxfId="64" totalsRowDxfId="6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44" totalsRowCount="1">
  <autoFilter ref="A1:G443" xr:uid="{CB032221-B416-47A8-9A76-693DE76CFD04}"/>
  <tableColumns count="7">
    <tableColumn id="1" xr3:uid="{554B1EED-65B6-4E9A-B646-82727FAC40DE}" name="Date" dataDxfId="61" totalsRowDxfId="5"/>
    <tableColumn id="2" xr3:uid="{32259059-42CF-4947-83DE-115AA430BE2B}" name="Party"/>
    <tableColumn id="3" xr3:uid="{A1320223-D55D-483C-91C3-AB19B95CC9D8}" name="Debit" totalsRowFunction="sum" dataDxfId="60" totalsRowDxfId="4" dataCellStyle="Comma"/>
    <tableColumn id="4" xr3:uid="{E9745767-9FF0-4B1C-9052-FF335D1D7588}" name="Credit" totalsRowFunction="sum" dataDxfId="59" totalsRowDxfId="3" dataCellStyle="Comma"/>
    <tableColumn id="5" xr3:uid="{5C88A48E-2467-4E6D-B626-2442B7FD0BE4}" name="Description"/>
    <tableColumn id="6" xr3:uid="{63CA4666-144E-4BE6-8B7C-7CB992BD3041}" name="Mode" totalsRowFunction="custom" dataDxfId="58" totalsRowDxfId="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7" tableBorderDxfId="56" totalsRowBorderDxfId="55">
  <autoFilter ref="J3:K6" xr:uid="{DCE01694-23ED-48BF-8B92-4186B9ED10A8}"/>
  <tableColumns count="2">
    <tableColumn id="1" xr3:uid="{C8484DAF-2989-4C2F-9AEC-A6917E1C57F6}" name="Type" dataDxfId="54"/>
    <tableColumn id="2" xr3:uid="{B07B7A2A-4D4E-4654-BED6-FE2F0A7BEC34}" name="Amount" dataDxfId="5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2" headerRowBorderDxfId="51" tableBorderDxfId="50" totalsRowBorderDxfId="49">
  <autoFilter ref="M3:O6" xr:uid="{D166BDD1-ACD7-45D7-8AE9-7350373F8CEB}"/>
  <tableColumns count="3">
    <tableColumn id="1" xr3:uid="{64F0205E-DEA7-4571-BA86-E4374A5FEE28}" name="Type" totalsRowLabel="Total" dataDxfId="48" totalsRowDxfId="47"/>
    <tableColumn id="2" xr3:uid="{15FA05F9-789C-4459-9BE0-5C1EC84D3365}" name="amount" totalsRowFunction="custom" dataDxfId="46" totalsRowDxfId="45">
      <totalsRowFormula>SUM(N5:N6)</totalsRowFormula>
    </tableColumn>
    <tableColumn id="3" xr3:uid="{3681D409-90C6-44D0-BDE2-4B5943A516F0}" name="Actual" totalsRowFunction="custom" totalsRowDxfId="44">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3" totalsRowDxfId="42"/>
    <tableColumn id="2" xr3:uid="{5B9D0FEE-4304-4C5C-A05C-5B27CF7841D3}" name="Type"/>
    <tableColumn id="3" xr3:uid="{6A91CA0D-C802-4C6F-9F39-CA53687E8EDE}" name="Description"/>
    <tableColumn id="4" xr3:uid="{A251D40C-AB87-4BB4-85F8-444B20E32FDF}" name="Total" totalsRowFunction="custom" dataDxfId="41" totalsRowDxfId="40"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39" headerRowBorderDxfId="38">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7"/>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33:E57" totalsRowCount="1">
  <autoFilter ref="A33:E5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7" totalsRowCount="1" headerRowDxfId="35" headerRowBorderDxfId="34">
  <autoFilter ref="A4:H16"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Row],[Quantity]]*250</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1"/>
    <tableColumn id="2" xr3:uid="{053BFC14-4828-417C-9F9F-95B6E232A945}" name="Amount" totalsRowFunction="custom" dataDxfId="24"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3" totalsRowDxfId="2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2" totalsRowDxfId="1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0" totalsRowDxfId="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8">
      <calculatedColumnFormula>Billing!O5</calculatedColumnFormula>
    </tableColumn>
    <tableColumn id="2" xr3:uid="{7093A59E-B58F-487D-888A-9AA8156B5F9A}" name="Amount Paid" dataDxfId="7">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6"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sheetPr>
    <pageSetUpPr fitToPage="1"/>
  </sheetPr>
  <dimension ref="A1:Z76"/>
  <sheetViews>
    <sheetView topLeftCell="A12" zoomScale="139" workbookViewId="0">
      <selection activeCell="D37" sqref="D3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554687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435358.4491587418</v>
      </c>
      <c r="D4">
        <v>10</v>
      </c>
      <c r="E4" s="14">
        <f>(SUMIFS(ledger!G:G, ledger!B:B, B4, ledger!E:E, "&lt;&gt;*RD*",ledger!D:D, "Silky") / 1.0936)*12 + (SUMIFS(ledger!G:G, ledger!B:B, B4, ledger!E:E, "&lt;&gt;*RD*",ledger!D:D, "Chamki") / 1.0936)*10</f>
        <v>4384857.3518653996</v>
      </c>
      <c r="I4" s="4" t="s">
        <v>21</v>
      </c>
      <c r="J4" s="5">
        <v>435358.4491587418</v>
      </c>
      <c r="K4" s="18">
        <v>4384857.3518653996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1665929</v>
      </c>
      <c r="Q5" s="23" cm="1">
        <f t="array" ref="Q5">_xlfn.BYROW(B26, _xlfn.LAMBDA(_xlpm.party, SUMIFS(ledger!G:G, ledger!B:B, _xlpm.party, ledger!E:E, "&lt;&gt;*RD*") / 1.0936 ))+_xlfn.IFNA(D61,0)</f>
        <v>1523344.0014630579</v>
      </c>
      <c r="R5" s="23" cm="1">
        <f t="array" ref="R5">(_xlfn.BYROW(B26,_xlfn.LAMBDA(_xlpm.party,SUMIFS(ledger!G:G,ledger!B:B,_xlpm.party,ledger!E:E,"&lt;&gt;*RD*",ledger!D:D,"Chamki")+SUMIFS(ledger!G:G, ledger!B:B, _xlpm.party, ledger!E:E, "&lt;&gt;*RD*", ledger!D:D, "Crinkle")))/1.0936)+_xlfn.IFNA(E61,0)</f>
        <v>1493155.6327724946</v>
      </c>
      <c r="S5" s="78" cm="1">
        <f t="array" ref="S5">(_xlfn.BYROW(B26,_xlfn.LAMBDA(_xlpm.party,SUMIFS(ledger!G:G,ledger!B:B,_xlpm.party,ledger!E:E,"&lt;&gt;*RD*",ledger!D:D,"Silky")))/1.0936)+_xlfn.IFNA(F61,0)</f>
        <v>30188.368690563279</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12)+_xlfn.IFNA(H61,0)</f>
        <v>362260.42428675934</v>
      </c>
      <c r="V5" s="44">
        <f>T5+U5</f>
        <v>15293816.752011707</v>
      </c>
      <c r="W5" s="23">
        <f>(SUMIF(Table14[Party],O5,Table14[Credit]))+_xlfn.IFNA(J61,0)</f>
        <v>12854653</v>
      </c>
      <c r="X5" s="97">
        <f>V5-W5</f>
        <v>2439163.7520117071</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507832.8456474031</v>
      </c>
      <c r="D8">
        <v>10</v>
      </c>
      <c r="E8" s="14">
        <f>((SUMIFS(ledger!G:G, ledger!B:B, B8, ledger!E:E, "&lt;&gt;*RD*",ledger!D:D, "Silky") / 1.0936) *12) + ((SUMIFS(ledger!G:G, ledger!B:B, B8, ledger!E:E, "&lt;&gt;*RD*",ledger!D:D, "Chamki") / 1.0936)* 9)</f>
        <v>5374213.606437454</v>
      </c>
      <c r="I8" s="4" t="s">
        <v>24</v>
      </c>
      <c r="J8" s="5">
        <v>507832.8456474031</v>
      </c>
      <c r="K8" s="18">
        <v>5374213.606437454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12)+_xlfn.IFNA(H65,0)</f>
        <v>5829886.6130212145</v>
      </c>
      <c r="V9" s="44">
        <f t="shared" si="1"/>
        <v>11223862.472567666</v>
      </c>
      <c r="W9" s="23">
        <f>(SUMIF(Table14[Party],O9,Table14[Credit]))+_xlfn.IFNA(J65,0)</f>
        <v>8629100</v>
      </c>
      <c r="X9" s="97">
        <f t="shared" ref="X9:X17" si="2">V9-W9</f>
        <v>2594762.4725676663</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159</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30595.281638624729</v>
      </c>
      <c r="D12">
        <v>10</v>
      </c>
      <c r="E12" s="14">
        <f>(SUMIFS(ledger!G:G, ledger!B:B, B12, ledger!E:E, "&lt;&gt;*RD*",ledger!D:D, "Silky") / 1.0936)*12 + (SUMIFS(ledger!G:G, ledger!B:B, B12, ledger!E:E, "&lt;&gt;*RD*",ledger!D:D, "Chamki") / 1.0936)*10</f>
        <v>335943.67227505491</v>
      </c>
      <c r="I12" s="4" t="s">
        <v>35</v>
      </c>
      <c r="J12" s="5">
        <v>30595.281638624729</v>
      </c>
      <c r="K12" s="18">
        <v>335943.67227505491</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7">
        <f t="shared" si="2"/>
        <v>467.05193855194375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154</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179945.13533284568</v>
      </c>
      <c r="V13" s="44">
        <f t="shared" ref="V13:V17" si="4">T13+U13</f>
        <v>631234.45501097303</v>
      </c>
      <c r="W13" s="23">
        <f>(SUMIF(Table14[Party],O13,Table14[Credit]))+_xlfn.IFNA(J69,0)</f>
        <v>451150</v>
      </c>
      <c r="X13" s="97">
        <f t="shared" si="2"/>
        <v>180084.45501097303</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252923.37234820778</v>
      </c>
      <c r="E15" s="14">
        <f>(SUMIFS(ledger!G:G, ledger!B:B, B15, ledger!E:E, "&lt;&gt;*RD*",ledger!D:D, "Silky") / 1.0936)*12 + (SUMIFS(ledger!G:G, ledger!B:B, B15, ledger!E:E, "&lt;&gt;*RD*",ledger!D:D, "Chamki") / 1.0936)*10</f>
        <v>2655543.1602048283</v>
      </c>
      <c r="I15" s="4" t="s">
        <v>237</v>
      </c>
      <c r="J15" s="5">
        <v>252923.37234820778</v>
      </c>
      <c r="K15" s="18">
        <v>2655543.1602048283</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310</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757856.62033650337</v>
      </c>
      <c r="V16" s="44">
        <f t="shared" si="4"/>
        <v>2655543.1602048283</v>
      </c>
      <c r="W16" s="23">
        <f>(SUMIF(Table14[Party],O16,Table14[Credit]))+_xlfn.IFNA(J72,0)</f>
        <v>1370000</v>
      </c>
      <c r="X16" s="42">
        <f t="shared" si="2"/>
        <v>1285543.1602048283</v>
      </c>
      <c r="Y16" s="22">
        <v>10</v>
      </c>
      <c r="Z16" s="22">
        <v>12</v>
      </c>
    </row>
    <row r="17" spans="1:26" x14ac:dyDescent="0.3">
      <c r="I17" s="4" t="s">
        <v>28</v>
      </c>
      <c r="J17" s="14">
        <v>1767006.2179956108</v>
      </c>
      <c r="K17" s="14">
        <v>18219722.019019753</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12)+_xlfn.IFNA(H74,0)</f>
        <v>0</v>
      </c>
      <c r="V18" s="44">
        <f t="shared" ref="V18" si="5">T18+U18</f>
        <v>483851.49963423557</v>
      </c>
      <c r="W18" s="23">
        <f>(SUMIF(Table14[Party],O18,Table14[Credit]))+_xlfn.IFNA(J74,0)</f>
        <v>0</v>
      </c>
      <c r="X18" s="42">
        <f t="shared" ref="X18:X23" si="6">V18-W18</f>
        <v>483851.49963423557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19063943.463057794</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19063943.463057794</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163</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476108</v>
      </c>
      <c r="D26" s="23" cm="1">
        <f t="array" ref="D26:D41">_xlfn.BYROW(_xlfn.ANCHORARRAY(B26), _xlfn.LAMBDA(_xlpm.party, SUMIFS(ledger!G:G, ledger!B:B, _xlpm.party, ledger!E:E, "&lt;&gt;*RD*") / 1.0936 ))</f>
        <v>435358.4491587418</v>
      </c>
      <c r="E26" s="71" cm="1">
        <f t="array" ref="E26:E41">(_xlfn.BYROW(_xlfn.ANCHORARRAY(B26),_xlfn.LAMBDA(_xlpm.party,SUMIFS(ledger!G:G,ledger!B:B,_xlpm.party,ledger!E:E,"&lt;&gt;*RD*",ledger!D:D,"Chamki")+SUMIFS(ledger!G:G, ledger!B:B, _xlpm.party, ledger!E:E, "&lt;&gt;*RD*", ledger!D:D, "Crinkle")))/1.0936)</f>
        <v>419722.01901975134</v>
      </c>
      <c r="F26" s="78" cm="1">
        <f t="array" ref="F26:F41">(_xlfn.BYROW(_xlfn.ANCHORARRAY(B26),_xlfn.LAMBDA(_xlpm.party,SUMIFS(ledger!G:G,ledger!B:B,_xlpm.party,ledger!E:E,"&lt;&gt;*RD*",ledger!D:D,"Silky")))/1.0936)</f>
        <v>15636.430138990492</v>
      </c>
      <c r="G26" s="23" cm="1">
        <f t="array" ref="G26">(_xlfn.BYROW(B26,_xlfn.LAMBDA(_xlpm.party,(SUMIFS(ledger!G:G,ledger!B:B,_xlpm.party,ledger!E:E,"&lt;&gt;*RD*",ledger!D:D, "Chamki")+SUMIFS(ledger!G:G, ledger!B:B, _xlpm.party, ledger!E:E, "&lt;&gt;*RD*", ledger!D:D, "Crinkle"))/1.0936))*L26)</f>
        <v>4197220.1901975134</v>
      </c>
      <c r="H26" s="23" cm="1">
        <f t="array" ref="H26">(_xlfn.BYROW(B26,_xlfn.LAMBDA(_xlpm.party,SUMIFS(ledger!G:G,ledger!B:B,_xlpm.party,ledger!E:E,"&lt;&gt;*RD*",ledger!D:D, "Silky")/1.0936))* M26)</f>
        <v>187637.1616678859</v>
      </c>
      <c r="I26" s="44">
        <f t="shared" ref="I26:I34" si="8">G26+H26</f>
        <v>4384857.3518653996</v>
      </c>
      <c r="J26" s="23">
        <f>(SUMIF(Table14[Party],B26,Table14[Credit]))</f>
        <v>5695870</v>
      </c>
      <c r="K26" s="42">
        <f>I26-J26</f>
        <v>-1311012.6481346004</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555366</v>
      </c>
      <c r="D30" s="23">
        <v>507832.8456474031</v>
      </c>
      <c r="E30" s="71">
        <v>239926.84711046089</v>
      </c>
      <c r="F30" s="78">
        <v>267905.99853694224</v>
      </c>
      <c r="G30" s="23" cm="1">
        <f t="array" ref="G30">(_xlfn.BYROW(B30,_xlfn.LAMBDA(_xlpm.party,(SUMIFS(ledger!G:G,ledger!B:B,_xlpm.party,ledger!E:E,"&lt;&gt;*RD*",ledger!D:D, "Chamki")+SUMIFS(ledger!G:G, ledger!B:B, _xlpm.party, ledger!E:E, "&lt;&gt;*RD*", ledger!D:D, "Crinkle"))/1.0936))*L30)+((8843+6099))</f>
        <v>2174283.6239941479</v>
      </c>
      <c r="H30" s="23" cm="1">
        <f t="array" ref="H30">(_xlfn.BYROW(B30,_xlfn.LAMBDA(_xlpm.party,SUMIFS(ledger!G:G,ledger!B:B,_xlpm.party,ledger!E:E,"&lt;&gt;*RD*",ledger!D:D, "Silky")/1.0936))* M30)</f>
        <v>3214871.9824433066</v>
      </c>
      <c r="I30" s="44">
        <f t="shared" si="8"/>
        <v>5389155.606437454</v>
      </c>
      <c r="J30" s="23">
        <f>(SUMIF(Table14[Party],B30,Table14[Credit]))</f>
        <v>4550000</v>
      </c>
      <c r="K30" s="42">
        <f t="shared" si="9"/>
        <v>839155.606437454</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1417620</v>
      </c>
      <c r="K33" s="42">
        <f t="shared" ref="K33:K46" si="10">I33-J33</f>
        <v>-60588.17849305016</v>
      </c>
      <c r="L33" s="22">
        <v>10</v>
      </c>
      <c r="M33" s="22">
        <v>12</v>
      </c>
    </row>
    <row r="34" spans="2:13" x14ac:dyDescent="0.3">
      <c r="B34" s="25" t="str">
        <v>Ubaidullah</v>
      </c>
      <c r="C34" s="23">
        <v>33459</v>
      </c>
      <c r="D34" s="23">
        <v>30595.281638624729</v>
      </c>
      <c r="E34" s="71">
        <v>15599.853694220923</v>
      </c>
      <c r="F34" s="22">
        <v>14995.427944403806</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179945.13533284568</v>
      </c>
      <c r="I34" s="44">
        <f t="shared" si="8"/>
        <v>335943.67227505491</v>
      </c>
      <c r="J34" s="23">
        <f>SUMIF(Table14[Party], B34, Table14[Credit])</f>
        <v>155000</v>
      </c>
      <c r="K34" s="42">
        <f t="shared" si="10"/>
        <v>180943.67227505491</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276597</v>
      </c>
      <c r="D37" s="23">
        <v>252923.37234820778</v>
      </c>
      <c r="E37" s="71">
        <v>189768.65398683251</v>
      </c>
      <c r="F37" s="22">
        <v>63154.718361375279</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757856.62033650337</v>
      </c>
      <c r="I37" s="44">
        <f t="shared" si="11"/>
        <v>2655543.1602048283</v>
      </c>
      <c r="J37" s="23">
        <f>SUMIF(Table14[Party], B37, Table14[Credit])</f>
        <v>1370000</v>
      </c>
      <c r="K37" s="42">
        <f t="shared" si="10"/>
        <v>1285543.1602048283</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s="25" t="str">
        <v>Amjad 7up</v>
      </c>
      <c r="C39" s="23">
        <v>52914</v>
      </c>
      <c r="D39" s="23">
        <v>48385.149963423559</v>
      </c>
      <c r="E39" s="71">
        <v>48385.149963423559</v>
      </c>
      <c r="F39" s="22">
        <v>0</v>
      </c>
      <c r="G39" s="23" cm="1">
        <f t="array" ref="G39">(_xlfn.BYROW(B39,_xlfn.LAMBDA(_xlpm.party,(SUMIFS(ledger!G:G,ledger!B:B,_xlpm.party,ledger!E:E,"&lt;&gt;*RD*",ledger!D:D, "Chamki")+SUMIFS(ledger!G:G, ledger!B:B, _xlpm.party, ledger!E:E, "&lt;&gt;*RD*", ledger!D:D, "Crinkle"))/1.0936))*L39)</f>
        <v>483851.49963423557</v>
      </c>
      <c r="H39" s="23" cm="1">
        <f t="array" ref="H39">(_xlfn.BYROW(B39,_xlfn.LAMBDA(_xlpm.party,SUMIFS(ledger!G:G,ledger!B:B,_xlpm.party,ledger!E:E,"&lt;&gt;*RD*",ledger!D:D, "Silky")/1.0936))* M39)</f>
        <v>0</v>
      </c>
      <c r="I39" s="44">
        <f t="shared" si="12"/>
        <v>483851.49963423557</v>
      </c>
      <c r="J39" s="23">
        <f>SUMIF(Table14[Party], B39, Table14[Credit])</f>
        <v>0</v>
      </c>
      <c r="K39" s="42">
        <f t="shared" si="10"/>
        <v>483851.49963423557</v>
      </c>
      <c r="L39" s="22">
        <v>10</v>
      </c>
      <c r="M39" s="22">
        <v>12</v>
      </c>
    </row>
    <row r="40" spans="2:13" x14ac:dyDescent="0.3">
      <c r="B40" s="25"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(_xlfn.BYROW(C40,_xlfn.LAMBDA(_xlpm.party,(SUMIFS(ledger!H:H,ledger!C:C,_xlpm.party,ledger!F:F,"&lt;&gt;*RD*",ledger!E:E, "Chamki")+SUMIFS(ledger!H:H, ledger!C:C, _xlpm.party, ledger!F:F, "&lt;&gt;*RD*", ledger!E:E, "Crinkle"))/1.0936))*M40)</f>
        <v>0</v>
      </c>
      <c r="I40" s="44">
        <f t="shared" si="12"/>
        <v>89155.084125822978</v>
      </c>
      <c r="J40" s="23">
        <f>SUMIF(Table14[Party], B40, Table14[Credit])</f>
        <v>0</v>
      </c>
      <c r="K40" s="42">
        <f t="shared" si="10"/>
        <v>89155.084125822978</v>
      </c>
      <c r="L40" s="22">
        <v>10</v>
      </c>
      <c r="M40" s="22">
        <v>12</v>
      </c>
    </row>
    <row r="41" spans="2:13" x14ac:dyDescent="0.3">
      <c r="B41" s="25" t="str">
        <v>Haseeb Shamsi</v>
      </c>
      <c r="C41" s="23">
        <v>28026</v>
      </c>
      <c r="D41" s="23">
        <v>25627.286027798102</v>
      </c>
      <c r="E41" s="71">
        <v>25627.286027798102</v>
      </c>
      <c r="F41" s="22">
        <v>0</v>
      </c>
      <c r="G41" s="23" cm="1">
        <f t="array" ref="G41">(_xlfn.BYROW(B41,_xlfn.LAMBDA(_xlpm.party,(SUMIFS(ledger!G:G,ledger!B:B,_xlpm.party,ledger!E:E,"&lt;&gt;*RD*",ledger!D:D, "Chamki")+SUMIFS(ledger!G:G, ledger!B:B, _xlpm.party, ledger!E:E, "&lt;&gt;*RD*", ledger!D:D, "Crinkle"))/1.0936))*L41)</f>
        <v>256272.86027798103</v>
      </c>
      <c r="H41" s="23" cm="1">
        <f t="array" ref="H41">(_xlfn.BYROW(C41,_xlfn.LAMBDA(_xlpm.party,(SUMIFS(ledger!H:H,ledger!C:C,_xlpm.party,ledger!F:F,"&lt;&gt;*RD*",ledger!E:E, "Chamki")+SUMIFS(ledger!H:H, ledger!C:C, _xlpm.party, ledger!F:F, "&lt;&gt;*RD*", ledger!E:E, "Crinkle"))/1.0936))*M41)</f>
        <v>0</v>
      </c>
      <c r="I41" s="44">
        <f t="shared" si="12"/>
        <v>256272.86027798103</v>
      </c>
      <c r="J41" s="23">
        <f>SUMIF(Table14[Party], B58, Table14[Credit])</f>
        <v>0</v>
      </c>
      <c r="K41" s="42">
        <f t="shared" si="10"/>
        <v>256272.86027798103</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162</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scale="60" fitToHeight="0"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
        <v>25</v>
      </c>
      <c r="J6" t="str">
        <v>Arshad</v>
      </c>
    </row>
    <row r="7" spans="2:10" ht="15.6" x14ac:dyDescent="0.3">
      <c r="B7" s="70" t="s">
        <v>36</v>
      </c>
      <c r="C7" s="70" t="s">
        <v>4</v>
      </c>
      <c r="D7" s="70" t="s">
        <v>157</v>
      </c>
      <c r="E7" s="70" t="s">
        <v>158</v>
      </c>
      <c r="J7" t="str">
        <v>Shehzad Kamoki</v>
      </c>
    </row>
    <row r="8" spans="2:10" ht="18" x14ac:dyDescent="0.35">
      <c r="B8" s="63" t="s">
        <v>37</v>
      </c>
      <c r="C8" s="74"/>
      <c r="D8" s="76" cm="1">
        <f t="array" ref="D8">_xlfn.XLOOKUP($B$6,_xlfn.ANCHORARRAY( Billing!O5), INDEX(Billing!P5:P25, _xlfn.SEQUENCE(ROWS(_xlfn.ANCHORARRAY(Billing!$O$5)))), "Not Found")</f>
        <v>481660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440435.25969275786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440435.25969275786</v>
      </c>
      <c r="E12" s="101">
        <f ca="1">Table21[[#This Row],[gazana]]*Table21[[#This Row],[Rate]]</f>
        <v>4404352.5969275786</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4404352.5969275786</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3751266</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653086.59692757856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4" zoomScale="130" workbookViewId="0">
      <selection activeCell="E19" sqref="E1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Wood!N14+810*300 - ((317*775)+ (100*650))</f>
        <v>8386955</v>
      </c>
      <c r="D4" t="s">
        <v>445</v>
      </c>
    </row>
    <row r="5" spans="1:4" x14ac:dyDescent="0.3">
      <c r="B5" t="s">
        <v>48</v>
      </c>
      <c r="C5" s="11">
        <f>SUM(Table8[Price])+Dyes!P56 - Table2325[[#Totals],[total]]</f>
        <v>1032125</v>
      </c>
      <c r="D5" t="s">
        <v>446</v>
      </c>
    </row>
    <row r="6" spans="1:4" x14ac:dyDescent="0.3">
      <c r="B6" t="s">
        <v>49</v>
      </c>
      <c r="C6" s="11">
        <f>SUM(Table2[Price])+247000 - Finish!B28</f>
        <v>902583.33333333337</v>
      </c>
      <c r="D6" t="s">
        <v>447</v>
      </c>
    </row>
    <row r="7" spans="1:4" x14ac:dyDescent="0.3">
      <c r="B7" t="s">
        <v>50</v>
      </c>
      <c r="C7" s="11">
        <f>SUMIFS(Table14[Debit], Table14[Party],Table12[[#This Row],[Type]])</f>
        <v>61512</v>
      </c>
    </row>
    <row r="8" spans="1:4" x14ac:dyDescent="0.3">
      <c r="B8" t="s">
        <v>51</v>
      </c>
      <c r="C8" s="11">
        <f>Electricity!E3</f>
        <v>2500000</v>
      </c>
    </row>
    <row r="9" spans="1:4" x14ac:dyDescent="0.3">
      <c r="B9" t="s">
        <v>52</v>
      </c>
      <c r="C9" s="11">
        <f>Table11[[#Totals],[Amount]]+'Salary Acc'!I35</f>
        <v>1074940</v>
      </c>
    </row>
    <row r="10" spans="1:4" x14ac:dyDescent="0.3">
      <c r="B10" t="s">
        <v>53</v>
      </c>
      <c r="C10" s="11">
        <f>Table5[[#Totals],[Amount]]</f>
        <v>152120</v>
      </c>
    </row>
    <row r="11" spans="1:4" x14ac:dyDescent="0.3">
      <c r="B11" t="s">
        <v>54</v>
      </c>
      <c r="C11" s="11">
        <f>Table13[[#Totals],[Debit]]</f>
        <v>313495</v>
      </c>
    </row>
    <row r="12" spans="1:4" x14ac:dyDescent="0.3">
      <c r="B12" t="s">
        <v>55</v>
      </c>
      <c r="C12" s="11">
        <f>Table15[[#Totals],[Amount]]</f>
        <v>313646</v>
      </c>
    </row>
    <row r="13" spans="1:4" x14ac:dyDescent="0.3">
      <c r="C13" s="11"/>
    </row>
    <row r="14" spans="1:4" x14ac:dyDescent="0.3">
      <c r="C14" s="14">
        <f>SUM(Table12[Amount])</f>
        <v>14737376.333333334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zoomScaleNormal="111" workbookViewId="0">
      <selection activeCell="C3" sqref="C3"/>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Billing!C22 + SUMIFS(Table14[Credit], Table14[Party], "Transport")</f>
        <v>19063943.463057794</v>
      </c>
    </row>
    <row r="4" spans="1:3" x14ac:dyDescent="0.3">
      <c r="B4" s="11" t="s">
        <v>44</v>
      </c>
      <c r="C4" s="11">
        <f>Table12[[#Totals],[Amount]]</f>
        <v>14737376.333333334</v>
      </c>
    </row>
    <row r="5" spans="1:3" x14ac:dyDescent="0.3">
      <c r="A5" s="6"/>
      <c r="B5" s="15" t="s">
        <v>68</v>
      </c>
      <c r="C5" s="15">
        <f ca="1">C3-C4</f>
        <v>4326567.1297244597</v>
      </c>
    </row>
    <row r="10" spans="1:3" ht="15" thickBot="1" x14ac:dyDescent="0.35">
      <c r="B10" t="s">
        <v>66</v>
      </c>
      <c r="C10" s="14" t="s">
        <v>67</v>
      </c>
    </row>
    <row r="11" spans="1:3" x14ac:dyDescent="0.3">
      <c r="B11" s="64" t="s">
        <v>0</v>
      </c>
      <c r="C11" s="65">
        <f ca="1">C3</f>
        <v>19063943.463057794</v>
      </c>
    </row>
    <row r="12" spans="1:3" x14ac:dyDescent="0.3">
      <c r="B12" s="66" t="s">
        <v>69</v>
      </c>
      <c r="C12" s="67">
        <f>SUM(Table14[Credit])</f>
        <v>16263896</v>
      </c>
    </row>
    <row r="13" spans="1:3" ht="15" thickBot="1" x14ac:dyDescent="0.35">
      <c r="B13" s="82" t="s">
        <v>96</v>
      </c>
      <c r="C13" s="81">
        <f ca="1">(C11-C12)</f>
        <v>2800047.4630577937</v>
      </c>
    </row>
    <row r="14" spans="1:3" ht="15" thickBot="1" x14ac:dyDescent="0.35">
      <c r="B14" s="66"/>
      <c r="C14" s="67"/>
    </row>
    <row r="15" spans="1:3" x14ac:dyDescent="0.3">
      <c r="B15" s="64" t="s">
        <v>44</v>
      </c>
      <c r="C15" s="65">
        <f>C4</f>
        <v>14737376.333333334</v>
      </c>
    </row>
    <row r="16" spans="1:3" x14ac:dyDescent="0.3">
      <c r="B16" s="66" t="s">
        <v>70</v>
      </c>
      <c r="C16" s="67">
        <f>SUM(Table14[Debit])</f>
        <v>16287118</v>
      </c>
    </row>
    <row r="17" spans="2:6" ht="15" thickBot="1" x14ac:dyDescent="0.35">
      <c r="B17" s="82" t="s">
        <v>71</v>
      </c>
      <c r="C17" s="81">
        <f>C15-C16</f>
        <v>-1549741.666666666</v>
      </c>
    </row>
    <row r="18" spans="2:6" ht="15" thickBot="1" x14ac:dyDescent="0.35">
      <c r="B18" s="66"/>
      <c r="C18" s="67"/>
    </row>
    <row r="19" spans="2:6" ht="15" thickBot="1" x14ac:dyDescent="0.35">
      <c r="B19" s="83" t="s">
        <v>72</v>
      </c>
      <c r="C19" s="84">
        <f>Table18[[#Totals],[amount]]</f>
        <v>-23222</v>
      </c>
    </row>
    <row r="20" spans="2:6" ht="15" thickBot="1" x14ac:dyDescent="0.35">
      <c r="B20" s="79"/>
      <c r="C20" s="80"/>
    </row>
    <row r="21" spans="2:6" ht="15" thickBot="1" x14ac:dyDescent="0.35">
      <c r="B21" s="68" t="s">
        <v>73</v>
      </c>
      <c r="C21" s="69">
        <f ca="1">(C13-C17)+C19</f>
        <v>4326567.1297244597</v>
      </c>
      <c r="E21" s="87" t="s">
        <v>74</v>
      </c>
      <c r="F21" s="88">
        <f ca="1">C5*0.05</f>
        <v>216328.356486223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20500</v>
      </c>
      <c r="E32">
        <f>SUMIFS(Table14[Credit], Table14[Date], Table13[[#This Row],[Date]], Table14[Party], "Transport")</f>
        <v>0</v>
      </c>
    </row>
    <row r="33" spans="2:6" x14ac:dyDescent="0.3">
      <c r="B33" s="1">
        <v>45946</v>
      </c>
      <c r="D33">
        <f>SUMIFS(Table14[Debit], Table14[Date], Table13[[#This Row],[Date]], Table14[Party], "Transport")</f>
        <v>9404</v>
      </c>
      <c r="E33">
        <f>SUMIFS(Table14[Credit], Table14[Date], Table13[[#This Row],[Date]], Table14[Party], "Transport")</f>
        <v>0</v>
      </c>
    </row>
    <row r="34" spans="2:6" x14ac:dyDescent="0.3">
      <c r="B34" s="1">
        <v>45947</v>
      </c>
      <c r="D34">
        <f>SUMIFS(Table14[Debit], Table14[Date], Table13[[#This Row],[Date]], Table14[Party], "Transport")</f>
        <v>5000</v>
      </c>
      <c r="E34">
        <f>SUMIFS(Table14[Credit], Table14[Date], Table13[[#This Row],[Date]], Table14[Party], "Transport")</f>
        <v>0</v>
      </c>
    </row>
    <row r="35" spans="2:6" x14ac:dyDescent="0.3">
      <c r="B35" s="1"/>
      <c r="D35">
        <f>SUBTOTAL(109,Table13[Debit])</f>
        <v>313495</v>
      </c>
      <c r="E35">
        <f>SUBTOTAL(109,Table13[Credit])</f>
        <v>0</v>
      </c>
      <c r="F35">
        <f>Table13[[#Totals],[Debit]]-Table13[[#Totals],[Credit]]</f>
        <v>313495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54"/>
  <sheetViews>
    <sheetView topLeftCell="E162" zoomScale="88" zoomScaleNormal="126" workbookViewId="0">
      <selection activeCell="I89" sqref="I89:I16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 style="10" bestFit="1" customWidth="1"/>
    <col min="5" max="5" width="15.5546875" style="10" bestFit="1" customWidth="1"/>
    <col min="6" max="6" width="17.44140625" style="10" bestFit="1" customWidth="1"/>
    <col min="7" max="7" width="12.33203125" style="10" bestFit="1" customWidth="1"/>
    <col min="8" max="8" width="18" style="10" bestFit="1" customWidth="1"/>
    <col min="9" max="9" width="12.33203125" style="10" bestFit="1" customWidth="1"/>
    <col min="10" max="10" width="17.4414062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45916</v>
      </c>
      <c r="B2" s="29" t="s">
        <v>21</v>
      </c>
      <c r="C2" s="29" t="s">
        <v>161</v>
      </c>
      <c r="D2" s="29" t="s">
        <v>85</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161</v>
      </c>
      <c r="D3" s="29" t="s">
        <v>85</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161</v>
      </c>
      <c r="D4" s="29" t="s">
        <v>85</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161</v>
      </c>
      <c r="D5" s="29" t="s">
        <v>85</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161</v>
      </c>
      <c r="D6" s="29" t="s">
        <v>85</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161</v>
      </c>
      <c r="D7" s="29" t="s">
        <v>85</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161</v>
      </c>
      <c r="D8" s="29" t="s">
        <v>85</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159</v>
      </c>
      <c r="C9" s="29" t="s">
        <v>161</v>
      </c>
      <c r="D9" s="29" t="s">
        <v>85</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161</v>
      </c>
      <c r="D10" s="29" t="s">
        <v>85</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154</v>
      </c>
      <c r="C11" s="29" t="s">
        <v>161</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161</v>
      </c>
      <c r="D12" s="29" t="s">
        <v>85</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161</v>
      </c>
      <c r="D13" s="29" t="s">
        <v>87</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161</v>
      </c>
      <c r="D14" s="29" t="s">
        <v>87</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85</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87</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87</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87</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87</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87</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85</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85</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159</v>
      </c>
      <c r="C23" s="29">
        <v>843</v>
      </c>
      <c r="D23" s="29" t="s">
        <v>85</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159</v>
      </c>
      <c r="C24" s="29">
        <v>844</v>
      </c>
      <c r="D24" s="29" t="s">
        <v>85</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85</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85</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85</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85</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85</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85</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85</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159</v>
      </c>
      <c r="C32" s="29">
        <v>852</v>
      </c>
      <c r="D32" s="29" t="s">
        <v>85</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159</v>
      </c>
      <c r="C33" s="29">
        <v>853</v>
      </c>
      <c r="D33" s="29" t="s">
        <v>85</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85</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85</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85</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85</v>
      </c>
      <c r="E37" s="11" t="s">
        <v>226</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85</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85</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237</v>
      </c>
      <c r="C40" s="29">
        <v>860</v>
      </c>
      <c r="D40" s="29" t="s">
        <v>85</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237</v>
      </c>
      <c r="C41" s="29">
        <v>861</v>
      </c>
      <c r="D41" s="29" t="s">
        <v>85</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85</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85</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87</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87</v>
      </c>
      <c r="E45" s="11" t="s">
        <v>246</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87</v>
      </c>
      <c r="E46" s="11" t="s">
        <v>247</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87</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87</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87</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237</v>
      </c>
      <c r="C50" s="29">
        <v>870</v>
      </c>
      <c r="D50" s="29" t="s">
        <v>87</v>
      </c>
      <c r="E50" s="11" t="s">
        <v>248</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85</v>
      </c>
      <c r="E51" s="11" t="s">
        <v>249</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85</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85</v>
      </c>
      <c r="E53" s="11" t="s">
        <v>249</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85</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85</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87</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159</v>
      </c>
      <c r="C57" s="29">
        <v>877</v>
      </c>
      <c r="D57" s="29" t="s">
        <v>85</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159</v>
      </c>
      <c r="C58" s="29">
        <v>878</v>
      </c>
      <c r="D58" s="29" t="s">
        <v>85</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237</v>
      </c>
      <c r="C59" s="29">
        <v>879</v>
      </c>
      <c r="D59" s="29" t="s">
        <v>85</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237</v>
      </c>
      <c r="C60" s="29">
        <v>880</v>
      </c>
      <c r="D60" s="29" t="s">
        <v>85</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237</v>
      </c>
      <c r="C61" s="29">
        <v>881</v>
      </c>
      <c r="D61" s="29" t="s">
        <v>85</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85</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85</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85</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85</v>
      </c>
      <c r="E65" s="11" t="s">
        <v>278</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85</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85</v>
      </c>
      <c r="E67" s="11" t="s">
        <v>278</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85</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85</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85</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85</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85</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87</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87</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87</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87</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87</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87</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288</v>
      </c>
      <c r="D79" s="29" t="s">
        <v>87</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289</v>
      </c>
      <c r="D80" s="29" t="s">
        <v>87</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290</v>
      </c>
      <c r="D81" s="29" t="s">
        <v>87</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291</v>
      </c>
      <c r="D82" s="29" t="s">
        <v>87</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292</v>
      </c>
      <c r="D83" s="29" t="s">
        <v>87</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237</v>
      </c>
      <c r="C84" s="29">
        <v>901</v>
      </c>
      <c r="D84" s="29" t="s">
        <v>87</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310</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87</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87</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85</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85</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85</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85</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85</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85</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85</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85</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85</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85</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85</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85</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85</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85</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85</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85</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85</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85</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85</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85</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85</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85</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85</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351</v>
      </c>
      <c r="C111" s="29">
        <v>928</v>
      </c>
      <c r="D111" s="29" t="s">
        <v>85</v>
      </c>
      <c r="E111" s="11">
        <v>1711</v>
      </c>
      <c r="F111" s="11">
        <v>50522</v>
      </c>
      <c r="G111" s="11">
        <v>4282</v>
      </c>
      <c r="H111" s="32">
        <f>_xlfn.XLOOKUP(Table1[[#This Row],[Shipment Number]], 'pivot '!A:A,'pivot '!G:G, "NF")</f>
        <v>4.2295436375765689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85</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85</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85</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85</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352</v>
      </c>
      <c r="C116" s="29">
        <v>933</v>
      </c>
      <c r="D116" s="29" t="s">
        <v>85</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85</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85</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85</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85</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85</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85</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85</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237</v>
      </c>
      <c r="C124" s="29">
        <v>941</v>
      </c>
      <c r="D124" s="29" t="s">
        <v>85</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237</v>
      </c>
      <c r="C125" s="29">
        <v>942</v>
      </c>
      <c r="D125" s="29" t="s">
        <v>85</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237</v>
      </c>
      <c r="C126" s="29">
        <v>943</v>
      </c>
      <c r="D126" s="29" t="s">
        <v>85</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237</v>
      </c>
      <c r="C127" s="29">
        <v>944</v>
      </c>
      <c r="D127" s="29" t="s">
        <v>85</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237</v>
      </c>
      <c r="C128" s="29">
        <v>945</v>
      </c>
      <c r="D128" s="29" t="s">
        <v>85</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237</v>
      </c>
      <c r="C129" s="29">
        <v>946</v>
      </c>
      <c r="D129" s="29" t="s">
        <v>85</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237</v>
      </c>
      <c r="C130" s="29">
        <v>947</v>
      </c>
      <c r="D130" s="29" t="s">
        <v>85</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85</v>
      </c>
      <c r="E131" s="118" t="s">
        <v>391</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85</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s="28">
        <v>45944</v>
      </c>
      <c r="B133" s="29" t="s">
        <v>9</v>
      </c>
      <c r="C133" s="29">
        <v>950</v>
      </c>
      <c r="D133" s="29" t="s">
        <v>85</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85</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85</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85</v>
      </c>
      <c r="E136" s="107" t="s">
        <v>416</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85</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85</v>
      </c>
      <c r="E138" s="11">
        <v>1793</v>
      </c>
      <c r="F138" s="11">
        <v>8873</v>
      </c>
      <c r="G138" s="11">
        <v>9671</v>
      </c>
      <c r="H138" s="32">
        <f>_xlfn.XLOOKUP(Table1[[#This Row],[Shipment Number]], 'pivot '!A:A,'pivot '!G:G, "NF")</f>
        <v>0.33506216429167068</v>
      </c>
      <c r="I138" s="32">
        <f>IF(Table1[[#This Row],[Shipment Number]]="RD",0,Table1[[#This Row],[Tiyaar/gaz]]/1.0936)</f>
        <v>8843.2699341623993</v>
      </c>
      <c r="J138" s="119"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85</v>
      </c>
      <c r="E139" s="107" t="s">
        <v>417</v>
      </c>
      <c r="F139" s="107">
        <v>6347</v>
      </c>
      <c r="G139" s="107">
        <v>6670</v>
      </c>
      <c r="H139" s="108">
        <f>_xlfn.XLOOKUP(Table1[[#This Row],[Shipment Number]], 'pivot '!A:A,'pivot '!G:G, "NF")</f>
        <v>3.9054330341022307</v>
      </c>
      <c r="I139" s="32">
        <f>IF(Table1[[#This Row],[Shipment Number]]="RD",0,Table1[[#This Row],[Tiyaar/gaz]]/1.0936)</f>
        <v>6099.1221653255307</v>
      </c>
      <c r="J139" s="119"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x14ac:dyDescent="0.3">
      <c r="A140" s="28">
        <v>45944</v>
      </c>
      <c r="B140" s="29" t="s">
        <v>21</v>
      </c>
      <c r="C140" s="29">
        <v>957</v>
      </c>
      <c r="D140" s="29" t="s">
        <v>85</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x14ac:dyDescent="0.3">
      <c r="A141" s="28">
        <v>45944</v>
      </c>
      <c r="B141" s="29" t="s">
        <v>21</v>
      </c>
      <c r="C141" s="29">
        <v>958</v>
      </c>
      <c r="D141" s="29" t="s">
        <v>85</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x14ac:dyDescent="0.3">
      <c r="A142" s="28">
        <v>45944</v>
      </c>
      <c r="B142" s="29" t="s">
        <v>21</v>
      </c>
      <c r="C142" s="29">
        <v>959</v>
      </c>
      <c r="D142" s="29" t="s">
        <v>85</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x14ac:dyDescent="0.3">
      <c r="A143" s="28">
        <v>45944</v>
      </c>
      <c r="B143" s="29" t="s">
        <v>415</v>
      </c>
      <c r="C143" s="29">
        <v>960</v>
      </c>
      <c r="D143" s="29" t="s">
        <v>85</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x14ac:dyDescent="0.3">
      <c r="A144" s="28">
        <v>45944</v>
      </c>
      <c r="B144" s="29" t="s">
        <v>159</v>
      </c>
      <c r="C144" s="29">
        <v>961</v>
      </c>
      <c r="D144" s="29" t="s">
        <v>85</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x14ac:dyDescent="0.3">
      <c r="A145" s="28">
        <v>45944</v>
      </c>
      <c r="B145" s="29" t="s">
        <v>25</v>
      </c>
      <c r="C145" s="29">
        <v>962</v>
      </c>
      <c r="D145" s="29" t="s">
        <v>85</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x14ac:dyDescent="0.3">
      <c r="A146" s="28">
        <v>45944</v>
      </c>
      <c r="B146" s="29" t="s">
        <v>25</v>
      </c>
      <c r="C146" s="29">
        <v>963</v>
      </c>
      <c r="D146" s="29" t="s">
        <v>85</v>
      </c>
      <c r="E146" s="11" t="s">
        <v>418</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x14ac:dyDescent="0.3">
      <c r="A147" s="28">
        <v>45944</v>
      </c>
      <c r="B147" s="29" t="s">
        <v>351</v>
      </c>
      <c r="C147" s="29">
        <v>964</v>
      </c>
      <c r="D147" s="29" t="s">
        <v>85</v>
      </c>
      <c r="E147" s="11">
        <v>1711</v>
      </c>
      <c r="F147" s="11">
        <v>50522</v>
      </c>
      <c r="G147" s="11">
        <v>40179</v>
      </c>
      <c r="H147" s="32">
        <f>_xlfn.XLOOKUP(Table1[[#This Row],[Shipment Number]], 'pivot '!A:A,'pivot '!G:G, "NF")</f>
        <v>4.2295436375765689</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x14ac:dyDescent="0.3">
      <c r="A148" s="28">
        <v>45944</v>
      </c>
      <c r="B148" s="29" t="s">
        <v>21</v>
      </c>
      <c r="C148" s="29">
        <v>965</v>
      </c>
      <c r="D148" s="29" t="s">
        <v>85</v>
      </c>
      <c r="E148" s="11" t="s">
        <v>419</v>
      </c>
      <c r="F148" s="11">
        <v>19457</v>
      </c>
      <c r="G148" s="11">
        <v>2121</v>
      </c>
      <c r="H148" s="32">
        <f>_xlfn.XLOOKUP(Table1[[#This Row],[Shipment Number]], 'pivot '!A:A,'pivot '!G:G, "NF")</f>
        <v>0.76686651212457946</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x14ac:dyDescent="0.3">
      <c r="A149" s="28">
        <v>45944</v>
      </c>
      <c r="B149" s="29" t="s">
        <v>21</v>
      </c>
      <c r="C149" s="29">
        <v>966</v>
      </c>
      <c r="D149" s="29" t="s">
        <v>85</v>
      </c>
      <c r="E149" s="11" t="s">
        <v>419</v>
      </c>
      <c r="F149" s="11">
        <v>19457</v>
      </c>
      <c r="G149" s="11">
        <v>3738</v>
      </c>
      <c r="H149" s="32">
        <f>_xlfn.XLOOKUP(Table1[[#This Row],[Shipment Number]], 'pivot '!A:A,'pivot '!G:G, "NF")</f>
        <v>0.76686651212457946</v>
      </c>
      <c r="I149" s="32">
        <f>IF(Table1[[#This Row],[Shipment Number]]="RD",0,Table1[[#This Row],[Tiyaar/gaz]]/1.0936)</f>
        <v>3418.0687637161673</v>
      </c>
      <c r="J149" s="32" cm="1">
        <f t="array" ref="J1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34180.687637161675</v>
      </c>
      <c r="K149" s="29"/>
    </row>
    <row r="150" spans="1:11" x14ac:dyDescent="0.3">
      <c r="A150" s="28">
        <v>45944</v>
      </c>
      <c r="B150" s="29" t="s">
        <v>21</v>
      </c>
      <c r="C150" s="29">
        <v>967</v>
      </c>
      <c r="D150" s="29" t="s">
        <v>85</v>
      </c>
      <c r="E150" s="11" t="s">
        <v>419</v>
      </c>
      <c r="F150" s="11">
        <v>19457</v>
      </c>
      <c r="G150" s="11">
        <v>15256</v>
      </c>
      <c r="H150" s="32">
        <f>_xlfn.XLOOKUP(Table1[[#This Row],[Shipment Number]], 'pivot '!A:A,'pivot '!G:G, "NF")</f>
        <v>0.76686651212457946</v>
      </c>
      <c r="I150" s="32">
        <f>IF(Table1[[#This Row],[Shipment Number]]="RD",0,Table1[[#This Row],[Tiyaar/gaz]]/1.0936)</f>
        <v>13950.256035113389</v>
      </c>
      <c r="J150" s="32" cm="1">
        <f t="array" ref="J1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139502.5603511339</v>
      </c>
      <c r="K150" s="29"/>
    </row>
    <row r="151" spans="1:11" x14ac:dyDescent="0.3">
      <c r="A151" s="28">
        <v>45945</v>
      </c>
      <c r="B151" s="29" t="s">
        <v>351</v>
      </c>
      <c r="C151" s="29">
        <v>968</v>
      </c>
      <c r="D151" s="29" t="s">
        <v>85</v>
      </c>
      <c r="E151" s="11">
        <v>1711</v>
      </c>
      <c r="F151" s="11">
        <v>50522</v>
      </c>
      <c r="G151" s="11">
        <v>8453</v>
      </c>
      <c r="H151" s="32">
        <f>_xlfn.XLOOKUP(Table1[[#This Row],[Shipment Number]], 'pivot '!A:A,'pivot '!G:G, "NF")</f>
        <v>4.2295436375765689</v>
      </c>
      <c r="I151" s="32">
        <f>IF(Table1[[#This Row],[Shipment Number]]="RD",0,Table1[[#This Row],[Tiyaar/gaz]]/1.0936)</f>
        <v>7729.517190929042</v>
      </c>
      <c r="J151" s="32" cm="1">
        <f t="array" ref="J1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77295.171909290424</v>
      </c>
      <c r="K151" s="29"/>
    </row>
    <row r="152" spans="1:11" x14ac:dyDescent="0.3">
      <c r="A152" s="28">
        <v>45945</v>
      </c>
      <c r="B152" s="29" t="s">
        <v>24</v>
      </c>
      <c r="C152" s="29">
        <v>969</v>
      </c>
      <c r="D152" s="29" t="s">
        <v>87</v>
      </c>
      <c r="E152" s="11">
        <v>1783</v>
      </c>
      <c r="F152" s="11">
        <v>16027</v>
      </c>
      <c r="G152" s="11">
        <v>17079</v>
      </c>
      <c r="H152" s="32">
        <f>_xlfn.XLOOKUP(Table1[[#This Row],[Shipment Number]], 'pivot '!A:A,'pivot '!G:G, "NF")</f>
        <v>2.5567635522152159</v>
      </c>
      <c r="I152" s="32">
        <f>IF(Table1[[#This Row],[Shipment Number]]="RD",0,Table1[[#This Row],[Tiyaar/gaz]]/1.0936)</f>
        <v>15617.227505486468</v>
      </c>
      <c r="J152" s="32" cm="1">
        <f t="array" ref="J1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187406.73006583762</v>
      </c>
      <c r="K152" s="29"/>
    </row>
    <row r="153" spans="1:11" x14ac:dyDescent="0.3">
      <c r="A153" s="28">
        <v>45945</v>
      </c>
      <c r="B153" s="29" t="s">
        <v>24</v>
      </c>
      <c r="C153" s="29">
        <v>970</v>
      </c>
      <c r="D153" s="29" t="s">
        <v>87</v>
      </c>
      <c r="E153" s="11">
        <v>1790</v>
      </c>
      <c r="F153" s="11">
        <v>15060</v>
      </c>
      <c r="G153" s="11">
        <v>16263</v>
      </c>
      <c r="H153" s="32">
        <f>_xlfn.XLOOKUP(Table1[[#This Row],[Shipment Number]], 'pivot '!A:A,'pivot '!G:G, "NF")</f>
        <v>1.2545283387299264</v>
      </c>
      <c r="I153" s="32">
        <f>IF(Table1[[#This Row],[Shipment Number]]="RD",0,Table1[[#This Row],[Tiyaar/gaz]]/1.0936)</f>
        <v>14871.068032187273</v>
      </c>
      <c r="J153" s="32" cm="1">
        <f t="array" ref="J1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178452.81638624729</v>
      </c>
      <c r="K153" s="29"/>
    </row>
    <row r="154" spans="1:11" x14ac:dyDescent="0.3">
      <c r="A154" s="28">
        <v>45945</v>
      </c>
      <c r="B154" s="29" t="s">
        <v>24</v>
      </c>
      <c r="C154" s="29">
        <v>971</v>
      </c>
      <c r="D154" s="29" t="s">
        <v>87</v>
      </c>
      <c r="E154" s="11">
        <v>1794</v>
      </c>
      <c r="F154" s="11">
        <v>7501</v>
      </c>
      <c r="G154" s="11">
        <v>8052</v>
      </c>
      <c r="H154" s="32">
        <f>_xlfn.XLOOKUP(Table1[[#This Row],[Shipment Number]], 'pivot '!A:A,'pivot '!G:G, "NF")</f>
        <v>1.8419099838139203</v>
      </c>
      <c r="I154" s="32">
        <f>IF(Table1[[#This Row],[Shipment Number]]="RD",0,Table1[[#This Row],[Tiyaar/gaz]]/1.0936)</f>
        <v>7362.8383321141191</v>
      </c>
      <c r="J154" s="32" cm="1">
        <f t="array" ref="J1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88354.059985369429</v>
      </c>
      <c r="K154" s="29"/>
    </row>
    <row r="155" spans="1:11" x14ac:dyDescent="0.3">
      <c r="A155" s="28">
        <v>45945</v>
      </c>
      <c r="B155" s="29" t="s">
        <v>24</v>
      </c>
      <c r="C155" s="29">
        <v>972</v>
      </c>
      <c r="D155" s="29" t="s">
        <v>87</v>
      </c>
      <c r="E155" s="11">
        <v>1802</v>
      </c>
      <c r="F155" s="11">
        <v>6006</v>
      </c>
      <c r="G155" s="11">
        <v>2080</v>
      </c>
      <c r="H155" s="32">
        <f>_xlfn.XLOOKUP(Table1[[#This Row],[Shipment Number]], 'pivot '!A:A,'pivot '!G:G, "NF")</f>
        <v>-0.31726381397194814</v>
      </c>
      <c r="I155" s="32">
        <f>IF(Table1[[#This Row],[Shipment Number]]="RD",0,Table1[[#This Row],[Tiyaar/gaz]]/1.0936)</f>
        <v>1901.9751280175569</v>
      </c>
      <c r="J155" s="32" cm="1">
        <f t="array" ref="J1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22823.701536210683</v>
      </c>
      <c r="K155" s="29"/>
    </row>
    <row r="156" spans="1:11" x14ac:dyDescent="0.3">
      <c r="A156" s="28">
        <v>45945</v>
      </c>
      <c r="B156" s="29" t="s">
        <v>24</v>
      </c>
      <c r="C156" s="29">
        <v>973</v>
      </c>
      <c r="D156" s="29" t="s">
        <v>87</v>
      </c>
      <c r="E156" s="11">
        <v>1802</v>
      </c>
      <c r="F156" s="11">
        <v>6006</v>
      </c>
      <c r="G156" s="11">
        <v>4509</v>
      </c>
      <c r="H156" s="32">
        <f>_xlfn.XLOOKUP(Table1[[#This Row],[Shipment Number]], 'pivot '!A:A,'pivot '!G:G, "NF")</f>
        <v>-0.31726381397194814</v>
      </c>
      <c r="I156" s="32">
        <f>IF(Table1[[#This Row],[Shipment Number]]="RD",0,Table1[[#This Row],[Tiyaar/gaz]]/1.0936)</f>
        <v>4123.0797366495981</v>
      </c>
      <c r="J156" s="32" cm="1">
        <f t="array" ref="J1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49476.956839795181</v>
      </c>
      <c r="K156" s="29"/>
    </row>
    <row r="157" spans="1:11" x14ac:dyDescent="0.3">
      <c r="A157" s="28">
        <v>45945</v>
      </c>
      <c r="B157" s="29" t="s">
        <v>24</v>
      </c>
      <c r="C157" s="29">
        <v>974</v>
      </c>
      <c r="D157" s="29" t="s">
        <v>87</v>
      </c>
      <c r="E157" s="11">
        <v>1789</v>
      </c>
      <c r="F157" s="11">
        <v>9081</v>
      </c>
      <c r="G157" s="11">
        <v>9720</v>
      </c>
      <c r="H157" s="32">
        <f>_xlfn.XLOOKUP(Table1[[#This Row],[Shipment Number]], 'pivot '!A:A,'pivot '!G:G, "NF")</f>
        <v>2.1244788128496737</v>
      </c>
      <c r="I157" s="32">
        <f>IF(Table1[[#This Row],[Shipment Number]]="RD",0,Table1[[#This Row],[Tiyaar/gaz]]/1.0936)</f>
        <v>8888.0760790051208</v>
      </c>
      <c r="J157" s="32" cm="1">
        <f t="array" ref="J1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106656.91294806145</v>
      </c>
      <c r="K157" s="29"/>
    </row>
    <row r="158" spans="1:11" x14ac:dyDescent="0.3">
      <c r="A158" s="28">
        <v>45946</v>
      </c>
      <c r="B158" s="29" t="s">
        <v>24</v>
      </c>
      <c r="C158" s="29">
        <v>975</v>
      </c>
      <c r="D158" s="29" t="s">
        <v>87</v>
      </c>
      <c r="E158" s="11">
        <v>1778</v>
      </c>
      <c r="F158" s="11">
        <v>4384</v>
      </c>
      <c r="G158" s="11">
        <v>4695</v>
      </c>
      <c r="H158" s="32">
        <f>_xlfn.XLOOKUP(Table1[[#This Row],[Shipment Number]], 'pivot '!A:A,'pivot '!G:G, "NF")</f>
        <v>2.0720756197971895</v>
      </c>
      <c r="I158" s="32">
        <f>IF(Table1[[#This Row],[Shipment Number]]="RD",0,Table1[[#This Row],[Tiyaar/gaz]]/1.0936)</f>
        <v>4293.1602048280911</v>
      </c>
      <c r="J158" s="32" cm="1">
        <f t="array" ref="J1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51517.922457937093</v>
      </c>
      <c r="K158" s="29"/>
    </row>
    <row r="159" spans="1:11" x14ac:dyDescent="0.3">
      <c r="A159" s="28">
        <v>45946</v>
      </c>
      <c r="B159" s="29" t="s">
        <v>24</v>
      </c>
      <c r="C159" s="29">
        <v>976</v>
      </c>
      <c r="D159" s="29" t="s">
        <v>87</v>
      </c>
      <c r="E159" s="11">
        <v>1808</v>
      </c>
      <c r="F159" s="11">
        <v>8737</v>
      </c>
      <c r="G159" s="11">
        <v>4128</v>
      </c>
      <c r="H159" s="32">
        <f>_xlfn.XLOOKUP(Table1[[#This Row],[Shipment Number]], 'pivot '!A:A,'pivot '!G:G, "NF")</f>
        <v>1.1908506725720258</v>
      </c>
      <c r="I159" s="32">
        <f>IF(Table1[[#This Row],[Shipment Number]]="RD",0,Table1[[#This Row],[Tiyaar/gaz]]/1.0936)</f>
        <v>3774.6891002194589</v>
      </c>
      <c r="J159" s="32" cm="1">
        <f t="array" ref="J1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45296.269202633506</v>
      </c>
      <c r="K159" s="29"/>
    </row>
    <row r="160" spans="1:11" x14ac:dyDescent="0.3">
      <c r="A160" s="28">
        <v>45946</v>
      </c>
      <c r="B160" s="29" t="s">
        <v>35</v>
      </c>
      <c r="C160" s="29">
        <v>977</v>
      </c>
      <c r="D160" s="29" t="s">
        <v>87</v>
      </c>
      <c r="E160" s="11">
        <v>1795</v>
      </c>
      <c r="F160" s="11">
        <v>15015</v>
      </c>
      <c r="G160" s="11">
        <v>16399</v>
      </c>
      <c r="H160" s="32">
        <f>_xlfn.XLOOKUP(Table1[[#This Row],[Shipment Number]], 'pivot '!A:A,'pivot '!G:G, "NF")</f>
        <v>0.13035002062066781</v>
      </c>
      <c r="I160" s="32">
        <f>IF(Table1[[#This Row],[Shipment Number]]="RD",0,Table1[[#This Row],[Tiyaar/gaz]]/1.0936)</f>
        <v>14995.427944403806</v>
      </c>
      <c r="J160" s="32" cm="1">
        <f t="array" ref="J1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160" s="29"/>
    </row>
    <row r="161" spans="1:11" x14ac:dyDescent="0.3">
      <c r="A161" s="28">
        <v>45946</v>
      </c>
      <c r="B161" s="29" t="s">
        <v>24</v>
      </c>
      <c r="C161" s="29">
        <v>978</v>
      </c>
      <c r="D161" s="29" t="s">
        <v>87</v>
      </c>
      <c r="E161" s="11">
        <v>1808</v>
      </c>
      <c r="F161" s="11">
        <v>8737</v>
      </c>
      <c r="G161" s="11">
        <v>3265</v>
      </c>
      <c r="H161" s="32">
        <f>_xlfn.XLOOKUP(Table1[[#This Row],[Shipment Number]], 'pivot '!A:A,'pivot '!G:G, "NF")</f>
        <v>1.1908506725720258</v>
      </c>
      <c r="I161" s="32">
        <f>IF(Table1[[#This Row],[Shipment Number]]="RD",0,Table1[[#This Row],[Tiyaar/gaz]]/1.0936)</f>
        <v>2985.5523043160206</v>
      </c>
      <c r="J161" s="32" cm="1">
        <f t="array" ref="J1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35826.627651792245</v>
      </c>
      <c r="K161" s="29"/>
    </row>
    <row r="162" spans="1:11" x14ac:dyDescent="0.3">
      <c r="A162" s="28">
        <v>45946</v>
      </c>
      <c r="B162" s="29" t="s">
        <v>21</v>
      </c>
      <c r="C162" s="29">
        <v>979</v>
      </c>
      <c r="D162" s="29" t="s">
        <v>85</v>
      </c>
      <c r="E162" s="11">
        <v>1799</v>
      </c>
      <c r="F162" s="11">
        <v>1600</v>
      </c>
      <c r="G162" s="11">
        <v>1723</v>
      </c>
      <c r="H162" s="32">
        <f>_xlfn.XLOOKUP(Table1[[#This Row],[Shipment Number]], 'pivot '!A:A,'pivot '!G:G, "NF")</f>
        <v>1.5293525969275663</v>
      </c>
      <c r="I162" s="32">
        <f>IF(Table1[[#This Row],[Shipment Number]]="RD",0,Table1[[#This Row],[Tiyaar/gaz]]/1.0936)</f>
        <v>1575.5303584491589</v>
      </c>
      <c r="J162" s="32" cm="1">
        <f t="array" ref="J1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15755.30358449159</v>
      </c>
      <c r="K162" s="29"/>
    </row>
    <row r="163" spans="1:11" x14ac:dyDescent="0.3">
      <c r="A163" s="28">
        <v>45947</v>
      </c>
      <c r="B163" s="29" t="s">
        <v>237</v>
      </c>
      <c r="C163" s="29">
        <v>980</v>
      </c>
      <c r="D163" s="29" t="s">
        <v>87</v>
      </c>
      <c r="E163" s="11">
        <v>1792</v>
      </c>
      <c r="F163" s="11">
        <f>20138-489</f>
        <v>19649</v>
      </c>
      <c r="G163" s="11">
        <v>20762</v>
      </c>
      <c r="H163" s="32">
        <f>_xlfn.XLOOKUP(Table1[[#This Row],[Shipment Number]], 'pivot '!A:A,'pivot '!G:G, "NF")</f>
        <v>3.3792882200392995</v>
      </c>
      <c r="I163" s="32">
        <f>IF(Table1[[#This Row],[Shipment Number]]="RD",0,Table1[[#This Row],[Tiyaar/gaz]]/1.0936)</f>
        <v>18985.00365764448</v>
      </c>
      <c r="J163" s="32" cm="1">
        <f t="array" ref="J1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227820.04389173375</v>
      </c>
      <c r="K163" s="29"/>
    </row>
    <row r="164" spans="1:11" x14ac:dyDescent="0.3">
      <c r="A164" s="28">
        <v>45947</v>
      </c>
      <c r="B164" s="29" t="s">
        <v>24</v>
      </c>
      <c r="C164" s="29">
        <v>981</v>
      </c>
      <c r="D164" s="29" t="s">
        <v>87</v>
      </c>
      <c r="E164" s="11">
        <v>1808</v>
      </c>
      <c r="F164" s="11">
        <v>8737</v>
      </c>
      <c r="G164" s="11">
        <v>2048</v>
      </c>
      <c r="H164" s="32">
        <f>_xlfn.XLOOKUP(Table1[[#This Row],[Shipment Number]], 'pivot '!A:A,'pivot '!G:G, "NF")</f>
        <v>1.1908506725720258</v>
      </c>
      <c r="I164" s="32">
        <f>IF(Table1[[#This Row],[Shipment Number]]="RD",0,Table1[[#This Row],[Tiyaar/gaz]]/1.0936)</f>
        <v>1872.7139722019022</v>
      </c>
      <c r="J164" s="32" cm="1">
        <f t="array" ref="J16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22472.567666422827</v>
      </c>
      <c r="K164" s="29"/>
    </row>
    <row r="165" spans="1:11" x14ac:dyDescent="0.3">
      <c r="A165" s="28">
        <v>45947</v>
      </c>
      <c r="B165" s="29" t="s">
        <v>21</v>
      </c>
      <c r="C165" s="29">
        <v>982</v>
      </c>
      <c r="D165" s="29" t="s">
        <v>87</v>
      </c>
      <c r="E165" s="11">
        <v>1817</v>
      </c>
      <c r="F165" s="11">
        <v>10021</v>
      </c>
      <c r="G165" s="11">
        <v>6435</v>
      </c>
      <c r="H165" s="32">
        <f>_xlfn.XLOOKUP(Table1[[#This Row],[Shipment Number]], 'pivot '!A:A,'pivot '!G:G, "NF")</f>
        <v>24.472798783126024</v>
      </c>
      <c r="I165" s="32">
        <f>IF(Table1[[#This Row],[Shipment Number]]="RD",0,Table1[[#This Row],[Tiyaar/gaz]]/1.0936)</f>
        <v>5884.2355523043161</v>
      </c>
      <c r="J165" s="32" cm="1">
        <f t="array" ref="J16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70610.826627651797</v>
      </c>
      <c r="K165" s="29"/>
    </row>
    <row r="166" spans="1:11" x14ac:dyDescent="0.3">
      <c r="A166" s="28">
        <v>45947</v>
      </c>
      <c r="B166" s="29" t="s">
        <v>21</v>
      </c>
      <c r="C166" s="29">
        <v>983</v>
      </c>
      <c r="D166" s="29" t="s">
        <v>87</v>
      </c>
      <c r="E166" s="11">
        <v>1817</v>
      </c>
      <c r="F166" s="11">
        <v>10021</v>
      </c>
      <c r="G166" s="11">
        <v>1842</v>
      </c>
      <c r="H166" s="32">
        <f>_xlfn.XLOOKUP(Table1[[#This Row],[Shipment Number]], 'pivot '!A:A,'pivot '!G:G, "NF")</f>
        <v>24.472798783126024</v>
      </c>
      <c r="I166" s="32">
        <f>IF(Table1[[#This Row],[Shipment Number]]="RD",0,Table1[[#This Row],[Tiyaar/gaz]]/1.0936)</f>
        <v>1684.3452816386248</v>
      </c>
      <c r="J166" s="32" cm="1">
        <f t="array" ref="J16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20212.143379663496</v>
      </c>
      <c r="K166" s="29"/>
    </row>
    <row r="167" spans="1:11" x14ac:dyDescent="0.3">
      <c r="A167" s="28">
        <v>45947</v>
      </c>
      <c r="B167" s="29" t="s">
        <v>21</v>
      </c>
      <c r="C167" s="29">
        <v>984</v>
      </c>
      <c r="D167" s="29" t="s">
        <v>87</v>
      </c>
      <c r="E167" s="11">
        <v>1818</v>
      </c>
      <c r="F167" s="11">
        <v>15182</v>
      </c>
      <c r="G167" s="11">
        <v>8613</v>
      </c>
      <c r="H167" s="32">
        <f>_xlfn.XLOOKUP(Table1[[#This Row],[Shipment Number]], 'pivot '!A:A,'pivot '!G:G, "NF")</f>
        <v>48.123943024586247</v>
      </c>
      <c r="I167" s="32">
        <f>IF(Table1[[#This Row],[Shipment Number]]="RD",0,Table1[[#This Row],[Tiyaar/gaz]]/1.0936)</f>
        <v>7875.8229700073161</v>
      </c>
      <c r="J167" s="32" cm="1">
        <f t="array" ref="J16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94509.87564008779</v>
      </c>
      <c r="K167" s="29"/>
    </row>
    <row r="168" spans="1:11" x14ac:dyDescent="0.3">
      <c r="A168"/>
      <c r="B168"/>
      <c r="C168"/>
      <c r="D168"/>
      <c r="E168" s="14"/>
      <c r="F168" s="14"/>
      <c r="G168" s="14"/>
      <c r="H168" s="50"/>
      <c r="I168" s="117" cm="1">
        <f t="array" aca="1" ref="I168" ca="1">SUMPRODUCT( SUBTOTAL(109, OFFSET(Table1[tiyar/meters], ROW(Table1[tiyar/meters])-MIN(ROW(Table1[tiyar/meters])), 0, 1)), --(Table1[Bill Number]&lt;&gt;"August Closing CF") )</f>
        <v>1849934.1623994154</v>
      </c>
      <c r="J168" s="50" cm="1">
        <f t="array" aca="1" ref="J168" ca="1">SUMPRODUCT( SUBTOTAL(109, OFFSET(Table1[billing], ROW(Table1[billing])-MIN(ROW(Table1[billing])), 0, 1)), --(Table1[Bill Number]&lt;&gt;"August Closing CF") )</f>
        <v>19063943.855157278</v>
      </c>
      <c r="K168" s="14">
        <f>SUMIFS(Table1[billing], Table1[Bill Number], "&lt;&gt;August Closing CF")</f>
        <v>19063943.855157278</v>
      </c>
    </row>
    <row r="195" spans="4:11" x14ac:dyDescent="0.3">
      <c r="D195" s="3" t="s">
        <v>2</v>
      </c>
      <c r="E195" t="s">
        <v>88</v>
      </c>
    </row>
    <row r="196" spans="4:11" x14ac:dyDescent="0.3">
      <c r="D196" s="3" t="s">
        <v>75</v>
      </c>
      <c r="E196" t="s">
        <v>88</v>
      </c>
    </row>
    <row r="197" spans="4:11" x14ac:dyDescent="0.3">
      <c r="D197" s="3" t="s">
        <v>79</v>
      </c>
      <c r="E197" t="s">
        <v>88</v>
      </c>
    </row>
    <row r="199" spans="4:11" x14ac:dyDescent="0.3">
      <c r="D199" s="3" t="s">
        <v>6</v>
      </c>
      <c r="E199" t="s">
        <v>89</v>
      </c>
      <c r="F199" t="s">
        <v>90</v>
      </c>
      <c r="G199" t="s">
        <v>91</v>
      </c>
      <c r="I199" s="3" t="s">
        <v>6</v>
      </c>
      <c r="J199" t="s">
        <v>90</v>
      </c>
      <c r="K199" t="s">
        <v>91</v>
      </c>
    </row>
    <row r="200" spans="4:11" x14ac:dyDescent="0.3">
      <c r="D200" s="16" t="s">
        <v>161</v>
      </c>
      <c r="E200"/>
      <c r="F200" s="33">
        <v>2397934.3452816382</v>
      </c>
      <c r="G200">
        <v>24159091.119458668</v>
      </c>
      <c r="I200" s="27">
        <v>45916</v>
      </c>
      <c r="J200" s="50">
        <v>2397934.3452816382</v>
      </c>
      <c r="K200" s="14">
        <v>24159091.119458668</v>
      </c>
    </row>
    <row r="201" spans="4:11" x14ac:dyDescent="0.3">
      <c r="D201" s="16">
        <v>835</v>
      </c>
      <c r="E201">
        <v>19968</v>
      </c>
      <c r="F201" s="33">
        <v>18258.961228968546</v>
      </c>
      <c r="G201">
        <v>182589.61228968546</v>
      </c>
      <c r="I201" s="27">
        <v>45917</v>
      </c>
      <c r="J201" s="50">
        <v>82800.841258229702</v>
      </c>
      <c r="K201" s="14">
        <v>925892.46525237756</v>
      </c>
    </row>
    <row r="202" spans="4:11" x14ac:dyDescent="0.3">
      <c r="D202" s="16">
        <v>836</v>
      </c>
      <c r="E202">
        <v>28988</v>
      </c>
      <c r="F202" s="33">
        <v>26506.949524506221</v>
      </c>
      <c r="G202">
        <v>318083.39429407462</v>
      </c>
      <c r="I202" s="27">
        <v>45918</v>
      </c>
      <c r="J202" s="50">
        <v>34217.264081931236</v>
      </c>
      <c r="K202" s="14">
        <v>342172.64081931236</v>
      </c>
    </row>
    <row r="203" spans="4:11" x14ac:dyDescent="0.3">
      <c r="D203" s="16">
        <v>837</v>
      </c>
      <c r="E203">
        <v>3979</v>
      </c>
      <c r="F203" s="33">
        <v>3638.4418434528166</v>
      </c>
      <c r="G203">
        <v>43661.3021214338</v>
      </c>
      <c r="I203" s="27">
        <v>45919</v>
      </c>
      <c r="J203" s="50">
        <v>28451.901975128021</v>
      </c>
      <c r="K203" s="14">
        <v>284519.0197512802</v>
      </c>
    </row>
    <row r="204" spans="4:11" x14ac:dyDescent="0.3">
      <c r="D204" s="16">
        <v>838</v>
      </c>
      <c r="E204">
        <v>6476</v>
      </c>
      <c r="F204" s="33">
        <v>5921.7264081931244</v>
      </c>
      <c r="G204">
        <v>71060.716898317492</v>
      </c>
      <c r="I204" s="27">
        <v>45920</v>
      </c>
      <c r="J204" s="50">
        <v>59877.468910021955</v>
      </c>
      <c r="K204" s="14">
        <v>598774.68910021952</v>
      </c>
    </row>
    <row r="205" spans="4:11" x14ac:dyDescent="0.3">
      <c r="D205" s="16">
        <v>839</v>
      </c>
      <c r="E205">
        <v>10952</v>
      </c>
      <c r="F205" s="33">
        <v>10014.630577907828</v>
      </c>
      <c r="G205">
        <v>120175.56693489394</v>
      </c>
      <c r="I205" s="27">
        <v>45922</v>
      </c>
      <c r="J205" s="50">
        <v>129489.75859546452</v>
      </c>
      <c r="K205" s="14">
        <v>1188917.3372348209</v>
      </c>
    </row>
    <row r="206" spans="4:11" x14ac:dyDescent="0.3">
      <c r="D206" s="16">
        <v>840</v>
      </c>
      <c r="E206">
        <v>3128</v>
      </c>
      <c r="F206" s="33">
        <v>2860.2779809802491</v>
      </c>
      <c r="G206">
        <v>34323.335771762991</v>
      </c>
      <c r="I206" s="27">
        <v>45923</v>
      </c>
      <c r="J206" s="50">
        <v>54385.515727871258</v>
      </c>
      <c r="K206" s="14">
        <v>533916.42282370164</v>
      </c>
    </row>
    <row r="207" spans="4:11" x14ac:dyDescent="0.3">
      <c r="D207" s="16">
        <v>841</v>
      </c>
      <c r="E207">
        <v>17060</v>
      </c>
      <c r="F207" s="33">
        <v>15599.853694220923</v>
      </c>
      <c r="G207">
        <v>155998.53694220923</v>
      </c>
      <c r="I207" s="27">
        <v>45924</v>
      </c>
      <c r="J207" s="50">
        <v>100605.34016093636</v>
      </c>
      <c r="K207" s="14">
        <v>1207264.0819312364</v>
      </c>
    </row>
    <row r="208" spans="4:11" x14ac:dyDescent="0.3">
      <c r="D208" s="16">
        <v>842</v>
      </c>
      <c r="E208"/>
      <c r="F208" s="33">
        <v>0</v>
      </c>
      <c r="G208">
        <v>0</v>
      </c>
      <c r="I208" s="27">
        <v>45925</v>
      </c>
      <c r="J208" s="50">
        <v>63347.659107534753</v>
      </c>
      <c r="K208" s="14">
        <v>698609.18068763718</v>
      </c>
    </row>
    <row r="209" spans="4:11" x14ac:dyDescent="0.3">
      <c r="D209" s="16">
        <v>843</v>
      </c>
      <c r="E209">
        <v>37420</v>
      </c>
      <c r="F209" s="33">
        <v>34217.264081931236</v>
      </c>
      <c r="G209">
        <v>342172.64081931236</v>
      </c>
      <c r="I209" s="27">
        <v>45926</v>
      </c>
      <c r="J209" s="50">
        <v>59054.498902706662</v>
      </c>
      <c r="K209" s="14">
        <v>590929.04169714719</v>
      </c>
    </row>
    <row r="210" spans="4:11" x14ac:dyDescent="0.3">
      <c r="D210" s="16">
        <v>844</v>
      </c>
      <c r="E210">
        <v>2641</v>
      </c>
      <c r="F210" s="33">
        <v>2414.9597659107535</v>
      </c>
      <c r="G210">
        <v>24149.597659107534</v>
      </c>
      <c r="I210" s="27">
        <v>45927</v>
      </c>
      <c r="J210" s="50">
        <v>83154.718361375286</v>
      </c>
      <c r="K210" s="14">
        <v>831547.18361375283</v>
      </c>
    </row>
    <row r="211" spans="4:11" x14ac:dyDescent="0.3">
      <c r="D211" s="16">
        <v>845</v>
      </c>
      <c r="E211"/>
      <c r="F211" s="33">
        <v>0</v>
      </c>
      <c r="G211">
        <v>0</v>
      </c>
      <c r="I211" s="27">
        <v>45929</v>
      </c>
      <c r="J211" s="50">
        <v>100475.49378200439</v>
      </c>
      <c r="K211" s="14">
        <v>1004754.937820044</v>
      </c>
    </row>
    <row r="212" spans="4:11" x14ac:dyDescent="0.3">
      <c r="D212" s="16">
        <v>846</v>
      </c>
      <c r="E212">
        <v>2190</v>
      </c>
      <c r="F212" s="33">
        <v>2002.56035113387</v>
      </c>
      <c r="G212">
        <v>20025.603511338701</v>
      </c>
      <c r="I212" s="27">
        <v>45930</v>
      </c>
      <c r="J212" s="50">
        <v>102428.67593269936</v>
      </c>
      <c r="K212" s="14">
        <v>1211093.63569861</v>
      </c>
    </row>
    <row r="213" spans="4:11" x14ac:dyDescent="0.3">
      <c r="D213" s="16">
        <v>847</v>
      </c>
      <c r="E213">
        <v>26284</v>
      </c>
      <c r="F213" s="33">
        <v>24034.381858083398</v>
      </c>
      <c r="G213">
        <v>240343.81858083396</v>
      </c>
      <c r="I213" s="27">
        <v>45931</v>
      </c>
      <c r="J213" s="50">
        <v>84868.324798829562</v>
      </c>
      <c r="K213" s="14">
        <v>838532.37015362107</v>
      </c>
    </row>
    <row r="214" spans="4:11" x14ac:dyDescent="0.3">
      <c r="D214" s="16">
        <v>848</v>
      </c>
      <c r="E214"/>
      <c r="F214" s="33">
        <v>0</v>
      </c>
      <c r="G214">
        <v>0</v>
      </c>
      <c r="I214" s="27">
        <v>45933</v>
      </c>
      <c r="J214" s="50">
        <v>78115.398683248</v>
      </c>
      <c r="K214" s="14">
        <v>773414.41111923929</v>
      </c>
    </row>
    <row r="215" spans="4:11" x14ac:dyDescent="0.3">
      <c r="D215" s="16">
        <v>849</v>
      </c>
      <c r="E215">
        <v>6883</v>
      </c>
      <c r="F215" s="33">
        <v>6293.8917337234825</v>
      </c>
      <c r="G215">
        <v>62938.917337234823</v>
      </c>
      <c r="I215" s="27">
        <v>45934</v>
      </c>
      <c r="J215" s="50">
        <v>74935.07681053401</v>
      </c>
      <c r="K215" s="14">
        <v>718790.2340892466</v>
      </c>
    </row>
    <row r="216" spans="4:11" x14ac:dyDescent="0.3">
      <c r="D216" s="16">
        <v>850</v>
      </c>
      <c r="E216"/>
      <c r="F216" s="33">
        <v>0</v>
      </c>
      <c r="G216">
        <v>0</v>
      </c>
      <c r="I216" s="27">
        <v>45936</v>
      </c>
      <c r="J216" s="50">
        <v>121983.35771762984</v>
      </c>
      <c r="K216" s="14">
        <v>1213147.4030724214</v>
      </c>
    </row>
    <row r="217" spans="4:11" x14ac:dyDescent="0.3">
      <c r="D217" s="16">
        <v>851</v>
      </c>
      <c r="E217"/>
      <c r="F217" s="33">
        <v>0</v>
      </c>
      <c r="G217">
        <v>0</v>
      </c>
      <c r="I217" s="27">
        <v>45937</v>
      </c>
      <c r="J217" s="50">
        <v>41912.948061448435</v>
      </c>
      <c r="K217" s="14">
        <v>419129.48061448429</v>
      </c>
    </row>
    <row r="218" spans="4:11" x14ac:dyDescent="0.3">
      <c r="D218" s="16">
        <v>852</v>
      </c>
      <c r="E218">
        <v>10423</v>
      </c>
      <c r="F218" s="33">
        <v>9530.9070958302855</v>
      </c>
      <c r="G218">
        <v>95309.070958302851</v>
      </c>
      <c r="I218" s="27">
        <v>45938</v>
      </c>
      <c r="J218" s="50">
        <v>118631.12655449891</v>
      </c>
      <c r="K218" s="14">
        <v>1186311.2655449891</v>
      </c>
    </row>
    <row r="219" spans="4:11" x14ac:dyDescent="0.3">
      <c r="D219" s="16">
        <v>853</v>
      </c>
      <c r="E219">
        <v>22769</v>
      </c>
      <c r="F219" s="33">
        <v>20820.226773957573</v>
      </c>
      <c r="G219">
        <v>208202.26773957573</v>
      </c>
      <c r="I219" s="27">
        <v>45944</v>
      </c>
      <c r="J219" s="50">
        <v>306778.5296269203</v>
      </c>
      <c r="K219" s="14">
        <v>3021794.9890270662</v>
      </c>
    </row>
    <row r="220" spans="4:11" x14ac:dyDescent="0.3">
      <c r="D220" s="16">
        <v>854</v>
      </c>
      <c r="E220">
        <v>25407</v>
      </c>
      <c r="F220" s="33">
        <v>23232.44330651061</v>
      </c>
      <c r="G220">
        <v>232324.4330651061</v>
      </c>
      <c r="I220" s="27">
        <v>45945</v>
      </c>
      <c r="J220" s="50">
        <v>60493.782004389177</v>
      </c>
      <c r="K220" s="14">
        <v>710466.34967081214</v>
      </c>
    </row>
    <row r="221" spans="4:11" x14ac:dyDescent="0.3">
      <c r="D221" s="16">
        <v>855</v>
      </c>
      <c r="E221"/>
      <c r="F221" s="33">
        <v>0</v>
      </c>
      <c r="G221">
        <v>0</v>
      </c>
      <c r="I221" s="27">
        <v>45946</v>
      </c>
      <c r="J221" s="50">
        <v>27624.359912216536</v>
      </c>
      <c r="K221" s="14">
        <v>328341.25822970015</v>
      </c>
    </row>
    <row r="222" spans="4:11" x14ac:dyDescent="0.3">
      <c r="D222" s="16">
        <v>856</v>
      </c>
      <c r="E222">
        <v>25710</v>
      </c>
      <c r="F222" s="33">
        <v>23509.509875640091</v>
      </c>
      <c r="G222">
        <v>235095.09875640093</v>
      </c>
      <c r="I222" s="27">
        <v>45947</v>
      </c>
      <c r="J222" s="50">
        <v>36302.121433796638</v>
      </c>
      <c r="K222" s="14">
        <v>435625.45720555959</v>
      </c>
    </row>
    <row r="223" spans="4:11" x14ac:dyDescent="0.3">
      <c r="D223" s="16">
        <v>857</v>
      </c>
      <c r="E223">
        <v>18018</v>
      </c>
      <c r="F223" s="33">
        <v>16475.859546452088</v>
      </c>
      <c r="G223">
        <v>148282.73591806879</v>
      </c>
      <c r="I223" s="27" t="s">
        <v>28</v>
      </c>
      <c r="J223" s="50">
        <v>4247868.5076810531</v>
      </c>
      <c r="K223" s="14">
        <v>43223034.974615946</v>
      </c>
    </row>
    <row r="224" spans="4:11" x14ac:dyDescent="0.3">
      <c r="D224" s="16">
        <v>858</v>
      </c>
      <c r="E224">
        <v>52061</v>
      </c>
      <c r="F224" s="33">
        <v>47605.157278712511</v>
      </c>
      <c r="G224">
        <v>428446.41550841258</v>
      </c>
      <c r="I224"/>
      <c r="J224"/>
      <c r="K224"/>
    </row>
    <row r="225" spans="4:11" x14ac:dyDescent="0.3">
      <c r="D225" s="16">
        <v>859</v>
      </c>
      <c r="E225">
        <v>45821</v>
      </c>
      <c r="F225" s="33">
        <v>41899.231894659846</v>
      </c>
      <c r="G225">
        <v>377093.08705193864</v>
      </c>
      <c r="I225"/>
      <c r="J225"/>
      <c r="K225"/>
    </row>
    <row r="226" spans="4:11" x14ac:dyDescent="0.3">
      <c r="D226" s="16">
        <v>860</v>
      </c>
      <c r="E226">
        <v>41491</v>
      </c>
      <c r="F226" s="33">
        <v>37939.831748354067</v>
      </c>
      <c r="G226">
        <v>379398.31748354068</v>
      </c>
    </row>
    <row r="227" spans="4:11" x14ac:dyDescent="0.3">
      <c r="D227" s="16">
        <v>861</v>
      </c>
      <c r="E227">
        <v>7116</v>
      </c>
      <c r="F227" s="33">
        <v>6506.9495245062189</v>
      </c>
      <c r="G227">
        <v>65069.495245062193</v>
      </c>
    </row>
    <row r="228" spans="4:11" x14ac:dyDescent="0.3">
      <c r="D228" s="16">
        <v>862</v>
      </c>
      <c r="E228"/>
      <c r="F228" s="33">
        <v>0</v>
      </c>
      <c r="G228">
        <v>0</v>
      </c>
    </row>
    <row r="229" spans="4:11" x14ac:dyDescent="0.3">
      <c r="D229" s="16">
        <v>863</v>
      </c>
      <c r="E229">
        <v>10869</v>
      </c>
      <c r="F229" s="33">
        <v>9938.7344550109738</v>
      </c>
      <c r="G229">
        <v>89448.61009509876</v>
      </c>
    </row>
    <row r="230" spans="4:11" x14ac:dyDescent="0.3">
      <c r="D230" s="16">
        <v>864</v>
      </c>
      <c r="E230">
        <v>35692</v>
      </c>
      <c r="F230" s="33">
        <v>32637.161667885885</v>
      </c>
      <c r="G230">
        <v>391645.94001463061</v>
      </c>
    </row>
    <row r="231" spans="4:11" x14ac:dyDescent="0.3">
      <c r="D231" s="16">
        <v>865</v>
      </c>
      <c r="E231">
        <v>28089</v>
      </c>
      <c r="F231" s="33">
        <v>25684.893928310172</v>
      </c>
      <c r="G231">
        <v>308218.72713972209</v>
      </c>
    </row>
    <row r="232" spans="4:11" x14ac:dyDescent="0.3">
      <c r="D232" s="16">
        <v>866</v>
      </c>
      <c r="E232">
        <v>14996</v>
      </c>
      <c r="F232" s="33">
        <v>13712.509144111194</v>
      </c>
      <c r="G232">
        <v>164550.10972933433</v>
      </c>
    </row>
    <row r="233" spans="4:11" x14ac:dyDescent="0.3">
      <c r="D233" s="16">
        <v>867</v>
      </c>
      <c r="E233">
        <v>13485</v>
      </c>
      <c r="F233" s="33">
        <v>12330.833942940748</v>
      </c>
      <c r="G233">
        <v>147970.00731528897</v>
      </c>
    </row>
    <row r="234" spans="4:11" x14ac:dyDescent="0.3">
      <c r="D234" s="16">
        <v>868</v>
      </c>
      <c r="E234">
        <v>15066</v>
      </c>
      <c r="F234" s="33">
        <v>13776.517922457939</v>
      </c>
      <c r="G234">
        <v>165318.21506949526</v>
      </c>
    </row>
    <row r="235" spans="4:11" x14ac:dyDescent="0.3">
      <c r="D235" s="16">
        <v>869</v>
      </c>
      <c r="E235">
        <v>2694</v>
      </c>
      <c r="F235" s="33">
        <v>2463.4235552304317</v>
      </c>
      <c r="G235">
        <v>29561.08266276518</v>
      </c>
    </row>
    <row r="236" spans="4:11" x14ac:dyDescent="0.3">
      <c r="D236" s="16">
        <v>870</v>
      </c>
      <c r="E236">
        <v>32937</v>
      </c>
      <c r="F236" s="33">
        <v>30117.95903438186</v>
      </c>
      <c r="G236">
        <v>361415.50841258233</v>
      </c>
    </row>
    <row r="237" spans="4:11" x14ac:dyDescent="0.3">
      <c r="D237" s="16">
        <v>871</v>
      </c>
      <c r="E237">
        <v>25630</v>
      </c>
      <c r="F237" s="33">
        <v>23436.356986100953</v>
      </c>
      <c r="G237">
        <v>234363.56986100954</v>
      </c>
    </row>
    <row r="238" spans="4:11" x14ac:dyDescent="0.3">
      <c r="D238" s="16">
        <v>872</v>
      </c>
      <c r="E238">
        <v>10710</v>
      </c>
      <c r="F238" s="33">
        <v>9793.3430870519387</v>
      </c>
      <c r="G238">
        <v>102830.10241404535</v>
      </c>
    </row>
    <row r="239" spans="4:11" x14ac:dyDescent="0.3">
      <c r="D239" s="16">
        <v>873</v>
      </c>
      <c r="E239">
        <v>10161</v>
      </c>
      <c r="F239" s="33">
        <v>9291.331382589613</v>
      </c>
      <c r="G239">
        <v>92913.313825896126</v>
      </c>
    </row>
    <row r="240" spans="4:11" x14ac:dyDescent="0.3">
      <c r="D240" s="16">
        <v>874</v>
      </c>
      <c r="E240">
        <v>20984</v>
      </c>
      <c r="F240" s="33">
        <v>19188.002926115583</v>
      </c>
      <c r="G240">
        <v>191880.02926115584</v>
      </c>
    </row>
    <row r="241" spans="4:7" x14ac:dyDescent="0.3">
      <c r="D241" s="16">
        <v>875</v>
      </c>
      <c r="E241">
        <v>13939</v>
      </c>
      <c r="F241" s="33">
        <v>12745.976591075349</v>
      </c>
      <c r="G241">
        <v>127459.76591075349</v>
      </c>
    </row>
    <row r="242" spans="4:7" x14ac:dyDescent="0.3">
      <c r="D242" s="16">
        <v>876</v>
      </c>
      <c r="E242">
        <v>210</v>
      </c>
      <c r="F242" s="33">
        <v>192.0263350402341</v>
      </c>
      <c r="G242">
        <v>2304.3160204828091</v>
      </c>
    </row>
    <row r="243" spans="4:7" x14ac:dyDescent="0.3">
      <c r="D243" s="16">
        <v>877</v>
      </c>
      <c r="E243">
        <v>19288</v>
      </c>
      <c r="F243" s="33">
        <v>17637.161667885885</v>
      </c>
      <c r="G243">
        <v>176371.61667885885</v>
      </c>
    </row>
    <row r="244" spans="4:7" x14ac:dyDescent="0.3">
      <c r="D244" s="16">
        <v>878</v>
      </c>
      <c r="E244">
        <v>12510</v>
      </c>
      <c r="F244" s="33">
        <v>11439.283101682517</v>
      </c>
      <c r="G244">
        <v>114392.83101682516</v>
      </c>
    </row>
    <row r="245" spans="4:7" x14ac:dyDescent="0.3">
      <c r="D245" s="16">
        <v>879</v>
      </c>
      <c r="E245">
        <v>16471</v>
      </c>
      <c r="F245" s="33">
        <v>15061.265544989028</v>
      </c>
      <c r="G245">
        <v>150612.65544989027</v>
      </c>
    </row>
    <row r="246" spans="4:7" x14ac:dyDescent="0.3">
      <c r="D246" s="16">
        <v>880</v>
      </c>
      <c r="E246">
        <v>11222</v>
      </c>
      <c r="F246" s="33">
        <v>10261.521580102415</v>
      </c>
      <c r="G246">
        <v>102615.21580102415</v>
      </c>
    </row>
    <row r="247" spans="4:7" x14ac:dyDescent="0.3">
      <c r="D247" s="16">
        <v>881</v>
      </c>
      <c r="E247">
        <v>15796</v>
      </c>
      <c r="F247" s="33">
        <v>14444.038039502562</v>
      </c>
      <c r="G247">
        <v>144440.38039502563</v>
      </c>
    </row>
    <row r="248" spans="4:7" x14ac:dyDescent="0.3">
      <c r="D248" s="16">
        <v>882</v>
      </c>
      <c r="E248">
        <v>17234</v>
      </c>
      <c r="F248" s="33">
        <v>15758.961228968546</v>
      </c>
      <c r="G248">
        <v>157589.61228968546</v>
      </c>
    </row>
    <row r="249" spans="4:7" x14ac:dyDescent="0.3">
      <c r="D249" s="16">
        <v>883</v>
      </c>
      <c r="E249">
        <v>13257</v>
      </c>
      <c r="F249" s="33">
        <v>12122.348207754207</v>
      </c>
      <c r="G249">
        <v>121223.48207754207</v>
      </c>
    </row>
    <row r="250" spans="4:7" x14ac:dyDescent="0.3">
      <c r="D250" s="16">
        <v>884</v>
      </c>
      <c r="E250">
        <v>4448</v>
      </c>
      <c r="F250" s="33">
        <v>4067.3006583760061</v>
      </c>
      <c r="G250">
        <v>40673.006583760063</v>
      </c>
    </row>
    <row r="251" spans="4:7" x14ac:dyDescent="0.3">
      <c r="D251" s="16">
        <v>885</v>
      </c>
      <c r="E251">
        <v>1850</v>
      </c>
      <c r="F251" s="33">
        <v>1691.6605705925385</v>
      </c>
      <c r="G251">
        <v>16916.605705925387</v>
      </c>
    </row>
    <row r="252" spans="4:7" x14ac:dyDescent="0.3">
      <c r="D252" s="16">
        <v>886</v>
      </c>
      <c r="E252">
        <v>12863</v>
      </c>
      <c r="F252" s="33">
        <v>11762.070226773958</v>
      </c>
      <c r="G252">
        <v>117620.70226773957</v>
      </c>
    </row>
    <row r="253" spans="4:7" x14ac:dyDescent="0.3">
      <c r="D253" s="16">
        <v>887</v>
      </c>
      <c r="E253">
        <v>4262</v>
      </c>
      <c r="F253" s="33">
        <v>3897.2201901975131</v>
      </c>
      <c r="G253">
        <v>38972.201901975131</v>
      </c>
    </row>
    <row r="254" spans="4:7" x14ac:dyDescent="0.3">
      <c r="D254" s="16">
        <v>888</v>
      </c>
      <c r="E254">
        <v>4440</v>
      </c>
      <c r="F254" s="33">
        <v>4059.9853694220924</v>
      </c>
      <c r="G254">
        <v>40599.853694220925</v>
      </c>
    </row>
    <row r="255" spans="4:7" x14ac:dyDescent="0.3">
      <c r="D255" s="16">
        <v>889</v>
      </c>
      <c r="E255">
        <v>16998</v>
      </c>
      <c r="F255" s="33">
        <v>15543.160204828093</v>
      </c>
      <c r="G255">
        <v>155431.60204828094</v>
      </c>
    </row>
    <row r="256" spans="4:7" x14ac:dyDescent="0.3">
      <c r="D256" s="16">
        <v>890</v>
      </c>
      <c r="E256">
        <v>15007</v>
      </c>
      <c r="F256" s="33">
        <v>13722.567666422825</v>
      </c>
      <c r="G256">
        <v>137225.67666422826</v>
      </c>
    </row>
    <row r="257" spans="4:7" x14ac:dyDescent="0.3">
      <c r="D257" s="16">
        <v>891</v>
      </c>
      <c r="E257">
        <v>36453</v>
      </c>
      <c r="F257" s="33">
        <v>33333.028529626921</v>
      </c>
      <c r="G257">
        <v>333330.28529626923</v>
      </c>
    </row>
    <row r="258" spans="4:7" x14ac:dyDescent="0.3">
      <c r="D258" s="16">
        <v>892</v>
      </c>
      <c r="E258">
        <v>18007</v>
      </c>
      <c r="F258" s="33">
        <v>16465.801024140455</v>
      </c>
      <c r="G258">
        <v>164658.01024140455</v>
      </c>
    </row>
    <row r="259" spans="4:7" x14ac:dyDescent="0.3">
      <c r="D259" s="16">
        <v>893</v>
      </c>
      <c r="E259">
        <v>19462</v>
      </c>
      <c r="F259" s="33">
        <v>17796.269202633506</v>
      </c>
      <c r="G259">
        <v>213555.23043160207</v>
      </c>
    </row>
    <row r="260" spans="4:7" x14ac:dyDescent="0.3">
      <c r="D260" s="16">
        <v>894</v>
      </c>
      <c r="E260">
        <v>2846</v>
      </c>
      <c r="F260" s="33">
        <v>2602.4140453547916</v>
      </c>
      <c r="G260">
        <v>31228.968544257499</v>
      </c>
    </row>
    <row r="261" spans="4:7" x14ac:dyDescent="0.3">
      <c r="D261" s="16">
        <v>895</v>
      </c>
      <c r="E261">
        <v>8529</v>
      </c>
      <c r="F261" s="33">
        <v>7799.0124359912224</v>
      </c>
      <c r="G261">
        <v>93588.149231894669</v>
      </c>
    </row>
    <row r="262" spans="4:7" x14ac:dyDescent="0.3">
      <c r="D262" s="16">
        <v>896</v>
      </c>
      <c r="E262">
        <v>13770</v>
      </c>
      <c r="F262" s="33">
        <v>12591.441111923921</v>
      </c>
      <c r="G262">
        <v>151097.29334308705</v>
      </c>
    </row>
    <row r="263" spans="4:7" x14ac:dyDescent="0.3">
      <c r="D263" s="16">
        <v>897</v>
      </c>
      <c r="E263">
        <v>9238</v>
      </c>
      <c r="F263" s="33">
        <v>8447.3299195318214</v>
      </c>
      <c r="G263">
        <v>101367.95903438186</v>
      </c>
    </row>
    <row r="264" spans="4:7" x14ac:dyDescent="0.3">
      <c r="D264" s="16">
        <v>898</v>
      </c>
      <c r="E264">
        <v>6756</v>
      </c>
      <c r="F264" s="33">
        <v>6177.7615215801034</v>
      </c>
      <c r="G264">
        <v>74133.138258961233</v>
      </c>
    </row>
    <row r="265" spans="4:7" x14ac:dyDescent="0.3">
      <c r="D265" s="16" t="s">
        <v>288</v>
      </c>
      <c r="E265">
        <v>3124</v>
      </c>
      <c r="F265" s="33">
        <v>2856.620336503292</v>
      </c>
      <c r="G265">
        <v>34279.444038039503</v>
      </c>
    </row>
    <row r="266" spans="4:7" x14ac:dyDescent="0.3">
      <c r="D266" s="16" t="s">
        <v>289</v>
      </c>
      <c r="E266">
        <v>1928</v>
      </c>
      <c r="F266" s="33">
        <v>1762.984637893197</v>
      </c>
      <c r="G266">
        <v>21155.815654718364</v>
      </c>
    </row>
    <row r="267" spans="4:7" x14ac:dyDescent="0.3">
      <c r="D267" s="16" t="s">
        <v>290</v>
      </c>
      <c r="E267">
        <v>2578</v>
      </c>
      <c r="F267" s="33">
        <v>2357.3518653986835</v>
      </c>
      <c r="G267">
        <v>28288.222384784203</v>
      </c>
    </row>
    <row r="268" spans="4:7" x14ac:dyDescent="0.3">
      <c r="D268" s="16" t="s">
        <v>291</v>
      </c>
      <c r="E268">
        <v>4162</v>
      </c>
      <c r="F268" s="33">
        <v>3805.7790782735919</v>
      </c>
      <c r="G268">
        <v>45669.348939283103</v>
      </c>
    </row>
    <row r="269" spans="4:7" x14ac:dyDescent="0.3">
      <c r="D269" s="16" t="s">
        <v>292</v>
      </c>
      <c r="E269">
        <v>1384</v>
      </c>
      <c r="F269" s="33">
        <v>1265.5449890270668</v>
      </c>
      <c r="G269">
        <v>15186.539868324802</v>
      </c>
    </row>
    <row r="270" spans="4:7" x14ac:dyDescent="0.3">
      <c r="D270" s="16">
        <v>901</v>
      </c>
      <c r="E270">
        <v>15367</v>
      </c>
      <c r="F270" s="33">
        <v>14051.755669348941</v>
      </c>
      <c r="G270">
        <v>168621.06803218729</v>
      </c>
    </row>
    <row r="271" spans="4:7" x14ac:dyDescent="0.3">
      <c r="D271" s="16">
        <v>902</v>
      </c>
      <c r="E271"/>
      <c r="F271" s="33">
        <v>0</v>
      </c>
      <c r="G271"/>
    </row>
    <row r="272" spans="4:7" x14ac:dyDescent="0.3">
      <c r="D272" s="16">
        <v>903</v>
      </c>
      <c r="E272">
        <v>8722</v>
      </c>
      <c r="F272" s="33">
        <v>7975.4937820043897</v>
      </c>
      <c r="G272">
        <v>95705.92538405268</v>
      </c>
    </row>
    <row r="273" spans="4:7" x14ac:dyDescent="0.3">
      <c r="D273" s="16">
        <v>904</v>
      </c>
      <c r="E273">
        <v>7570</v>
      </c>
      <c r="F273" s="33">
        <v>6922.0921726408196</v>
      </c>
      <c r="G273">
        <v>83065.106071689836</v>
      </c>
    </row>
    <row r="274" spans="4:7" x14ac:dyDescent="0.3">
      <c r="D274" s="16">
        <v>905</v>
      </c>
      <c r="E274">
        <v>6580</v>
      </c>
      <c r="F274" s="33">
        <v>6016.8251645940018</v>
      </c>
      <c r="G274">
        <v>54151.426481346018</v>
      </c>
    </row>
    <row r="275" spans="4:7" x14ac:dyDescent="0.3">
      <c r="D275" s="16">
        <v>906</v>
      </c>
      <c r="E275">
        <v>4202</v>
      </c>
      <c r="F275" s="33">
        <v>3842.3555230431607</v>
      </c>
      <c r="G275">
        <v>40344.732991953184</v>
      </c>
    </row>
    <row r="276" spans="4:7" x14ac:dyDescent="0.3">
      <c r="D276" s="16">
        <v>907</v>
      </c>
      <c r="E276">
        <v>12967</v>
      </c>
      <c r="F276" s="33">
        <v>11857.168983174837</v>
      </c>
      <c r="G276">
        <v>118571.68983174837</v>
      </c>
    </row>
    <row r="277" spans="4:7" x14ac:dyDescent="0.3">
      <c r="D277" s="16">
        <v>908</v>
      </c>
      <c r="E277">
        <v>15228</v>
      </c>
      <c r="F277" s="33">
        <v>13924.65252377469</v>
      </c>
      <c r="G277">
        <v>139246.52523774689</v>
      </c>
    </row>
    <row r="278" spans="4:7" x14ac:dyDescent="0.3">
      <c r="D278" s="16">
        <v>909</v>
      </c>
      <c r="E278">
        <v>16294</v>
      </c>
      <c r="F278" s="33">
        <v>14899.414776883688</v>
      </c>
      <c r="G278">
        <v>148994.14776883688</v>
      </c>
    </row>
    <row r="279" spans="4:7" x14ac:dyDescent="0.3">
      <c r="D279" s="16">
        <v>910</v>
      </c>
      <c r="E279">
        <v>13202</v>
      </c>
      <c r="F279" s="33">
        <v>12072.055596196051</v>
      </c>
      <c r="G279">
        <v>108648.50036576446</v>
      </c>
    </row>
    <row r="280" spans="4:7" x14ac:dyDescent="0.3">
      <c r="D280" s="16">
        <v>911</v>
      </c>
      <c r="E280">
        <v>4484</v>
      </c>
      <c r="F280" s="33">
        <v>4100.2194586686173</v>
      </c>
      <c r="G280">
        <v>41002.194586686172</v>
      </c>
    </row>
    <row r="281" spans="4:7" x14ac:dyDescent="0.3">
      <c r="D281" s="16">
        <v>912</v>
      </c>
      <c r="E281">
        <v>12094</v>
      </c>
      <c r="F281" s="33">
        <v>11058.888076079005</v>
      </c>
      <c r="G281">
        <v>110588.88076079005</v>
      </c>
    </row>
    <row r="282" spans="4:7" x14ac:dyDescent="0.3">
      <c r="D282" s="16">
        <v>913</v>
      </c>
      <c r="E282">
        <v>11836</v>
      </c>
      <c r="F282" s="33">
        <v>10822.970007315291</v>
      </c>
      <c r="G282">
        <v>108229.70007315291</v>
      </c>
    </row>
    <row r="283" spans="4:7" x14ac:dyDescent="0.3">
      <c r="D283" s="16">
        <v>914</v>
      </c>
      <c r="E283">
        <v>2505</v>
      </c>
      <c r="F283" s="33">
        <v>2290.5998536942211</v>
      </c>
      <c r="G283">
        <v>22905.99853694221</v>
      </c>
    </row>
    <row r="284" spans="4:7" x14ac:dyDescent="0.3">
      <c r="D284" s="16">
        <v>915</v>
      </c>
      <c r="E284">
        <v>8464</v>
      </c>
      <c r="F284" s="33">
        <v>7739.5757132406734</v>
      </c>
      <c r="G284">
        <v>69656.181419166067</v>
      </c>
    </row>
    <row r="285" spans="4:7" x14ac:dyDescent="0.3">
      <c r="D285" s="16">
        <v>916</v>
      </c>
      <c r="E285">
        <v>27378</v>
      </c>
      <c r="F285" s="33">
        <v>25034.747622531093</v>
      </c>
      <c r="G285">
        <v>250347.47622531094</v>
      </c>
    </row>
    <row r="286" spans="4:7" x14ac:dyDescent="0.3">
      <c r="D286" s="16">
        <v>917</v>
      </c>
      <c r="E286">
        <v>2122</v>
      </c>
      <c r="F286" s="33">
        <v>1940.3803950256038</v>
      </c>
      <c r="G286">
        <v>19403.803950256039</v>
      </c>
    </row>
    <row r="287" spans="4:7" x14ac:dyDescent="0.3">
      <c r="D287" s="16">
        <v>918</v>
      </c>
      <c r="E287">
        <v>5121</v>
      </c>
      <c r="F287" s="33">
        <v>4682.6993416239948</v>
      </c>
      <c r="G287">
        <v>46826.993416239944</v>
      </c>
    </row>
    <row r="288" spans="4:7" x14ac:dyDescent="0.3">
      <c r="D288" s="16">
        <v>919</v>
      </c>
      <c r="E288">
        <v>40366</v>
      </c>
      <c r="F288" s="33">
        <v>36911.119239209955</v>
      </c>
      <c r="G288">
        <v>369111.19239209953</v>
      </c>
    </row>
    <row r="289" spans="4:7" x14ac:dyDescent="0.3">
      <c r="D289" s="16">
        <v>920</v>
      </c>
      <c r="E289">
        <v>1976</v>
      </c>
      <c r="F289" s="33">
        <v>1806.8763716166791</v>
      </c>
      <c r="G289">
        <v>18068.763716166792</v>
      </c>
    </row>
    <row r="290" spans="4:7" x14ac:dyDescent="0.3">
      <c r="D290" s="16">
        <v>921</v>
      </c>
      <c r="E290">
        <v>15019</v>
      </c>
      <c r="F290" s="33">
        <v>13733.540599853695</v>
      </c>
      <c r="G290">
        <v>137335.40599853697</v>
      </c>
    </row>
    <row r="291" spans="4:7" x14ac:dyDescent="0.3">
      <c r="D291" s="16">
        <v>922</v>
      </c>
      <c r="E291">
        <v>13539</v>
      </c>
      <c r="F291" s="33">
        <v>12380.212143379664</v>
      </c>
      <c r="G291">
        <v>123802.12143379664</v>
      </c>
    </row>
    <row r="292" spans="4:7" x14ac:dyDescent="0.3">
      <c r="D292" s="16">
        <v>923</v>
      </c>
      <c r="E292">
        <v>13390</v>
      </c>
      <c r="F292" s="33">
        <v>12243.964886613023</v>
      </c>
      <c r="G292">
        <v>122439.64886613023</v>
      </c>
    </row>
    <row r="293" spans="4:7" x14ac:dyDescent="0.3">
      <c r="D293" s="16">
        <v>924</v>
      </c>
      <c r="E293">
        <v>1718</v>
      </c>
      <c r="F293" s="33">
        <v>1570.9583028529628</v>
      </c>
      <c r="G293">
        <v>14138.624725676666</v>
      </c>
    </row>
    <row r="294" spans="4:7" x14ac:dyDescent="0.3">
      <c r="D294" s="16">
        <v>925</v>
      </c>
      <c r="E294">
        <v>4796</v>
      </c>
      <c r="F294" s="33">
        <v>4385.5157278712513</v>
      </c>
      <c r="G294">
        <v>39469.641550841261</v>
      </c>
    </row>
    <row r="295" spans="4:7" x14ac:dyDescent="0.3">
      <c r="D295" s="16">
        <v>926</v>
      </c>
      <c r="E295">
        <v>15287</v>
      </c>
      <c r="F295" s="33">
        <v>13978.602779809804</v>
      </c>
      <c r="G295">
        <v>125807.42501828824</v>
      </c>
    </row>
    <row r="296" spans="4:7" x14ac:dyDescent="0.3">
      <c r="D296" s="16">
        <v>927</v>
      </c>
      <c r="E296">
        <v>11620</v>
      </c>
      <c r="F296" s="33">
        <v>10625.45720555962</v>
      </c>
      <c r="G296">
        <v>95629.114850036582</v>
      </c>
    </row>
    <row r="297" spans="4:7" x14ac:dyDescent="0.3">
      <c r="D297" s="16">
        <v>928</v>
      </c>
      <c r="E297">
        <v>4282</v>
      </c>
      <c r="F297" s="33">
        <v>3915.5084125822973</v>
      </c>
      <c r="G297">
        <v>39155.08412582297</v>
      </c>
    </row>
    <row r="298" spans="4:7" x14ac:dyDescent="0.3">
      <c r="D298" s="16">
        <v>929</v>
      </c>
      <c r="E298">
        <v>2298</v>
      </c>
      <c r="F298" s="33">
        <v>2101.3167520117045</v>
      </c>
      <c r="G298">
        <v>21013.167520117044</v>
      </c>
    </row>
    <row r="299" spans="4:7" x14ac:dyDescent="0.3">
      <c r="D299" s="16">
        <v>930</v>
      </c>
      <c r="E299">
        <v>15522</v>
      </c>
      <c r="F299" s="33">
        <v>14193.489392831018</v>
      </c>
      <c r="G299">
        <v>141934.89392831016</v>
      </c>
    </row>
    <row r="300" spans="4:7" x14ac:dyDescent="0.3">
      <c r="D300" s="16">
        <v>931</v>
      </c>
      <c r="E300">
        <v>27343</v>
      </c>
      <c r="F300" s="33">
        <v>25002.74323335772</v>
      </c>
      <c r="G300">
        <v>250027.43233357719</v>
      </c>
    </row>
    <row r="301" spans="4:7" x14ac:dyDescent="0.3">
      <c r="D301" s="16">
        <v>932</v>
      </c>
      <c r="E301">
        <v>18406</v>
      </c>
      <c r="F301" s="33">
        <v>16830.6510607169</v>
      </c>
      <c r="G301">
        <v>168306.51060716901</v>
      </c>
    </row>
    <row r="302" spans="4:7" x14ac:dyDescent="0.3">
      <c r="D302" s="16">
        <v>933</v>
      </c>
      <c r="E302">
        <v>9750</v>
      </c>
      <c r="F302" s="33">
        <v>8915.5084125822978</v>
      </c>
      <c r="G302">
        <v>89155.084125822978</v>
      </c>
    </row>
    <row r="303" spans="4:7" x14ac:dyDescent="0.3">
      <c r="D303" s="16">
        <v>934</v>
      </c>
      <c r="E303">
        <v>5190</v>
      </c>
      <c r="F303" s="33">
        <v>4745.7937088515</v>
      </c>
      <c r="G303">
        <v>42712.143379663503</v>
      </c>
    </row>
    <row r="304" spans="4:7" x14ac:dyDescent="0.3">
      <c r="D304" s="16">
        <v>935</v>
      </c>
      <c r="E304">
        <v>2122</v>
      </c>
      <c r="F304" s="33">
        <v>1940.3803950256038</v>
      </c>
      <c r="G304">
        <v>17463.423555230434</v>
      </c>
    </row>
    <row r="305" spans="4:7" x14ac:dyDescent="0.3">
      <c r="D305" s="16">
        <v>936</v>
      </c>
      <c r="E305">
        <v>25630</v>
      </c>
      <c r="F305" s="33">
        <v>23436.356986100953</v>
      </c>
      <c r="G305">
        <v>234363.56986100954</v>
      </c>
    </row>
    <row r="306" spans="4:7" x14ac:dyDescent="0.3">
      <c r="D306" s="16">
        <v>937</v>
      </c>
      <c r="E306">
        <v>7058</v>
      </c>
      <c r="F306" s="33">
        <v>6453.9136795903441</v>
      </c>
      <c r="G306">
        <v>64539.13679590344</v>
      </c>
    </row>
    <row r="307" spans="4:7" x14ac:dyDescent="0.3">
      <c r="D307" s="16">
        <v>938</v>
      </c>
      <c r="E307">
        <v>22380</v>
      </c>
      <c r="F307" s="33">
        <v>20464.52084857352</v>
      </c>
      <c r="G307">
        <v>204645.2084857352</v>
      </c>
    </row>
    <row r="308" spans="4:7" x14ac:dyDescent="0.3">
      <c r="D308" s="16">
        <v>939</v>
      </c>
      <c r="E308">
        <v>8592</v>
      </c>
      <c r="F308" s="33">
        <v>7856.6203365032925</v>
      </c>
      <c r="G308">
        <v>78566.203365032925</v>
      </c>
    </row>
    <row r="309" spans="4:7" x14ac:dyDescent="0.3">
      <c r="D309" s="16">
        <v>940</v>
      </c>
      <c r="E309">
        <v>9142</v>
      </c>
      <c r="F309" s="33">
        <v>8359.5464520848582</v>
      </c>
      <c r="G309">
        <v>83595.464520848589</v>
      </c>
    </row>
    <row r="310" spans="4:7" x14ac:dyDescent="0.3">
      <c r="D310" s="16">
        <v>941</v>
      </c>
      <c r="E310">
        <v>26118</v>
      </c>
      <c r="F310" s="33">
        <v>23882.589612289688</v>
      </c>
      <c r="G310">
        <v>238825.89612289687</v>
      </c>
    </row>
    <row r="311" spans="4:7" x14ac:dyDescent="0.3">
      <c r="D311" s="16">
        <v>942</v>
      </c>
      <c r="E311">
        <v>1984</v>
      </c>
      <c r="F311" s="33">
        <v>1814.1916605705926</v>
      </c>
      <c r="G311">
        <v>18141.916605705926</v>
      </c>
    </row>
    <row r="312" spans="4:7" x14ac:dyDescent="0.3">
      <c r="D312" s="16">
        <v>943</v>
      </c>
      <c r="E312">
        <v>42155</v>
      </c>
      <c r="F312" s="33">
        <v>38547.000731528897</v>
      </c>
      <c r="G312">
        <v>385470.007315289</v>
      </c>
    </row>
    <row r="313" spans="4:7" x14ac:dyDescent="0.3">
      <c r="D313" s="16">
        <v>944</v>
      </c>
      <c r="E313">
        <v>6192</v>
      </c>
      <c r="F313" s="33">
        <v>5662.0336503291883</v>
      </c>
      <c r="G313">
        <v>56620.336503291881</v>
      </c>
    </row>
    <row r="314" spans="4:7" x14ac:dyDescent="0.3">
      <c r="D314" s="16">
        <v>945</v>
      </c>
      <c r="E314">
        <v>9808</v>
      </c>
      <c r="F314" s="33">
        <v>8968.5442574981716</v>
      </c>
      <c r="G314">
        <v>89685.442574981716</v>
      </c>
    </row>
    <row r="315" spans="4:7" x14ac:dyDescent="0.3">
      <c r="D315" s="16">
        <v>946</v>
      </c>
      <c r="E315">
        <v>10656</v>
      </c>
      <c r="F315" s="33">
        <v>9743.9648866130228</v>
      </c>
      <c r="G315">
        <v>97439.648866130228</v>
      </c>
    </row>
    <row r="316" spans="4:7" x14ac:dyDescent="0.3">
      <c r="D316" s="16">
        <v>947</v>
      </c>
      <c r="E316">
        <v>18522</v>
      </c>
      <c r="F316" s="33">
        <v>16936.722750548648</v>
      </c>
      <c r="G316">
        <v>169367.22750548649</v>
      </c>
    </row>
    <row r="317" spans="4:7" x14ac:dyDescent="0.3">
      <c r="D317" s="16">
        <v>948</v>
      </c>
      <c r="E317">
        <v>18250</v>
      </c>
      <c r="F317" s="33">
        <v>16688.002926115583</v>
      </c>
      <c r="G317">
        <v>166880.02926115584</v>
      </c>
    </row>
    <row r="318" spans="4:7" x14ac:dyDescent="0.3">
      <c r="D318" s="16">
        <v>949</v>
      </c>
      <c r="E318">
        <v>24152</v>
      </c>
      <c r="F318" s="33">
        <v>22084.857351865401</v>
      </c>
      <c r="G318">
        <v>220848.57351865401</v>
      </c>
    </row>
    <row r="319" spans="4:7" x14ac:dyDescent="0.3">
      <c r="D319" s="16">
        <v>950</v>
      </c>
      <c r="E319">
        <v>30304</v>
      </c>
      <c r="F319" s="33">
        <v>27710.314557425019</v>
      </c>
      <c r="G319">
        <v>277103.1455742502</v>
      </c>
    </row>
    <row r="320" spans="4:7" x14ac:dyDescent="0.3">
      <c r="D320" s="16">
        <v>951</v>
      </c>
      <c r="E320">
        <v>10215</v>
      </c>
      <c r="F320" s="33">
        <v>9340.7095830285307</v>
      </c>
      <c r="G320">
        <v>84066.386247256771</v>
      </c>
    </row>
    <row r="321" spans="4:7" x14ac:dyDescent="0.3">
      <c r="D321" s="16">
        <v>952</v>
      </c>
      <c r="E321">
        <v>14833</v>
      </c>
      <c r="F321" s="33">
        <v>13563.460131675203</v>
      </c>
      <c r="G321">
        <v>122071.14118507683</v>
      </c>
    </row>
    <row r="322" spans="4:7" x14ac:dyDescent="0.3">
      <c r="D322" s="16">
        <v>953</v>
      </c>
      <c r="E322">
        <v>15594</v>
      </c>
      <c r="F322" s="33">
        <v>14259.326993416242</v>
      </c>
      <c r="G322">
        <v>128333.94294074617</v>
      </c>
    </row>
    <row r="323" spans="4:7" x14ac:dyDescent="0.3">
      <c r="D323" s="16">
        <v>954</v>
      </c>
      <c r="E323">
        <v>9653</v>
      </c>
      <c r="F323" s="33">
        <v>8826.8105340160946</v>
      </c>
      <c r="G323">
        <v>79441.294806144855</v>
      </c>
    </row>
    <row r="324" spans="4:7" x14ac:dyDescent="0.3">
      <c r="D324" s="16">
        <v>955</v>
      </c>
      <c r="E324">
        <v>9671</v>
      </c>
      <c r="F324" s="33">
        <v>8843.2699341623993</v>
      </c>
      <c r="G324">
        <v>88432.699341623986</v>
      </c>
    </row>
    <row r="325" spans="4:7" x14ac:dyDescent="0.3">
      <c r="D325" s="16">
        <v>956</v>
      </c>
      <c r="E325">
        <v>6670</v>
      </c>
      <c r="F325" s="33">
        <v>6099.1221653255307</v>
      </c>
      <c r="G325">
        <v>60991.221653255307</v>
      </c>
    </row>
    <row r="326" spans="4:7" x14ac:dyDescent="0.3">
      <c r="D326" s="16">
        <v>957</v>
      </c>
      <c r="E326">
        <v>18167</v>
      </c>
      <c r="F326" s="33">
        <v>16612.106803218729</v>
      </c>
      <c r="G326">
        <v>166121.06803218729</v>
      </c>
    </row>
    <row r="327" spans="4:7" x14ac:dyDescent="0.3">
      <c r="D327" s="16">
        <v>958</v>
      </c>
      <c r="E327">
        <v>11771</v>
      </c>
      <c r="F327" s="33">
        <v>10763.533284564741</v>
      </c>
      <c r="G327">
        <v>107635.33284564741</v>
      </c>
    </row>
    <row r="328" spans="4:7" x14ac:dyDescent="0.3">
      <c r="D328" s="16">
        <v>959</v>
      </c>
      <c r="E328">
        <v>11400</v>
      </c>
      <c r="F328" s="33">
        <v>10424.286759326995</v>
      </c>
      <c r="G328">
        <v>104242.86759326994</v>
      </c>
    </row>
    <row r="329" spans="4:7" x14ac:dyDescent="0.3">
      <c r="D329" s="16">
        <v>960</v>
      </c>
      <c r="E329">
        <v>28026</v>
      </c>
      <c r="F329" s="33">
        <v>25627.286027798102</v>
      </c>
      <c r="G329">
        <v>256272.86027798103</v>
      </c>
    </row>
    <row r="330" spans="4:7" x14ac:dyDescent="0.3">
      <c r="D330" s="16">
        <v>961</v>
      </c>
      <c r="E330">
        <v>43354</v>
      </c>
      <c r="F330" s="33">
        <v>39643.379663496715</v>
      </c>
      <c r="G330">
        <v>396433.79663496715</v>
      </c>
    </row>
    <row r="331" spans="4:7" x14ac:dyDescent="0.3">
      <c r="D331" s="16">
        <v>962</v>
      </c>
      <c r="E331">
        <v>54437</v>
      </c>
      <c r="F331" s="33">
        <v>49777.798098024876</v>
      </c>
      <c r="G331">
        <v>497777.98098024877</v>
      </c>
    </row>
    <row r="332" spans="4:7" x14ac:dyDescent="0.3">
      <c r="D332" s="16">
        <v>963</v>
      </c>
      <c r="E332">
        <v>10104</v>
      </c>
      <c r="F332" s="33">
        <v>9239.2099487929772</v>
      </c>
      <c r="G332">
        <v>92392.09948792978</v>
      </c>
    </row>
    <row r="333" spans="4:7" x14ac:dyDescent="0.3">
      <c r="D333" s="16">
        <v>964</v>
      </c>
      <c r="E333">
        <v>40179</v>
      </c>
      <c r="F333" s="33">
        <v>36740.124359912217</v>
      </c>
      <c r="G333">
        <v>367401.24359912216</v>
      </c>
    </row>
    <row r="334" spans="4:7" x14ac:dyDescent="0.3">
      <c r="D334" s="16">
        <v>965</v>
      </c>
      <c r="E334">
        <v>2121</v>
      </c>
      <c r="F334" s="33">
        <v>1939.4659839063645</v>
      </c>
      <c r="G334">
        <v>19394.659839063646</v>
      </c>
    </row>
    <row r="335" spans="4:7" x14ac:dyDescent="0.3">
      <c r="D335" s="16">
        <v>966</v>
      </c>
      <c r="E335">
        <v>3738</v>
      </c>
      <c r="F335" s="33">
        <v>3418.0687637161673</v>
      </c>
      <c r="G335">
        <v>34180.687637161675</v>
      </c>
    </row>
    <row r="336" spans="4:7" x14ac:dyDescent="0.3">
      <c r="D336" s="16">
        <v>967</v>
      </c>
      <c r="E336">
        <v>15256</v>
      </c>
      <c r="F336" s="33">
        <v>13950.256035113389</v>
      </c>
      <c r="G336">
        <v>139502.5603511339</v>
      </c>
    </row>
    <row r="337" spans="4:7" x14ac:dyDescent="0.3">
      <c r="D337" s="16">
        <v>968</v>
      </c>
      <c r="E337">
        <v>8453</v>
      </c>
      <c r="F337" s="33">
        <v>7729.517190929042</v>
      </c>
      <c r="G337">
        <v>77295.171909290424</v>
      </c>
    </row>
    <row r="338" spans="4:7" x14ac:dyDescent="0.3">
      <c r="D338" s="16">
        <v>969</v>
      </c>
      <c r="E338">
        <v>17079</v>
      </c>
      <c r="F338" s="33">
        <v>15617.227505486468</v>
      </c>
      <c r="G338">
        <v>187406.73006583762</v>
      </c>
    </row>
    <row r="339" spans="4:7" x14ac:dyDescent="0.3">
      <c r="D339" s="16">
        <v>970</v>
      </c>
      <c r="E339">
        <v>16263</v>
      </c>
      <c r="F339" s="33">
        <v>14871.068032187273</v>
      </c>
      <c r="G339">
        <v>178452.81638624729</v>
      </c>
    </row>
    <row r="340" spans="4:7" x14ac:dyDescent="0.3">
      <c r="D340" s="16">
        <v>971</v>
      </c>
      <c r="E340">
        <v>8052</v>
      </c>
      <c r="F340" s="33">
        <v>7362.8383321141191</v>
      </c>
      <c r="G340">
        <v>88354.059985369429</v>
      </c>
    </row>
    <row r="341" spans="4:7" x14ac:dyDescent="0.3">
      <c r="D341" s="16">
        <v>972</v>
      </c>
      <c r="E341">
        <v>2080</v>
      </c>
      <c r="F341" s="33">
        <v>1901.9751280175569</v>
      </c>
      <c r="G341">
        <v>22823.701536210683</v>
      </c>
    </row>
    <row r="342" spans="4:7" x14ac:dyDescent="0.3">
      <c r="D342" s="16">
        <v>973</v>
      </c>
      <c r="E342">
        <v>4509</v>
      </c>
      <c r="F342" s="33">
        <v>4123.0797366495981</v>
      </c>
      <c r="G342">
        <v>49476.956839795181</v>
      </c>
    </row>
    <row r="343" spans="4:7" x14ac:dyDescent="0.3">
      <c r="D343" s="16">
        <v>974</v>
      </c>
      <c r="E343">
        <v>9720</v>
      </c>
      <c r="F343" s="33">
        <v>8888.0760790051208</v>
      </c>
      <c r="G343">
        <v>106656.91294806145</v>
      </c>
    </row>
    <row r="344" spans="4:7" x14ac:dyDescent="0.3">
      <c r="D344" s="16">
        <v>975</v>
      </c>
      <c r="E344">
        <v>4695</v>
      </c>
      <c r="F344" s="33">
        <v>4293.1602048280911</v>
      </c>
      <c r="G344">
        <v>51517.922457937093</v>
      </c>
    </row>
    <row r="345" spans="4:7" x14ac:dyDescent="0.3">
      <c r="D345" s="16">
        <v>976</v>
      </c>
      <c r="E345">
        <v>4128</v>
      </c>
      <c r="F345" s="33">
        <v>3774.6891002194589</v>
      </c>
      <c r="G345">
        <v>45296.269202633506</v>
      </c>
    </row>
    <row r="346" spans="4:7" x14ac:dyDescent="0.3">
      <c r="D346" s="16">
        <v>977</v>
      </c>
      <c r="E346">
        <v>16399</v>
      </c>
      <c r="F346" s="33">
        <v>14995.427944403806</v>
      </c>
      <c r="G346">
        <v>179945.13533284568</v>
      </c>
    </row>
    <row r="347" spans="4:7" x14ac:dyDescent="0.3">
      <c r="D347" s="16">
        <v>978</v>
      </c>
      <c r="E347">
        <v>3265</v>
      </c>
      <c r="F347" s="33">
        <v>2985.5523043160206</v>
      </c>
      <c r="G347">
        <v>35826.627651792245</v>
      </c>
    </row>
    <row r="348" spans="4:7" x14ac:dyDescent="0.3">
      <c r="D348" s="16">
        <v>979</v>
      </c>
      <c r="E348">
        <v>1723</v>
      </c>
      <c r="F348" s="33">
        <v>1575.5303584491589</v>
      </c>
      <c r="G348">
        <v>15755.30358449159</v>
      </c>
    </row>
    <row r="349" spans="4:7" x14ac:dyDescent="0.3">
      <c r="D349" s="16">
        <v>980</v>
      </c>
      <c r="E349">
        <v>20762</v>
      </c>
      <c r="F349" s="33">
        <v>18985.00365764448</v>
      </c>
      <c r="G349">
        <v>227820.04389173375</v>
      </c>
    </row>
    <row r="350" spans="4:7" x14ac:dyDescent="0.3">
      <c r="D350" s="16">
        <v>981</v>
      </c>
      <c r="E350">
        <v>2048</v>
      </c>
      <c r="F350" s="33">
        <v>1872.7139722019022</v>
      </c>
      <c r="G350">
        <v>22472.567666422827</v>
      </c>
    </row>
    <row r="351" spans="4:7" x14ac:dyDescent="0.3">
      <c r="D351" s="16">
        <v>982</v>
      </c>
      <c r="E351">
        <v>6435</v>
      </c>
      <c r="F351" s="33">
        <v>5884.2355523043161</v>
      </c>
      <c r="G351">
        <v>70610.826627651797</v>
      </c>
    </row>
    <row r="352" spans="4:7" x14ac:dyDescent="0.3">
      <c r="D352" s="16">
        <v>983</v>
      </c>
      <c r="E352">
        <v>1842</v>
      </c>
      <c r="F352" s="33">
        <v>1684.3452816386248</v>
      </c>
      <c r="G352">
        <v>20212.143379663496</v>
      </c>
    </row>
    <row r="353" spans="4:7" x14ac:dyDescent="0.3">
      <c r="D353" s="16">
        <v>984</v>
      </c>
      <c r="E353">
        <v>8613</v>
      </c>
      <c r="F353" s="33">
        <v>7875.8229700073161</v>
      </c>
      <c r="G353">
        <v>94509.87564008779</v>
      </c>
    </row>
    <row r="354" spans="4:7" x14ac:dyDescent="0.3">
      <c r="D354" s="16" t="s">
        <v>28</v>
      </c>
      <c r="E354">
        <v>2023088</v>
      </c>
      <c r="F354" s="33">
        <v>4247868.5076810559</v>
      </c>
      <c r="G354">
        <v>43223034.974615961</v>
      </c>
    </row>
  </sheetData>
  <phoneticPr fontId="7" alignment="center"/>
  <pageMargins left="0.7" right="0.7" top="0.75" bottom="0.75" header="0.3" footer="0.3"/>
  <pageSetup scale="47" fitToHeight="0" orientation="landscape" r:id="rId3"/>
  <ignoredErrors>
    <ignoredError sqref="J138:J139" calculatedColumn="1"/>
  </ignoredErrors>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6"/>
  <sheetViews>
    <sheetView topLeftCell="C1" zoomScale="122" zoomScaleNormal="165" workbookViewId="0">
      <selection activeCell="H6" sqref="H6"/>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75</v>
      </c>
      <c r="B1" s="8" t="s">
        <v>2</v>
      </c>
      <c r="C1" s="8" t="s">
        <v>92</v>
      </c>
      <c r="D1" s="12" t="s">
        <v>93</v>
      </c>
      <c r="E1" s="12" t="s">
        <v>4</v>
      </c>
      <c r="F1" s="12" t="s">
        <v>94</v>
      </c>
      <c r="G1" s="12" t="s">
        <v>5</v>
      </c>
      <c r="H1" s="12" t="s">
        <v>95</v>
      </c>
      <c r="I1" s="13" t="s">
        <v>96</v>
      </c>
      <c r="J1" s="11"/>
    </row>
    <row r="2" spans="1:14" x14ac:dyDescent="0.3">
      <c r="A2" s="93">
        <v>45916</v>
      </c>
      <c r="B2" s="90" t="s">
        <v>97</v>
      </c>
      <c r="C2" s="90" t="s">
        <v>98</v>
      </c>
      <c r="D2" s="91"/>
      <c r="E2" s="91"/>
      <c r="F2" s="91"/>
      <c r="G2" s="91">
        <f>D2*E2</f>
        <v>0</v>
      </c>
      <c r="H2" s="11"/>
      <c r="I2" s="92">
        <v>2448147</v>
      </c>
    </row>
    <row r="3" spans="1:14" hidden="1" x14ac:dyDescent="0.3">
      <c r="A3" s="93">
        <v>45916</v>
      </c>
      <c r="B3" s="90" t="s">
        <v>99</v>
      </c>
      <c r="C3" s="90" t="s">
        <v>98</v>
      </c>
      <c r="D3" s="91"/>
      <c r="E3" s="91"/>
      <c r="F3" s="91"/>
      <c r="G3" s="91">
        <f>D3*E3</f>
        <v>0</v>
      </c>
      <c r="H3" s="11">
        <v>0</v>
      </c>
      <c r="I3" s="92">
        <v>0</v>
      </c>
      <c r="J3" s="11"/>
    </row>
    <row r="4" spans="1:14" hidden="1" x14ac:dyDescent="0.3">
      <c r="A4" s="93">
        <v>45916</v>
      </c>
      <c r="B4" s="90" t="s">
        <v>156</v>
      </c>
      <c r="C4" s="90" t="s">
        <v>98</v>
      </c>
      <c r="D4" s="11"/>
      <c r="E4" s="11"/>
      <c r="F4" s="11"/>
      <c r="G4" s="11">
        <f>D4*E4</f>
        <v>0</v>
      </c>
      <c r="H4" s="11">
        <v>0</v>
      </c>
      <c r="I4" s="95">
        <v>106730</v>
      </c>
      <c r="J4" s="11"/>
    </row>
    <row r="5" spans="1:14" x14ac:dyDescent="0.3">
      <c r="A5" s="1">
        <v>45916</v>
      </c>
      <c r="B5" t="s">
        <v>97</v>
      </c>
      <c r="C5" t="s">
        <v>354</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97</v>
      </c>
      <c r="C6" t="s">
        <v>167</v>
      </c>
      <c r="D6" s="11">
        <v>262</v>
      </c>
      <c r="E6" s="11">
        <v>810</v>
      </c>
      <c r="F6" s="11">
        <v>42510</v>
      </c>
      <c r="G6" s="114">
        <f t="shared" ref="G6:G7" si="0">D6*E6</f>
        <v>212220</v>
      </c>
      <c r="H6" s="11"/>
      <c r="I6" s="11">
        <f>(D6*E6)-Table3[[#This Row],[Paid]]</f>
        <v>212220</v>
      </c>
      <c r="J6" s="11"/>
    </row>
    <row r="7" spans="1:14" hidden="1" x14ac:dyDescent="0.3">
      <c r="A7" s="1">
        <v>45916</v>
      </c>
      <c r="B7" t="s">
        <v>156</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156</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97</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156</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156</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156</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97</v>
      </c>
      <c r="C13" t="s">
        <v>186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97</v>
      </c>
      <c r="C14" t="s">
        <v>355</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8454630</v>
      </c>
    </row>
    <row r="15" spans="1:14" x14ac:dyDescent="0.3">
      <c r="A15" s="1">
        <v>45919</v>
      </c>
      <c r="B15" t="s">
        <v>97</v>
      </c>
      <c r="C15" t="s">
        <v>355</v>
      </c>
      <c r="D15" s="11">
        <v>35</v>
      </c>
      <c r="E15" s="11">
        <v>765</v>
      </c>
      <c r="F15" s="11"/>
      <c r="G15" s="114">
        <f t="shared" si="2"/>
        <v>26775</v>
      </c>
      <c r="H15" s="11"/>
      <c r="I15" s="11">
        <f>(D15*E15)-Table3[[#This Row],[Paid]]</f>
        <v>26775</v>
      </c>
    </row>
    <row r="16" spans="1:14" x14ac:dyDescent="0.3">
      <c r="A16" s="1">
        <v>45920</v>
      </c>
      <c r="B16" t="s">
        <v>97</v>
      </c>
      <c r="C16" t="s">
        <v>202</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97</v>
      </c>
      <c r="C17" t="s">
        <v>204</v>
      </c>
      <c r="D17" s="11">
        <v>287</v>
      </c>
      <c r="E17" s="11">
        <v>765</v>
      </c>
      <c r="F17" s="11">
        <v>30385</v>
      </c>
      <c r="G17" s="114">
        <f t="shared" si="2"/>
        <v>219555</v>
      </c>
      <c r="H17" s="11"/>
      <c r="I17" s="11">
        <f>(D17*E17)-Table3[[#This Row],[Paid]]</f>
        <v>219555</v>
      </c>
    </row>
    <row r="18" spans="1:11" hidden="1" x14ac:dyDescent="0.3">
      <c r="A18" s="1">
        <v>45920</v>
      </c>
      <c r="B18" t="s">
        <v>156</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97</v>
      </c>
      <c r="C19" t="s">
        <v>212</v>
      </c>
      <c r="D19" s="11">
        <v>75</v>
      </c>
      <c r="E19" s="11">
        <v>765</v>
      </c>
      <c r="F19" s="11">
        <v>36000</v>
      </c>
      <c r="G19" s="114">
        <f t="shared" si="2"/>
        <v>57375</v>
      </c>
      <c r="H19" s="11">
        <f>SUMIFS(Table14[Debit], Table14[Date], Table3[[#This Row],[Date]], Table14[Party], Table3[[#This Row],[Party Name]])</f>
        <v>36000</v>
      </c>
      <c r="I19" s="11">
        <f>(D19*E19)-Table3[[#This Row],[Paid]]</f>
        <v>21375</v>
      </c>
    </row>
    <row r="20" spans="1:11" hidden="1" x14ac:dyDescent="0.3">
      <c r="A20" s="1">
        <v>45921</v>
      </c>
      <c r="B20" t="s">
        <v>156</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156</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156</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97</v>
      </c>
      <c r="C23" t="s">
        <v>212</v>
      </c>
      <c r="D23" s="11">
        <v>140</v>
      </c>
      <c r="E23" s="11">
        <v>810</v>
      </c>
      <c r="F23" s="11"/>
      <c r="G23" s="114">
        <f>D23*E23</f>
        <v>113400</v>
      </c>
      <c r="H23" s="11"/>
      <c r="I23" s="11">
        <f>(D23*E23)-Table3[[#This Row],[Paid]]</f>
        <v>113400</v>
      </c>
    </row>
    <row r="24" spans="1:11" x14ac:dyDescent="0.3">
      <c r="A24" s="1">
        <v>45922</v>
      </c>
      <c r="B24" t="s">
        <v>97</v>
      </c>
      <c r="C24" t="s">
        <v>216</v>
      </c>
      <c r="D24" s="11">
        <v>217</v>
      </c>
      <c r="E24" s="11">
        <v>810</v>
      </c>
      <c r="F24" s="11">
        <v>37400</v>
      </c>
      <c r="G24" s="114">
        <f>D24*E24</f>
        <v>175770</v>
      </c>
      <c r="H24" s="11">
        <f>SUMIFS(Table14[Debit], Table14[Date], Table3[[#This Row],[Date]], Table14[Party], Table3[[#This Row],[Party Name]])</f>
        <v>249402</v>
      </c>
      <c r="I24" s="11">
        <f>(D24*E24)-Table3[[#This Row],[Paid]]</f>
        <v>-73632</v>
      </c>
    </row>
    <row r="25" spans="1:11" hidden="1" x14ac:dyDescent="0.3">
      <c r="A25" s="1">
        <v>45922</v>
      </c>
      <c r="B25" t="s">
        <v>156</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97</v>
      </c>
      <c r="C26" t="s">
        <v>228</v>
      </c>
      <c r="D26" s="11">
        <v>100</v>
      </c>
      <c r="E26" s="11">
        <v>765</v>
      </c>
      <c r="F26" s="11">
        <v>34500</v>
      </c>
      <c r="G26" s="114">
        <f t="shared" ref="G26:G30" si="3">D26*E26</f>
        <v>76500</v>
      </c>
      <c r="H26" s="11"/>
      <c r="I26" s="11">
        <f>(D26*E26)-Table3[[#This Row],[Paid]]</f>
        <v>76500</v>
      </c>
    </row>
    <row r="27" spans="1:11" x14ac:dyDescent="0.3">
      <c r="A27" s="1">
        <v>45923</v>
      </c>
      <c r="B27" t="s">
        <v>97</v>
      </c>
      <c r="C27" t="s">
        <v>228</v>
      </c>
      <c r="D27" s="11">
        <v>104</v>
      </c>
      <c r="E27" s="11">
        <v>810</v>
      </c>
      <c r="F27" s="11"/>
      <c r="G27" s="114">
        <f t="shared" si="3"/>
        <v>84240</v>
      </c>
      <c r="H27" s="11">
        <f>SUMIFS(Table14[Debit], Table14[Date], Table3[[#This Row],[Date]], Table14[Party], Table3[[#This Row],[Party Name]])</f>
        <v>362400</v>
      </c>
      <c r="I27" s="11">
        <f>(D27*E27)-Table3[[#This Row],[Paid]]</f>
        <v>-278160</v>
      </c>
    </row>
    <row r="28" spans="1:11" hidden="1" x14ac:dyDescent="0.3">
      <c r="A28" s="1">
        <v>45923</v>
      </c>
      <c r="B28" t="s">
        <v>156</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97</v>
      </c>
      <c r="C29" t="s">
        <v>232</v>
      </c>
      <c r="D29" s="11">
        <v>232</v>
      </c>
      <c r="E29" s="11">
        <v>810</v>
      </c>
      <c r="F29" s="11">
        <v>37900</v>
      </c>
      <c r="G29" s="114">
        <f t="shared" si="3"/>
        <v>187920</v>
      </c>
      <c r="H29" s="11"/>
      <c r="I29" s="11">
        <f>(D29*E29)-Table3[[#This Row],[Paid]]</f>
        <v>187920</v>
      </c>
      <c r="K29" s="14"/>
    </row>
    <row r="30" spans="1:11" hidden="1" x14ac:dyDescent="0.3">
      <c r="A30" s="1">
        <v>45923</v>
      </c>
      <c r="B30" t="s">
        <v>156</v>
      </c>
      <c r="D30" s="11">
        <v>45</v>
      </c>
      <c r="E30" s="11">
        <v>550</v>
      </c>
      <c r="F30" s="11"/>
      <c r="G30" s="11">
        <f t="shared" si="3"/>
        <v>24750</v>
      </c>
      <c r="H30" s="11"/>
      <c r="I30" s="11">
        <f>(D30*E30)-Table3[[#This Row],[Paid]]</f>
        <v>24750</v>
      </c>
    </row>
    <row r="31" spans="1:11" x14ac:dyDescent="0.3">
      <c r="A31" s="1">
        <v>45924</v>
      </c>
      <c r="B31" t="s">
        <v>97</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97</v>
      </c>
      <c r="D32" s="11"/>
      <c r="E32" s="11"/>
      <c r="F32" s="11"/>
      <c r="G32" s="11">
        <f t="shared" ref="G32:G34" si="4">D32*E32</f>
        <v>0</v>
      </c>
      <c r="H32" s="11">
        <f>SUMIFS(Table14[Debit], Table14[Date], Table3[[#This Row],[Date]], Table14[Party], Table3[[#This Row],[Party Name]])</f>
        <v>200000</v>
      </c>
      <c r="I32" s="11">
        <f>(D32*E32)-Table3[[#This Row],[Paid]]</f>
        <v>-200000</v>
      </c>
    </row>
    <row r="33" spans="1:12" hidden="1" x14ac:dyDescent="0.3">
      <c r="A33" s="1">
        <v>45924</v>
      </c>
      <c r="B33" t="s">
        <v>156</v>
      </c>
      <c r="D33" s="11"/>
      <c r="E33" s="11"/>
      <c r="F33" s="11"/>
      <c r="G33" s="11">
        <f>D33*E33</f>
        <v>0</v>
      </c>
      <c r="H33" s="11">
        <f>SUMIFS(Table14[Debit], Table14[Date], Table3[[#This Row],[Date]], Table14[Party], Table3[[#This Row],[Party Name]])</f>
        <v>50000</v>
      </c>
      <c r="I33" s="11">
        <f>(D33*E33)-Table3[[#This Row],[Paid]]</f>
        <v>-50000</v>
      </c>
    </row>
    <row r="34" spans="1:12" hidden="1" x14ac:dyDescent="0.3">
      <c r="A34" s="1">
        <v>45925</v>
      </c>
      <c r="B34" t="s">
        <v>156</v>
      </c>
      <c r="D34" s="11">
        <v>46</v>
      </c>
      <c r="E34" s="11">
        <v>580</v>
      </c>
      <c r="F34" s="11"/>
      <c r="G34" s="11">
        <f t="shared" si="4"/>
        <v>26680</v>
      </c>
      <c r="H34" s="11">
        <f>SUMIFS(Table14[Debit], Table14[Date], Table3[[#This Row],[Date]], Table14[Party], Table3[[#This Row],[Party Name]])</f>
        <v>100010</v>
      </c>
      <c r="I34" s="11">
        <f>(D34*E34)-Table3[[#This Row],[Paid]]</f>
        <v>-73330</v>
      </c>
    </row>
    <row r="35" spans="1:12" hidden="1" x14ac:dyDescent="0.3">
      <c r="A35" s="1">
        <v>45925</v>
      </c>
      <c r="B35" t="s">
        <v>156</v>
      </c>
      <c r="D35" s="11">
        <v>44</v>
      </c>
      <c r="E35" s="11">
        <v>580</v>
      </c>
      <c r="F35" s="11"/>
      <c r="G35" s="11">
        <f t="shared" ref="G35:G41" si="5">D35*E35</f>
        <v>25520</v>
      </c>
      <c r="H35" s="11"/>
      <c r="I35" s="11">
        <f>(D35*E35)-Table3[[#This Row],[Paid]]</f>
        <v>25520</v>
      </c>
    </row>
    <row r="36" spans="1:12" x14ac:dyDescent="0.3">
      <c r="A36" s="1">
        <v>45926</v>
      </c>
      <c r="B36" t="s">
        <v>97</v>
      </c>
      <c r="C36" t="s">
        <v>356</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97</v>
      </c>
      <c r="C37" t="s">
        <v>252</v>
      </c>
      <c r="D37" s="11">
        <v>305</v>
      </c>
      <c r="E37" s="11">
        <v>810</v>
      </c>
      <c r="F37" s="11">
        <v>49400</v>
      </c>
      <c r="G37" s="114">
        <f t="shared" si="5"/>
        <v>247050</v>
      </c>
      <c r="H37" s="11"/>
      <c r="I37" s="11">
        <f>(D37*E37)-Table3[[#This Row],[Paid]]</f>
        <v>247050</v>
      </c>
    </row>
    <row r="38" spans="1:12" x14ac:dyDescent="0.3">
      <c r="A38" s="1">
        <v>45927</v>
      </c>
      <c r="B38" t="s">
        <v>97</v>
      </c>
      <c r="C38" t="s">
        <v>264</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97</v>
      </c>
      <c r="C39" t="s">
        <v>264</v>
      </c>
      <c r="D39" s="11">
        <v>147</v>
      </c>
      <c r="E39" s="11">
        <v>810</v>
      </c>
      <c r="F39" s="11"/>
      <c r="G39" s="114">
        <f t="shared" si="5"/>
        <v>119070</v>
      </c>
      <c r="H39" s="11"/>
      <c r="I39" s="11">
        <f>(D39*E39)-Table3[[#This Row],[Paid]]</f>
        <v>119070</v>
      </c>
    </row>
    <row r="40" spans="1:12" x14ac:dyDescent="0.3">
      <c r="A40" s="1">
        <v>45928</v>
      </c>
      <c r="B40" t="s">
        <v>97</v>
      </c>
      <c r="C40" t="s">
        <v>269</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97</v>
      </c>
      <c r="C41" t="s">
        <v>270</v>
      </c>
      <c r="D41" s="11">
        <v>241</v>
      </c>
      <c r="E41" s="11">
        <v>810</v>
      </c>
      <c r="F41" s="11">
        <v>40000</v>
      </c>
      <c r="G41" s="114">
        <f t="shared" si="5"/>
        <v>195210</v>
      </c>
      <c r="H41" s="11"/>
      <c r="I41" s="11">
        <f>(D41*E41)-Table3[[#This Row],[Paid]]</f>
        <v>195210</v>
      </c>
      <c r="L41" s="14"/>
    </row>
    <row r="42" spans="1:12" hidden="1" x14ac:dyDescent="0.3">
      <c r="A42" s="1">
        <v>45928</v>
      </c>
      <c r="B42" t="s">
        <v>156</v>
      </c>
      <c r="D42" s="11">
        <v>35</v>
      </c>
      <c r="E42" s="11">
        <v>580</v>
      </c>
      <c r="F42" s="11"/>
      <c r="G42" s="11">
        <f t="shared" ref="G42:G46" si="6">D42*E42</f>
        <v>20300</v>
      </c>
      <c r="H42" s="11"/>
      <c r="I42" s="11">
        <f>(D42*E42)-Table3[[#This Row],[Paid]]</f>
        <v>20300</v>
      </c>
      <c r="L42" s="14">
        <f>I2-Table3[[#Totals],[balance]]</f>
        <v>475866</v>
      </c>
    </row>
    <row r="43" spans="1:12" hidden="1" x14ac:dyDescent="0.3">
      <c r="A43" s="1">
        <v>45928</v>
      </c>
      <c r="B43" t="s">
        <v>156</v>
      </c>
      <c r="D43" s="11">
        <v>42</v>
      </c>
      <c r="E43" s="11">
        <v>580</v>
      </c>
      <c r="F43" s="11"/>
      <c r="G43" s="11">
        <f t="shared" si="6"/>
        <v>24360</v>
      </c>
      <c r="H43" s="11"/>
      <c r="I43" s="11">
        <f>(D43*E43)-Table3[[#This Row],[Paid]]</f>
        <v>24360</v>
      </c>
    </row>
    <row r="44" spans="1:12" hidden="1" x14ac:dyDescent="0.3">
      <c r="A44" s="1">
        <v>45928</v>
      </c>
      <c r="B44" t="s">
        <v>156</v>
      </c>
      <c r="D44" s="11">
        <v>173</v>
      </c>
      <c r="E44" s="11">
        <v>580</v>
      </c>
      <c r="F44" s="11"/>
      <c r="G44" s="11">
        <f t="shared" si="6"/>
        <v>100340</v>
      </c>
      <c r="H44" s="11"/>
      <c r="I44" s="11">
        <f>(D44*E44)-Table3[[#This Row],[Paid]]</f>
        <v>100340</v>
      </c>
    </row>
    <row r="45" spans="1:12" hidden="1" x14ac:dyDescent="0.3">
      <c r="A45" s="1">
        <v>45928</v>
      </c>
      <c r="B45" t="s">
        <v>156</v>
      </c>
      <c r="D45" s="11">
        <v>49</v>
      </c>
      <c r="E45" s="11">
        <v>580</v>
      </c>
      <c r="F45" s="11"/>
      <c r="G45" s="11">
        <f t="shared" si="6"/>
        <v>28420</v>
      </c>
      <c r="H45" s="11"/>
      <c r="I45" s="11">
        <f>(D45*E45)-Table3[[#This Row],[Paid]]</f>
        <v>28420</v>
      </c>
    </row>
    <row r="46" spans="1:12" x14ac:dyDescent="0.3">
      <c r="A46" s="1">
        <v>45929</v>
      </c>
      <c r="B46" t="s">
        <v>97</v>
      </c>
      <c r="C46" t="s">
        <v>276</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97</v>
      </c>
      <c r="C47" t="s">
        <v>287</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97</v>
      </c>
      <c r="C48" t="s">
        <v>294</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97</v>
      </c>
      <c r="C49" t="s">
        <v>295</v>
      </c>
      <c r="D49" s="11">
        <v>376</v>
      </c>
      <c r="E49" s="11">
        <v>810</v>
      </c>
      <c r="F49" s="11">
        <v>62410</v>
      </c>
      <c r="G49" s="11">
        <f>D49*E49</f>
        <v>304560</v>
      </c>
      <c r="H49" s="11"/>
      <c r="I49" s="11">
        <f>(D49*E49)-Table3[[#This Row],[Paid]]</f>
        <v>304560</v>
      </c>
    </row>
    <row r="50" spans="1:9" x14ac:dyDescent="0.3">
      <c r="A50" s="1">
        <v>45932</v>
      </c>
      <c r="B50" t="s">
        <v>97</v>
      </c>
      <c r="C50" t="s">
        <v>303</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97</v>
      </c>
      <c r="C51" t="s">
        <v>302</v>
      </c>
      <c r="D51" s="11">
        <v>275</v>
      </c>
      <c r="E51" s="11">
        <v>810</v>
      </c>
      <c r="F51" s="11">
        <v>44420</v>
      </c>
      <c r="G51" s="11">
        <f t="shared" si="7"/>
        <v>222750</v>
      </c>
      <c r="H51" s="11"/>
      <c r="I51" s="11">
        <f>(D51*E51)-Table3[[#This Row],[Paid]]</f>
        <v>222750</v>
      </c>
    </row>
    <row r="52" spans="1:9" hidden="1" x14ac:dyDescent="0.3">
      <c r="A52" s="1">
        <v>45930</v>
      </c>
      <c r="B52" t="s">
        <v>156</v>
      </c>
      <c r="D52" s="11">
        <v>41</v>
      </c>
      <c r="E52" s="11">
        <v>580</v>
      </c>
      <c r="F52" s="11"/>
      <c r="G52" s="11">
        <f t="shared" si="7"/>
        <v>23780</v>
      </c>
      <c r="H52" s="11"/>
      <c r="I52" s="11">
        <f>(D52*E52)-Table3[[#This Row],[Paid]]</f>
        <v>23780</v>
      </c>
    </row>
    <row r="53" spans="1:9" hidden="1" x14ac:dyDescent="0.3">
      <c r="A53" s="1">
        <v>45930</v>
      </c>
      <c r="B53" t="s">
        <v>311</v>
      </c>
      <c r="C53">
        <v>3414</v>
      </c>
      <c r="D53" s="11">
        <v>285</v>
      </c>
      <c r="E53" s="11">
        <v>775</v>
      </c>
      <c r="F53" s="11"/>
      <c r="G53" s="11">
        <f t="shared" si="7"/>
        <v>220875</v>
      </c>
      <c r="H53" s="11"/>
      <c r="I53" s="11">
        <f>(D53*E53)-Table3[[#This Row],[Paid]]</f>
        <v>220875</v>
      </c>
    </row>
    <row r="54" spans="1:9" hidden="1" x14ac:dyDescent="0.3">
      <c r="A54" s="1">
        <v>45932</v>
      </c>
      <c r="B54" t="s">
        <v>156</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97</v>
      </c>
      <c r="C55" t="s">
        <v>314</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97</v>
      </c>
      <c r="C56" t="s">
        <v>313</v>
      </c>
      <c r="D56" s="11">
        <v>443</v>
      </c>
      <c r="E56" s="11">
        <v>810</v>
      </c>
      <c r="F56" s="11">
        <v>92470</v>
      </c>
      <c r="G56" s="11">
        <f t="shared" si="7"/>
        <v>358830</v>
      </c>
      <c r="H56" s="11"/>
      <c r="I56" s="11">
        <f>(D56*E56)-Table3[[#This Row],[Paid]]</f>
        <v>358830</v>
      </c>
    </row>
    <row r="57" spans="1:9" x14ac:dyDescent="0.3">
      <c r="A57" s="1">
        <v>45934</v>
      </c>
      <c r="B57" t="s">
        <v>97</v>
      </c>
      <c r="C57" t="s">
        <v>330</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311</v>
      </c>
      <c r="C58" t="s">
        <v>349</v>
      </c>
      <c r="D58" s="11">
        <v>256</v>
      </c>
      <c r="E58" s="11">
        <v>775</v>
      </c>
      <c r="F58" s="11"/>
      <c r="G58" s="11">
        <f>D58*E58</f>
        <v>198400</v>
      </c>
      <c r="H58" s="11"/>
      <c r="I58" s="11">
        <f>(D58*E58)-Table3[[#This Row],[Paid]]</f>
        <v>198400</v>
      </c>
    </row>
    <row r="59" spans="1:9" x14ac:dyDescent="0.3">
      <c r="A59" s="1">
        <v>45935</v>
      </c>
      <c r="B59" t="s">
        <v>97</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311</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97</v>
      </c>
      <c r="C61" t="s">
        <v>341</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97</v>
      </c>
      <c r="C62" t="s">
        <v>342</v>
      </c>
      <c r="D62" s="11">
        <v>439</v>
      </c>
      <c r="E62" s="11">
        <v>810</v>
      </c>
      <c r="F62" s="11">
        <v>68150</v>
      </c>
      <c r="G62" s="11">
        <f t="shared" ref="G62:G65" si="8">D62*E62</f>
        <v>355590</v>
      </c>
      <c r="H62" s="11"/>
      <c r="I62" s="11">
        <f>(D62*E62)-Table3[[#This Row],[Paid]]</f>
        <v>355590</v>
      </c>
    </row>
    <row r="63" spans="1:9" x14ac:dyDescent="0.3">
      <c r="A63" s="1">
        <v>45936</v>
      </c>
      <c r="B63" t="s">
        <v>97</v>
      </c>
      <c r="C63" t="s">
        <v>339</v>
      </c>
      <c r="D63" s="11">
        <v>261</v>
      </c>
      <c r="E63" s="11">
        <v>810</v>
      </c>
      <c r="F63" s="11">
        <v>42500</v>
      </c>
      <c r="G63" s="11">
        <f t="shared" si="8"/>
        <v>211410</v>
      </c>
      <c r="H63" s="11"/>
      <c r="I63" s="11">
        <f>(D63*E63)-Table3[[#This Row],[Paid]]</f>
        <v>211410</v>
      </c>
    </row>
    <row r="64" spans="1:9" x14ac:dyDescent="0.3">
      <c r="A64" s="1">
        <v>45937</v>
      </c>
      <c r="B64" t="s">
        <v>97</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357</v>
      </c>
      <c r="C65" t="s">
        <v>370</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311</v>
      </c>
      <c r="C66" t="s">
        <v>371</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365</v>
      </c>
      <c r="C67" t="s">
        <v>372</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97</v>
      </c>
      <c r="D68" s="11"/>
      <c r="E68" s="11"/>
      <c r="F68" s="11"/>
      <c r="G68" s="11">
        <f t="shared" ref="G68:G71" si="10">D68*E68</f>
        <v>0</v>
      </c>
      <c r="H68" s="11">
        <f>SUMIFS(Table14[Debit], Table14[Date], Table3[[#This Row],[Date]], Table14[Party], Table3[[#This Row],[Party Name]])</f>
        <v>303003</v>
      </c>
      <c r="I68" s="11">
        <f>(D68*E68)-Table3[[#This Row],[Paid]]</f>
        <v>-303003</v>
      </c>
    </row>
    <row r="69" spans="1:9" hidden="1" x14ac:dyDescent="0.3">
      <c r="A69" s="1">
        <v>45939</v>
      </c>
      <c r="B69" t="s">
        <v>156</v>
      </c>
      <c r="D69" s="11"/>
      <c r="E69" s="11"/>
      <c r="F69" s="11"/>
      <c r="G69" s="11">
        <f>D69*E69</f>
        <v>0</v>
      </c>
      <c r="H69" s="11">
        <f>SUMIFS(Table14[Debit], Table14[Date], Table3[[#This Row],[Date]], Table14[Party], Table3[[#This Row],[Party Name]])</f>
        <v>70000</v>
      </c>
      <c r="I69" s="11">
        <f>(D69*E69)-Table3[[#This Row],[Paid]]</f>
        <v>-70000</v>
      </c>
    </row>
    <row r="70" spans="1:9" hidden="1" x14ac:dyDescent="0.3">
      <c r="A70" s="1">
        <v>45939</v>
      </c>
      <c r="B70" t="s">
        <v>311</v>
      </c>
      <c r="D70" s="11"/>
      <c r="E70" s="11"/>
      <c r="F70" s="11"/>
      <c r="G70" s="11">
        <f>D70*E70</f>
        <v>0</v>
      </c>
      <c r="H70" s="11">
        <f>SUMIFS(Table14[Debit], Table14[Date], Table3[[#This Row],[Date]], Table14[Party], Table3[[#This Row],[Party Name]])</f>
        <v>197150</v>
      </c>
      <c r="I70" s="11">
        <f>(D70*E70)-Table3[[#This Row],[Paid]]</f>
        <v>-197150</v>
      </c>
    </row>
    <row r="71" spans="1:9" x14ac:dyDescent="0.3">
      <c r="A71" s="1">
        <v>45940</v>
      </c>
      <c r="B71" t="s">
        <v>97</v>
      </c>
      <c r="D71" s="11"/>
      <c r="E71" s="11"/>
      <c r="F71" s="11"/>
      <c r="G71" s="11">
        <f t="shared" si="10"/>
        <v>0</v>
      </c>
      <c r="H71" s="11">
        <f>SUMIFS(Table14[Debit], Table14[Date], Table3[[#This Row],[Date]], Table14[Party], Table3[[#This Row],[Party Name]])</f>
        <v>201255</v>
      </c>
      <c r="I71" s="11">
        <f>(D71*E71)-Table3[[#This Row],[Paid]]</f>
        <v>-201255</v>
      </c>
    </row>
    <row r="72" spans="1:9" x14ac:dyDescent="0.3">
      <c r="A72" s="1">
        <v>45942</v>
      </c>
      <c r="B72" t="s">
        <v>97</v>
      </c>
      <c r="C72" t="s">
        <v>232</v>
      </c>
      <c r="D72" s="11">
        <v>260</v>
      </c>
      <c r="E72" s="11">
        <v>810</v>
      </c>
      <c r="F72" s="11">
        <v>43600</v>
      </c>
      <c r="G72" s="11">
        <f>D72*E72</f>
        <v>210600</v>
      </c>
      <c r="H72" s="11">
        <f>SUMIFS(Table14[Debit], Table14[Date], Table3[[#This Row],[Date]], Table14[Party], Table3[[#This Row],[Party Name]])</f>
        <v>43600</v>
      </c>
      <c r="I72" s="11">
        <f>(D72*E72)-Table3[[#This Row],[Paid]]</f>
        <v>167000</v>
      </c>
    </row>
    <row r="73" spans="1:9" x14ac:dyDescent="0.3">
      <c r="A73" s="1">
        <v>45943</v>
      </c>
      <c r="B73" t="s">
        <v>97</v>
      </c>
      <c r="C73" t="s">
        <v>400</v>
      </c>
      <c r="D73" s="11">
        <v>245</v>
      </c>
      <c r="E73" s="11">
        <v>765</v>
      </c>
      <c r="F73" s="11">
        <v>26500</v>
      </c>
      <c r="G73" s="11">
        <f>D73*E73</f>
        <v>187425</v>
      </c>
      <c r="H73" s="11">
        <f>SUMIFS(Table14[Debit], Table14[Date], Table3[[#This Row],[Date]], Table14[Party], Table3[[#This Row],[Party Name]])</f>
        <v>101600</v>
      </c>
      <c r="I73" s="11">
        <f>(D73*E73)-Table3[[#This Row],[Paid]]</f>
        <v>85825</v>
      </c>
    </row>
    <row r="74" spans="1:9" x14ac:dyDescent="0.3">
      <c r="A74" s="1">
        <v>45943</v>
      </c>
      <c r="B74" t="s">
        <v>97</v>
      </c>
      <c r="C74" t="s">
        <v>313</v>
      </c>
      <c r="D74" s="11">
        <v>429</v>
      </c>
      <c r="E74" s="11">
        <v>810</v>
      </c>
      <c r="F74" s="11">
        <v>75100</v>
      </c>
      <c r="G74" s="11">
        <f t="shared" ref="G74:G76" si="11">D74*E74</f>
        <v>347490</v>
      </c>
      <c r="H74" s="11"/>
      <c r="I74" s="11">
        <f>(D74*E74)-Table3[[#This Row],[Paid]]</f>
        <v>347490</v>
      </c>
    </row>
    <row r="75" spans="1:9" x14ac:dyDescent="0.3">
      <c r="A75" s="1">
        <v>45944</v>
      </c>
      <c r="B75" t="s">
        <v>97</v>
      </c>
      <c r="D75" s="11"/>
      <c r="E75" s="11"/>
      <c r="F75" s="11"/>
      <c r="G75" s="11">
        <f t="shared" si="11"/>
        <v>0</v>
      </c>
      <c r="H75" s="11">
        <f>SUMIFS(Table14[Debit], Table14[Date], Table3[[#This Row],[Date]], Table14[Party], Table3[[#This Row],[Party Name]])</f>
        <v>404250</v>
      </c>
      <c r="I75" s="11">
        <f>(D75*E75)-Table3[[#This Row],[Paid]]</f>
        <v>-404250</v>
      </c>
    </row>
    <row r="76" spans="1:9" x14ac:dyDescent="0.3">
      <c r="A76" s="1">
        <v>45945</v>
      </c>
      <c r="B76" t="s">
        <v>97</v>
      </c>
      <c r="C76" t="s">
        <v>424</v>
      </c>
      <c r="D76" s="11">
        <v>297</v>
      </c>
      <c r="E76" s="11">
        <v>765</v>
      </c>
      <c r="F76" s="11">
        <v>31750</v>
      </c>
      <c r="G76" s="11">
        <f t="shared" si="11"/>
        <v>227205</v>
      </c>
      <c r="H76" s="11">
        <f>SUMIFS(Table14[Debit], Table14[Date], Table3[[#This Row],[Date]], Table14[Party], Table3[[#This Row],[Party Name]])</f>
        <v>31750</v>
      </c>
      <c r="I76" s="11">
        <f>(D76*E76)-Table3[[#This Row],[Paid]]</f>
        <v>195455</v>
      </c>
    </row>
    <row r="77" spans="1:9" hidden="1" x14ac:dyDescent="0.3">
      <c r="A77" s="1">
        <v>45945</v>
      </c>
      <c r="B77" t="s">
        <v>365</v>
      </c>
      <c r="C77" t="s">
        <v>443</v>
      </c>
      <c r="D77" s="11">
        <v>148</v>
      </c>
      <c r="E77" s="11"/>
      <c r="F77" s="11">
        <v>12000</v>
      </c>
      <c r="G77" s="11">
        <f>D77*E77</f>
        <v>0</v>
      </c>
      <c r="H77" s="11">
        <f>SUMIFS(Table14[Debit], Table14[Date], Table3[[#This Row],[Date]], Table14[Party], Table3[[#This Row],[Party Name]])</f>
        <v>70000</v>
      </c>
      <c r="I77" s="11">
        <f>(D77*E77)-Table3[[#This Row],[Paid]]</f>
        <v>-70000</v>
      </c>
    </row>
    <row r="78" spans="1:9" hidden="1" x14ac:dyDescent="0.3">
      <c r="A78" s="1">
        <v>45945</v>
      </c>
      <c r="B78" t="s">
        <v>311</v>
      </c>
      <c r="D78" s="11">
        <v>317</v>
      </c>
      <c r="E78" s="11">
        <v>775</v>
      </c>
      <c r="F78" s="11"/>
      <c r="G78" s="11">
        <f>D78*E78</f>
        <v>245675</v>
      </c>
      <c r="H78" s="11">
        <f>SUMIFS(Table14[Debit], Table14[Date], Table3[[#This Row],[Date]], Table14[Party], Table3[[#This Row],[Party Name]])</f>
        <v>0</v>
      </c>
      <c r="I78" s="11">
        <f>(D78*E78)-Table3[[#This Row],[Paid]]</f>
        <v>245675</v>
      </c>
    </row>
    <row r="79" spans="1:9" x14ac:dyDescent="0.3">
      <c r="A79" s="1">
        <v>45946</v>
      </c>
      <c r="B79" t="s">
        <v>97</v>
      </c>
      <c r="D79" s="11"/>
      <c r="E79" s="11"/>
      <c r="F79" s="11"/>
      <c r="G79" s="11">
        <f>D79*E79</f>
        <v>0</v>
      </c>
      <c r="H79" s="11">
        <f>SUMIFS(Table14[Debit], Table14[Date], Table3[[#This Row],[Date]], Table14[Party], Table3[[#This Row],[Party Name]])</f>
        <v>300000</v>
      </c>
      <c r="I79" s="11">
        <f>(D79*E79)-Table3[[#This Row],[Paid]]</f>
        <v>-300000</v>
      </c>
    </row>
    <row r="80" spans="1:9" x14ac:dyDescent="0.3">
      <c r="A80" s="1"/>
      <c r="D80" s="14"/>
      <c r="E80" s="14"/>
      <c r="F80" s="14"/>
      <c r="G80" s="14">
        <f>SUBTOTAL(109,Table3[Total])</f>
        <v>6728265</v>
      </c>
      <c r="H80" s="14">
        <f>SUBTOTAL(109,Table3[Paid])</f>
        <v>7204131</v>
      </c>
      <c r="I80" s="14">
        <f>SUBTOTAL(109,Table3[balance])</f>
        <v>1972281</v>
      </c>
    </row>
    <row r="89" spans="5:9" x14ac:dyDescent="0.3">
      <c r="E89" s="3" t="s">
        <v>2</v>
      </c>
      <c r="F89" t="s">
        <v>88</v>
      </c>
    </row>
    <row r="91" spans="5:9" x14ac:dyDescent="0.3">
      <c r="E91" s="3" t="s">
        <v>101</v>
      </c>
      <c r="F91" t="s">
        <v>102</v>
      </c>
      <c r="G91" t="s">
        <v>103</v>
      </c>
      <c r="H91" t="s">
        <v>104</v>
      </c>
      <c r="I91" t="s">
        <v>105</v>
      </c>
    </row>
    <row r="92" spans="5:9" x14ac:dyDescent="0.3">
      <c r="E92" s="27">
        <v>45916</v>
      </c>
      <c r="F92" s="14">
        <v>579</v>
      </c>
      <c r="G92" s="14">
        <v>448190</v>
      </c>
      <c r="H92" s="14">
        <v>361826</v>
      </c>
      <c r="I92" s="14">
        <v>2641241</v>
      </c>
    </row>
    <row r="93" spans="5:9" x14ac:dyDescent="0.3">
      <c r="E93" s="49" t="s">
        <v>106</v>
      </c>
      <c r="F93" s="14">
        <v>80</v>
      </c>
      <c r="G93" s="14">
        <v>44000</v>
      </c>
      <c r="H93" s="14">
        <v>0</v>
      </c>
      <c r="I93" s="14">
        <v>44000</v>
      </c>
    </row>
    <row r="94" spans="5:9" x14ac:dyDescent="0.3">
      <c r="E94" s="49" t="s">
        <v>98</v>
      </c>
      <c r="F94" s="14"/>
      <c r="G94" s="14">
        <v>0</v>
      </c>
      <c r="H94" s="14">
        <v>0</v>
      </c>
      <c r="I94" s="14">
        <v>2554877</v>
      </c>
    </row>
    <row r="95" spans="5:9" x14ac:dyDescent="0.3">
      <c r="E95" s="49" t="s">
        <v>354</v>
      </c>
      <c r="F95" s="14">
        <v>237</v>
      </c>
      <c r="G95" s="14">
        <v>191970</v>
      </c>
      <c r="H95" s="14">
        <v>361826</v>
      </c>
      <c r="I95" s="14">
        <v>-169856</v>
      </c>
    </row>
    <row r="96" spans="5:9" x14ac:dyDescent="0.3">
      <c r="E96" s="49" t="s">
        <v>167</v>
      </c>
      <c r="F96" s="14">
        <v>262</v>
      </c>
      <c r="G96" s="14">
        <v>212220</v>
      </c>
      <c r="H96" s="14"/>
      <c r="I96" s="14">
        <v>212220</v>
      </c>
    </row>
    <row r="97" spans="5:9" x14ac:dyDescent="0.3">
      <c r="E97" s="27">
        <v>45917</v>
      </c>
      <c r="F97" s="14">
        <v>261</v>
      </c>
      <c r="G97" s="14">
        <v>143550</v>
      </c>
      <c r="H97" s="14">
        <v>120000</v>
      </c>
      <c r="I97" s="14">
        <v>23550</v>
      </c>
    </row>
    <row r="98" spans="5:9" x14ac:dyDescent="0.3">
      <c r="E98" s="49" t="s">
        <v>106</v>
      </c>
      <c r="F98" s="14">
        <v>261</v>
      </c>
      <c r="G98" s="14">
        <v>143550</v>
      </c>
      <c r="H98" s="14">
        <v>120000</v>
      </c>
      <c r="I98" s="14">
        <v>23550</v>
      </c>
    </row>
    <row r="99" spans="5:9" x14ac:dyDescent="0.3">
      <c r="E99" s="27">
        <v>45918</v>
      </c>
      <c r="F99" s="14">
        <v>291</v>
      </c>
      <c r="G99" s="14">
        <v>227390</v>
      </c>
      <c r="H99" s="14">
        <v>361760</v>
      </c>
      <c r="I99" s="14">
        <v>-134370</v>
      </c>
    </row>
    <row r="100" spans="5:9" x14ac:dyDescent="0.3">
      <c r="E100" s="49" t="s">
        <v>106</v>
      </c>
      <c r="F100" s="14">
        <v>32</v>
      </c>
      <c r="G100" s="14">
        <v>17600</v>
      </c>
      <c r="H100" s="14">
        <v>120000</v>
      </c>
      <c r="I100" s="14">
        <v>-102400</v>
      </c>
    </row>
    <row r="101" spans="5:9" x14ac:dyDescent="0.3">
      <c r="E101" s="49" t="s">
        <v>186</v>
      </c>
      <c r="F101" s="14">
        <v>259</v>
      </c>
      <c r="G101" s="14">
        <v>209790</v>
      </c>
      <c r="H101" s="14">
        <v>241760</v>
      </c>
      <c r="I101" s="14">
        <v>-31970</v>
      </c>
    </row>
    <row r="102" spans="5:9" x14ac:dyDescent="0.3">
      <c r="E102" s="27">
        <v>45919</v>
      </c>
      <c r="F102" s="14">
        <v>206</v>
      </c>
      <c r="G102" s="14">
        <v>165285</v>
      </c>
      <c r="H102" s="14">
        <v>234300</v>
      </c>
      <c r="I102" s="14">
        <v>-69015</v>
      </c>
    </row>
    <row r="103" spans="5:9" x14ac:dyDescent="0.3">
      <c r="E103" s="49" t="s">
        <v>355</v>
      </c>
      <c r="F103" s="14">
        <v>206</v>
      </c>
      <c r="G103" s="14">
        <v>165285</v>
      </c>
      <c r="H103" s="14">
        <v>234300</v>
      </c>
      <c r="I103" s="14">
        <v>-69015</v>
      </c>
    </row>
    <row r="104" spans="5:9" x14ac:dyDescent="0.3">
      <c r="E104" s="27">
        <v>45920</v>
      </c>
      <c r="F104" s="14">
        <v>633</v>
      </c>
      <c r="G104" s="14">
        <v>477975</v>
      </c>
      <c r="H104" s="14">
        <v>223385</v>
      </c>
      <c r="I104" s="14">
        <v>254590</v>
      </c>
    </row>
    <row r="105" spans="5:9" x14ac:dyDescent="0.3">
      <c r="E105" s="49" t="s">
        <v>106</v>
      </c>
      <c r="F105" s="14">
        <v>84</v>
      </c>
      <c r="G105" s="14">
        <v>46200</v>
      </c>
      <c r="H105" s="14">
        <v>0</v>
      </c>
      <c r="I105" s="14">
        <v>46200</v>
      </c>
    </row>
    <row r="106" spans="5:9" x14ac:dyDescent="0.3">
      <c r="E106" s="49" t="s">
        <v>202</v>
      </c>
      <c r="F106" s="14">
        <v>262</v>
      </c>
      <c r="G106" s="14">
        <v>212220</v>
      </c>
      <c r="H106" s="14">
        <v>223385</v>
      </c>
      <c r="I106" s="14">
        <v>-11165</v>
      </c>
    </row>
    <row r="107" spans="5:9" x14ac:dyDescent="0.3">
      <c r="E107" s="49" t="s">
        <v>204</v>
      </c>
      <c r="F107" s="14">
        <v>287</v>
      </c>
      <c r="G107" s="14">
        <v>219555</v>
      </c>
      <c r="H107" s="14"/>
      <c r="I107" s="14">
        <v>219555</v>
      </c>
    </row>
    <row r="108" spans="5:9" x14ac:dyDescent="0.3">
      <c r="E108" s="27">
        <v>45921</v>
      </c>
      <c r="F108" s="14">
        <v>298</v>
      </c>
      <c r="G108" s="14">
        <v>216425</v>
      </c>
      <c r="H108" s="14">
        <v>36000</v>
      </c>
      <c r="I108" s="14">
        <v>180425</v>
      </c>
    </row>
    <row r="109" spans="5:9" x14ac:dyDescent="0.3">
      <c r="E109" s="49" t="s">
        <v>106</v>
      </c>
      <c r="F109" s="14">
        <v>83</v>
      </c>
      <c r="G109" s="14">
        <v>45650</v>
      </c>
      <c r="H109" s="14">
        <v>0</v>
      </c>
      <c r="I109" s="14">
        <v>45650</v>
      </c>
    </row>
    <row r="110" spans="5:9" x14ac:dyDescent="0.3">
      <c r="E110" s="49" t="s">
        <v>212</v>
      </c>
      <c r="F110" s="14">
        <v>215</v>
      </c>
      <c r="G110" s="14">
        <v>170775</v>
      </c>
      <c r="H110" s="14">
        <v>36000</v>
      </c>
      <c r="I110" s="14">
        <v>134775</v>
      </c>
    </row>
    <row r="111" spans="5:9" x14ac:dyDescent="0.3">
      <c r="E111" s="27">
        <v>45922</v>
      </c>
      <c r="F111" s="14">
        <v>217</v>
      </c>
      <c r="G111" s="14">
        <v>175770</v>
      </c>
      <c r="H111" s="14">
        <v>399402</v>
      </c>
      <c r="I111" s="14">
        <v>-223632</v>
      </c>
    </row>
    <row r="112" spans="5:9" x14ac:dyDescent="0.3">
      <c r="E112" s="49" t="s">
        <v>106</v>
      </c>
      <c r="F112" s="14"/>
      <c r="G112" s="14">
        <v>0</v>
      </c>
      <c r="H112" s="14">
        <v>150000</v>
      </c>
      <c r="I112" s="14">
        <v>-150000</v>
      </c>
    </row>
    <row r="113" spans="5:9" x14ac:dyDescent="0.3">
      <c r="E113" s="49" t="s">
        <v>216</v>
      </c>
      <c r="F113" s="14">
        <v>217</v>
      </c>
      <c r="G113" s="14">
        <v>175770</v>
      </c>
      <c r="H113" s="14">
        <v>249402</v>
      </c>
      <c r="I113" s="14">
        <v>-73632</v>
      </c>
    </row>
    <row r="114" spans="5:9" x14ac:dyDescent="0.3">
      <c r="E114" s="27">
        <v>45923</v>
      </c>
      <c r="F114" s="14">
        <v>526</v>
      </c>
      <c r="G114" s="14">
        <v>398160</v>
      </c>
      <c r="H114" s="14">
        <v>362400</v>
      </c>
      <c r="I114" s="14">
        <v>35760</v>
      </c>
    </row>
    <row r="115" spans="5:9" x14ac:dyDescent="0.3">
      <c r="E115" s="49" t="s">
        <v>106</v>
      </c>
      <c r="F115" s="14">
        <v>90</v>
      </c>
      <c r="G115" s="14">
        <v>49500</v>
      </c>
      <c r="H115" s="14">
        <v>0</v>
      </c>
      <c r="I115" s="14">
        <v>49500</v>
      </c>
    </row>
    <row r="116" spans="5:9" x14ac:dyDescent="0.3">
      <c r="E116" s="49" t="s">
        <v>228</v>
      </c>
      <c r="F116" s="14">
        <v>204</v>
      </c>
      <c r="G116" s="14">
        <v>160740</v>
      </c>
      <c r="H116" s="14">
        <v>362400</v>
      </c>
      <c r="I116" s="14">
        <v>-201660</v>
      </c>
    </row>
    <row r="117" spans="5:9" x14ac:dyDescent="0.3">
      <c r="E117" s="49" t="s">
        <v>232</v>
      </c>
      <c r="F117" s="14">
        <v>232</v>
      </c>
      <c r="G117" s="14">
        <v>187920</v>
      </c>
      <c r="H117" s="14"/>
      <c r="I117" s="14">
        <v>187920</v>
      </c>
    </row>
    <row r="118" spans="5:9" x14ac:dyDescent="0.3">
      <c r="E118" s="27">
        <v>45925</v>
      </c>
      <c r="F118" s="14">
        <v>90</v>
      </c>
      <c r="G118" s="14">
        <v>52200</v>
      </c>
      <c r="H118" s="14">
        <v>300010</v>
      </c>
      <c r="I118" s="14">
        <v>-247810</v>
      </c>
    </row>
    <row r="119" spans="5:9" x14ac:dyDescent="0.3">
      <c r="E119" s="49" t="s">
        <v>106</v>
      </c>
      <c r="F119" s="14">
        <v>90</v>
      </c>
      <c r="G119" s="14">
        <v>52200</v>
      </c>
      <c r="H119" s="14">
        <v>300010</v>
      </c>
      <c r="I119" s="14">
        <v>-247810</v>
      </c>
    </row>
    <row r="120" spans="5:9" x14ac:dyDescent="0.3">
      <c r="E120" s="27">
        <v>45926</v>
      </c>
      <c r="F120" s="14">
        <v>558</v>
      </c>
      <c r="G120" s="14">
        <v>451980</v>
      </c>
      <c r="H120" s="14">
        <v>395600</v>
      </c>
      <c r="I120" s="14">
        <v>56380</v>
      </c>
    </row>
    <row r="121" spans="5:9" x14ac:dyDescent="0.3">
      <c r="E121" s="49" t="s">
        <v>356</v>
      </c>
      <c r="F121" s="14">
        <v>253</v>
      </c>
      <c r="G121" s="14">
        <v>204930</v>
      </c>
      <c r="H121" s="14">
        <v>395600</v>
      </c>
      <c r="I121" s="14">
        <v>-190670</v>
      </c>
    </row>
    <row r="122" spans="5:9" x14ac:dyDescent="0.3">
      <c r="E122" s="49" t="s">
        <v>252</v>
      </c>
      <c r="F122" s="14">
        <v>305</v>
      </c>
      <c r="G122" s="14">
        <v>247050</v>
      </c>
      <c r="H122" s="14"/>
      <c r="I122" s="14">
        <v>247050</v>
      </c>
    </row>
    <row r="123" spans="5:9" x14ac:dyDescent="0.3">
      <c r="E123" s="27">
        <v>45927</v>
      </c>
      <c r="F123" s="14">
        <v>197</v>
      </c>
      <c r="G123" s="14">
        <v>157320</v>
      </c>
      <c r="H123" s="14">
        <v>334500</v>
      </c>
      <c r="I123" s="14">
        <v>-177180</v>
      </c>
    </row>
    <row r="124" spans="5:9" x14ac:dyDescent="0.3">
      <c r="E124" s="49" t="s">
        <v>264</v>
      </c>
      <c r="F124" s="14">
        <v>197</v>
      </c>
      <c r="G124" s="14">
        <v>157320</v>
      </c>
      <c r="H124" s="14">
        <v>334500</v>
      </c>
      <c r="I124" s="14">
        <v>-177180</v>
      </c>
    </row>
    <row r="125" spans="5:9" x14ac:dyDescent="0.3">
      <c r="E125" s="27">
        <v>45924</v>
      </c>
      <c r="F125" s="14"/>
      <c r="G125" s="14">
        <v>0</v>
      </c>
      <c r="H125" s="14">
        <v>205000</v>
      </c>
      <c r="I125" s="14">
        <v>-205000</v>
      </c>
    </row>
    <row r="126" spans="5:9" x14ac:dyDescent="0.3">
      <c r="E126" s="49" t="s">
        <v>106</v>
      </c>
      <c r="F126" s="14"/>
      <c r="G126" s="14">
        <v>0</v>
      </c>
      <c r="H126" s="14">
        <v>205000</v>
      </c>
      <c r="I126" s="14">
        <v>-205000</v>
      </c>
    </row>
    <row r="127" spans="5:9" x14ac:dyDescent="0.3">
      <c r="E127" s="27">
        <v>45928</v>
      </c>
      <c r="F127" s="14">
        <v>803</v>
      </c>
      <c r="G127" s="14">
        <v>581660</v>
      </c>
      <c r="H127" s="14">
        <v>67300</v>
      </c>
      <c r="I127" s="14">
        <v>514360</v>
      </c>
    </row>
    <row r="128" spans="5:9" x14ac:dyDescent="0.3">
      <c r="E128" s="49" t="s">
        <v>106</v>
      </c>
      <c r="F128" s="14">
        <v>299</v>
      </c>
      <c r="G128" s="14">
        <v>173420</v>
      </c>
      <c r="H128" s="14"/>
      <c r="I128" s="14">
        <v>173420</v>
      </c>
    </row>
    <row r="129" spans="5:9" x14ac:dyDescent="0.3">
      <c r="E129" s="49" t="s">
        <v>269</v>
      </c>
      <c r="F129" s="14">
        <v>263</v>
      </c>
      <c r="G129" s="14">
        <v>213030</v>
      </c>
      <c r="H129" s="14">
        <v>67300</v>
      </c>
      <c r="I129" s="14">
        <v>145730</v>
      </c>
    </row>
    <row r="130" spans="5:9" x14ac:dyDescent="0.3">
      <c r="E130" s="49" t="s">
        <v>270</v>
      </c>
      <c r="F130" s="14">
        <v>241</v>
      </c>
      <c r="G130" s="14">
        <v>195210</v>
      </c>
      <c r="H130" s="14"/>
      <c r="I130" s="14">
        <v>195210</v>
      </c>
    </row>
    <row r="131" spans="5:9" x14ac:dyDescent="0.3">
      <c r="E131" s="27">
        <v>45929</v>
      </c>
      <c r="F131" s="14">
        <v>205</v>
      </c>
      <c r="G131" s="14">
        <v>156825</v>
      </c>
      <c r="H131" s="14">
        <v>342702</v>
      </c>
      <c r="I131" s="14">
        <v>-185877</v>
      </c>
    </row>
    <row r="132" spans="5:9" x14ac:dyDescent="0.3">
      <c r="E132" s="49" t="s">
        <v>276</v>
      </c>
      <c r="F132" s="14">
        <v>205</v>
      </c>
      <c r="G132" s="14">
        <v>156825</v>
      </c>
      <c r="H132" s="14">
        <v>342702</v>
      </c>
      <c r="I132" s="14">
        <v>-185877</v>
      </c>
    </row>
    <row r="133" spans="5:9" x14ac:dyDescent="0.3">
      <c r="E133" s="27">
        <v>45930</v>
      </c>
      <c r="F133" s="14">
        <v>578</v>
      </c>
      <c r="G133" s="14">
        <v>448775</v>
      </c>
      <c r="H133" s="14">
        <v>341390</v>
      </c>
      <c r="I133" s="14">
        <v>107385</v>
      </c>
    </row>
    <row r="134" spans="5:9" x14ac:dyDescent="0.3">
      <c r="E134" s="49" t="s">
        <v>106</v>
      </c>
      <c r="F134" s="14">
        <v>41</v>
      </c>
      <c r="G134" s="14">
        <v>23780</v>
      </c>
      <c r="H134" s="14"/>
      <c r="I134" s="14">
        <v>23780</v>
      </c>
    </row>
    <row r="135" spans="5:9" x14ac:dyDescent="0.3">
      <c r="E135" s="49" t="s">
        <v>287</v>
      </c>
      <c r="F135" s="14">
        <v>252</v>
      </c>
      <c r="G135" s="14">
        <v>204120</v>
      </c>
      <c r="H135" s="14">
        <v>341390</v>
      </c>
      <c r="I135" s="14">
        <v>-137270</v>
      </c>
    </row>
    <row r="136" spans="5:9" x14ac:dyDescent="0.3">
      <c r="E136" s="49">
        <v>3414</v>
      </c>
      <c r="F136" s="14">
        <v>285</v>
      </c>
      <c r="G136" s="14">
        <v>220875</v>
      </c>
      <c r="H136" s="14"/>
      <c r="I136" s="14">
        <v>220875</v>
      </c>
    </row>
    <row r="137" spans="5:9" x14ac:dyDescent="0.3">
      <c r="E137" s="27">
        <v>45931</v>
      </c>
      <c r="F137" s="14">
        <v>671</v>
      </c>
      <c r="G137" s="14">
        <v>530235</v>
      </c>
      <c r="H137" s="14">
        <v>402560</v>
      </c>
      <c r="I137" s="14">
        <v>127675</v>
      </c>
    </row>
    <row r="138" spans="5:9" x14ac:dyDescent="0.3">
      <c r="E138" s="49" t="s">
        <v>294</v>
      </c>
      <c r="F138" s="14">
        <v>295</v>
      </c>
      <c r="G138" s="14">
        <v>225675</v>
      </c>
      <c r="H138" s="14">
        <v>402560</v>
      </c>
      <c r="I138" s="14">
        <v>-176885</v>
      </c>
    </row>
    <row r="139" spans="5:9" x14ac:dyDescent="0.3">
      <c r="E139" s="49" t="s">
        <v>295</v>
      </c>
      <c r="F139" s="14">
        <v>376</v>
      </c>
      <c r="G139" s="14">
        <v>304560</v>
      </c>
      <c r="H139" s="14"/>
      <c r="I139" s="14">
        <v>304560</v>
      </c>
    </row>
    <row r="140" spans="5:9" x14ac:dyDescent="0.3">
      <c r="E140" s="27">
        <v>45932</v>
      </c>
      <c r="F140" s="14">
        <v>519</v>
      </c>
      <c r="G140" s="14">
        <v>420390</v>
      </c>
      <c r="H140" s="14">
        <v>509740</v>
      </c>
      <c r="I140" s="14">
        <v>-89350</v>
      </c>
    </row>
    <row r="141" spans="5:9" x14ac:dyDescent="0.3">
      <c r="E141" s="49" t="s">
        <v>106</v>
      </c>
      <c r="F141" s="14"/>
      <c r="G141" s="14">
        <v>0</v>
      </c>
      <c r="H141" s="14">
        <v>125000</v>
      </c>
      <c r="I141" s="14">
        <v>-125000</v>
      </c>
    </row>
    <row r="142" spans="5:9" x14ac:dyDescent="0.3">
      <c r="E142" s="49" t="s">
        <v>303</v>
      </c>
      <c r="F142" s="14">
        <v>244</v>
      </c>
      <c r="G142" s="14">
        <v>197640</v>
      </c>
      <c r="H142" s="14">
        <v>384740</v>
      </c>
      <c r="I142" s="14">
        <v>-187100</v>
      </c>
    </row>
    <row r="143" spans="5:9" x14ac:dyDescent="0.3">
      <c r="E143" s="49" t="s">
        <v>302</v>
      </c>
      <c r="F143" s="14">
        <v>275</v>
      </c>
      <c r="G143" s="14">
        <v>222750</v>
      </c>
      <c r="H143" s="14"/>
      <c r="I143" s="14">
        <v>222750</v>
      </c>
    </row>
    <row r="144" spans="5:9" x14ac:dyDescent="0.3">
      <c r="E144" s="27">
        <v>45933</v>
      </c>
      <c r="F144" s="14">
        <v>653</v>
      </c>
      <c r="G144" s="14">
        <v>528930</v>
      </c>
      <c r="H144" s="14">
        <v>429370</v>
      </c>
      <c r="I144" s="14">
        <v>99560</v>
      </c>
    </row>
    <row r="145" spans="5:9" x14ac:dyDescent="0.3">
      <c r="E145" s="49" t="s">
        <v>314</v>
      </c>
      <c r="F145" s="14">
        <v>210</v>
      </c>
      <c r="G145" s="14">
        <v>170100</v>
      </c>
      <c r="H145" s="14">
        <v>429370</v>
      </c>
      <c r="I145" s="14">
        <v>-259270</v>
      </c>
    </row>
    <row r="146" spans="5:9" x14ac:dyDescent="0.3">
      <c r="E146" s="49" t="s">
        <v>313</v>
      </c>
      <c r="F146" s="14">
        <v>443</v>
      </c>
      <c r="G146" s="14">
        <v>358830</v>
      </c>
      <c r="H146" s="14"/>
      <c r="I146" s="14">
        <v>358830</v>
      </c>
    </row>
    <row r="147" spans="5:9" x14ac:dyDescent="0.3">
      <c r="E147" s="27">
        <v>45934</v>
      </c>
      <c r="F147" s="14">
        <v>504</v>
      </c>
      <c r="G147" s="14">
        <v>399280</v>
      </c>
      <c r="H147" s="14">
        <v>41720</v>
      </c>
      <c r="I147" s="14">
        <v>357560</v>
      </c>
    </row>
    <row r="148" spans="5:9" x14ac:dyDescent="0.3">
      <c r="E148" s="49" t="s">
        <v>330</v>
      </c>
      <c r="F148" s="14">
        <v>248</v>
      </c>
      <c r="G148" s="14">
        <v>200880</v>
      </c>
      <c r="H148" s="14">
        <v>41720</v>
      </c>
      <c r="I148" s="14">
        <v>159160</v>
      </c>
    </row>
    <row r="149" spans="5:9" x14ac:dyDescent="0.3">
      <c r="E149" s="49" t="s">
        <v>349</v>
      </c>
      <c r="F149" s="14">
        <v>256</v>
      </c>
      <c r="G149" s="14">
        <v>198400</v>
      </c>
      <c r="H149" s="14"/>
      <c r="I149" s="14">
        <v>198400</v>
      </c>
    </row>
    <row r="150" spans="5:9" x14ac:dyDescent="0.3">
      <c r="E150" s="27">
        <v>45935</v>
      </c>
      <c r="F150" s="14"/>
      <c r="G150" s="14">
        <v>0</v>
      </c>
      <c r="H150" s="14">
        <v>300900</v>
      </c>
      <c r="I150" s="14">
        <v>-300900</v>
      </c>
    </row>
    <row r="151" spans="5:9" x14ac:dyDescent="0.3">
      <c r="E151" s="49" t="s">
        <v>106</v>
      </c>
      <c r="F151" s="14"/>
      <c r="G151" s="14">
        <v>0</v>
      </c>
      <c r="H151" s="14">
        <v>300900</v>
      </c>
      <c r="I151" s="14">
        <v>-300900</v>
      </c>
    </row>
    <row r="152" spans="5:9" x14ac:dyDescent="0.3">
      <c r="E152" s="27">
        <v>45936</v>
      </c>
      <c r="F152" s="14">
        <v>992</v>
      </c>
      <c r="G152" s="14">
        <v>790380</v>
      </c>
      <c r="H152" s="14">
        <v>361393</v>
      </c>
      <c r="I152" s="14">
        <v>428987</v>
      </c>
    </row>
    <row r="153" spans="5:9" x14ac:dyDescent="0.3">
      <c r="E153" s="49" t="s">
        <v>106</v>
      </c>
      <c r="F153" s="14"/>
      <c r="G153" s="14">
        <v>0</v>
      </c>
      <c r="H153" s="14">
        <v>219875</v>
      </c>
      <c r="I153" s="14">
        <v>-219875</v>
      </c>
    </row>
    <row r="154" spans="5:9" x14ac:dyDescent="0.3">
      <c r="E154" s="49" t="s">
        <v>341</v>
      </c>
      <c r="F154" s="14">
        <v>292</v>
      </c>
      <c r="G154" s="14">
        <v>223380</v>
      </c>
      <c r="H154" s="14">
        <v>141518</v>
      </c>
      <c r="I154" s="14">
        <v>81862</v>
      </c>
    </row>
    <row r="155" spans="5:9" x14ac:dyDescent="0.3">
      <c r="E155" s="49" t="s">
        <v>342</v>
      </c>
      <c r="F155" s="14">
        <v>439</v>
      </c>
      <c r="G155" s="14">
        <v>355590</v>
      </c>
      <c r="H155" s="14"/>
      <c r="I155" s="14">
        <v>355590</v>
      </c>
    </row>
    <row r="156" spans="5:9" x14ac:dyDescent="0.3">
      <c r="E156" s="49" t="s">
        <v>339</v>
      </c>
      <c r="F156" s="14">
        <v>261</v>
      </c>
      <c r="G156" s="14">
        <v>211410</v>
      </c>
      <c r="H156" s="14"/>
      <c r="I156" s="14">
        <v>211410</v>
      </c>
    </row>
    <row r="157" spans="5:9" x14ac:dyDescent="0.3">
      <c r="E157" s="27">
        <v>45937</v>
      </c>
      <c r="F157" s="14"/>
      <c r="G157" s="14">
        <v>0</v>
      </c>
      <c r="H157" s="14">
        <v>452300</v>
      </c>
      <c r="I157" s="14">
        <v>-452300</v>
      </c>
    </row>
    <row r="158" spans="5:9" x14ac:dyDescent="0.3">
      <c r="E158" s="49" t="s">
        <v>106</v>
      </c>
      <c r="F158" s="14"/>
      <c r="G158" s="14">
        <v>0</v>
      </c>
      <c r="H158" s="14">
        <v>452300</v>
      </c>
      <c r="I158" s="14">
        <v>-452300</v>
      </c>
    </row>
    <row r="159" spans="5:9" x14ac:dyDescent="0.3">
      <c r="E159" s="27">
        <v>45938</v>
      </c>
      <c r="F159" s="14">
        <v>605</v>
      </c>
      <c r="G159" s="14">
        <v>465515</v>
      </c>
      <c r="H159" s="14">
        <v>609043</v>
      </c>
      <c r="I159" s="14">
        <v>-143528</v>
      </c>
    </row>
    <row r="160" spans="5:9" x14ac:dyDescent="0.3">
      <c r="E160" s="49" t="s">
        <v>106</v>
      </c>
      <c r="F160" s="14"/>
      <c r="G160" s="14">
        <v>0</v>
      </c>
      <c r="H160" s="14">
        <v>303003</v>
      </c>
      <c r="I160" s="14">
        <v>-303003</v>
      </c>
    </row>
    <row r="161" spans="5:9" x14ac:dyDescent="0.3">
      <c r="E161" s="49" t="s">
        <v>370</v>
      </c>
      <c r="F161" s="14">
        <v>336</v>
      </c>
      <c r="G161" s="14">
        <v>257040</v>
      </c>
      <c r="H161" s="14">
        <v>256040</v>
      </c>
      <c r="I161" s="14">
        <v>1000</v>
      </c>
    </row>
    <row r="162" spans="5:9" x14ac:dyDescent="0.3">
      <c r="E162" s="49" t="s">
        <v>371</v>
      </c>
      <c r="F162" s="14">
        <v>269</v>
      </c>
      <c r="G162" s="14">
        <v>208475</v>
      </c>
      <c r="H162" s="14">
        <v>0</v>
      </c>
      <c r="I162" s="14">
        <v>208475</v>
      </c>
    </row>
    <row r="163" spans="5:9" x14ac:dyDescent="0.3">
      <c r="E163" s="49" t="s">
        <v>372</v>
      </c>
      <c r="F163" s="14"/>
      <c r="G163" s="14">
        <v>0</v>
      </c>
      <c r="H163" s="14">
        <v>50000</v>
      </c>
      <c r="I163" s="14">
        <v>-50000</v>
      </c>
    </row>
    <row r="164" spans="5:9" x14ac:dyDescent="0.3">
      <c r="E164" s="27">
        <v>45940</v>
      </c>
      <c r="F164" s="14"/>
      <c r="G164" s="14">
        <v>0</v>
      </c>
      <c r="H164" s="14">
        <v>201255</v>
      </c>
      <c r="I164" s="14">
        <v>-201255</v>
      </c>
    </row>
    <row r="165" spans="5:9" x14ac:dyDescent="0.3">
      <c r="E165" s="49" t="s">
        <v>106</v>
      </c>
      <c r="F165" s="14"/>
      <c r="G165" s="14">
        <v>0</v>
      </c>
      <c r="H165" s="14">
        <v>201255</v>
      </c>
      <c r="I165" s="14">
        <v>-201255</v>
      </c>
    </row>
    <row r="166" spans="5:9" x14ac:dyDescent="0.3">
      <c r="E166" s="27">
        <v>45942</v>
      </c>
      <c r="F166" s="14">
        <v>260</v>
      </c>
      <c r="G166" s="14">
        <v>210600</v>
      </c>
      <c r="H166" s="14">
        <v>43600</v>
      </c>
      <c r="I166" s="14">
        <v>167000</v>
      </c>
    </row>
    <row r="167" spans="5:9" x14ac:dyDescent="0.3">
      <c r="E167" s="49" t="s">
        <v>232</v>
      </c>
      <c r="F167" s="14">
        <v>260</v>
      </c>
      <c r="G167" s="14">
        <v>210600</v>
      </c>
      <c r="H167" s="14">
        <v>43600</v>
      </c>
      <c r="I167" s="14">
        <v>167000</v>
      </c>
    </row>
    <row r="168" spans="5:9" x14ac:dyDescent="0.3">
      <c r="E168" s="27">
        <v>45943</v>
      </c>
      <c r="F168" s="14">
        <v>674</v>
      </c>
      <c r="G168" s="14">
        <v>534915</v>
      </c>
      <c r="H168" s="14">
        <v>101600</v>
      </c>
      <c r="I168" s="14">
        <v>433315</v>
      </c>
    </row>
    <row r="169" spans="5:9" x14ac:dyDescent="0.3">
      <c r="E169" s="49" t="s">
        <v>313</v>
      </c>
      <c r="F169" s="14">
        <v>429</v>
      </c>
      <c r="G169" s="14">
        <v>347490</v>
      </c>
      <c r="H169" s="14"/>
      <c r="I169" s="14">
        <v>347490</v>
      </c>
    </row>
    <row r="170" spans="5:9" x14ac:dyDescent="0.3">
      <c r="E170" s="49" t="s">
        <v>400</v>
      </c>
      <c r="F170" s="14">
        <v>245</v>
      </c>
      <c r="G170" s="14">
        <v>187425</v>
      </c>
      <c r="H170" s="14">
        <v>101600</v>
      </c>
      <c r="I170" s="14">
        <v>85825</v>
      </c>
    </row>
    <row r="171" spans="5:9" x14ac:dyDescent="0.3">
      <c r="E171" s="27">
        <v>45944</v>
      </c>
      <c r="F171" s="14"/>
      <c r="G171" s="14">
        <v>0</v>
      </c>
      <c r="H171" s="14">
        <v>404250</v>
      </c>
      <c r="I171" s="14">
        <v>-404250</v>
      </c>
    </row>
    <row r="172" spans="5:9" x14ac:dyDescent="0.3">
      <c r="E172" s="49" t="s">
        <v>106</v>
      </c>
      <c r="F172" s="14"/>
      <c r="G172" s="14">
        <v>0</v>
      </c>
      <c r="H172" s="14">
        <v>404250</v>
      </c>
      <c r="I172" s="14">
        <v>-404250</v>
      </c>
    </row>
    <row r="173" spans="5:9" x14ac:dyDescent="0.3">
      <c r="E173" s="27">
        <v>45945</v>
      </c>
      <c r="F173" s="14">
        <v>297</v>
      </c>
      <c r="G173" s="14">
        <v>240570</v>
      </c>
      <c r="H173" s="14">
        <v>101750</v>
      </c>
      <c r="I173" s="14">
        <v>138820</v>
      </c>
    </row>
    <row r="174" spans="5:9" x14ac:dyDescent="0.3">
      <c r="E174" s="49" t="s">
        <v>106</v>
      </c>
      <c r="F174" s="14"/>
      <c r="G174" s="14">
        <v>0</v>
      </c>
      <c r="H174" s="14">
        <v>70000</v>
      </c>
      <c r="I174" s="14">
        <v>-70000</v>
      </c>
    </row>
    <row r="175" spans="5:9" x14ac:dyDescent="0.3">
      <c r="E175" s="49" t="s">
        <v>424</v>
      </c>
      <c r="F175" s="14">
        <v>297</v>
      </c>
      <c r="G175" s="14">
        <v>240570</v>
      </c>
      <c r="H175" s="14">
        <v>31750</v>
      </c>
      <c r="I175" s="14">
        <v>208820</v>
      </c>
    </row>
    <row r="176" spans="5:9" x14ac:dyDescent="0.3">
      <c r="E176" s="27" t="s">
        <v>28</v>
      </c>
      <c r="F176" s="14">
        <v>10617</v>
      </c>
      <c r="G176" s="14">
        <v>8222320</v>
      </c>
      <c r="H176" s="14">
        <v>8045056</v>
      </c>
      <c r="I176" s="14">
        <v>2732141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44"/>
  <sheetViews>
    <sheetView topLeftCell="A432" zoomScale="132" workbookViewId="0">
      <selection activeCell="A444" sqref="A44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4">
        <v>45916</v>
      </c>
      <c r="B2" s="89" t="s">
        <v>164</v>
      </c>
      <c r="C2" s="11"/>
      <c r="D2" s="95">
        <f>[1]Cashbook!$R$10</f>
        <v>-466706</v>
      </c>
      <c r="E2" s="89"/>
      <c r="F2" s="96" t="s">
        <v>111</v>
      </c>
    </row>
    <row r="3" spans="1:16" x14ac:dyDescent="0.3">
      <c r="A3" s="94">
        <v>45916</v>
      </c>
      <c r="B3" s="89" t="s">
        <v>164</v>
      </c>
      <c r="C3" s="11"/>
      <c r="D3" s="95">
        <f>[1]Cashbook!$R$11</f>
        <v>-781867</v>
      </c>
      <c r="E3" s="89"/>
      <c r="F3" s="96" t="s">
        <v>112</v>
      </c>
      <c r="J3" s="55" t="s">
        <v>45</v>
      </c>
      <c r="K3" s="40" t="s">
        <v>46</v>
      </c>
      <c r="M3" s="55" t="s">
        <v>45</v>
      </c>
      <c r="N3" s="58" t="s">
        <v>107</v>
      </c>
      <c r="O3" s="98" t="s">
        <v>108</v>
      </c>
      <c r="P3" t="s">
        <v>109</v>
      </c>
    </row>
    <row r="4" spans="1:16" x14ac:dyDescent="0.3">
      <c r="A4" s="104">
        <v>45916</v>
      </c>
      <c r="B4" t="s">
        <v>22</v>
      </c>
      <c r="C4" s="11"/>
      <c r="D4" s="11">
        <v>125000</v>
      </c>
      <c r="F4" s="52" t="s">
        <v>111</v>
      </c>
      <c r="J4" s="53" t="s">
        <v>70</v>
      </c>
      <c r="K4" s="54">
        <f>Table14[[#Totals],[Debit]]</f>
        <v>16287118</v>
      </c>
      <c r="M4" s="53" t="s">
        <v>110</v>
      </c>
      <c r="N4" s="59">
        <f>SUMIFS(Table14[Withdrawal],Table14[Party],"Cash",Table14[Mode],"Transfer")</f>
        <v>363000</v>
      </c>
    </row>
    <row r="5" spans="1:16" x14ac:dyDescent="0.3">
      <c r="A5" s="104">
        <v>45916</v>
      </c>
      <c r="B5" t="s">
        <v>97</v>
      </c>
      <c r="C5" s="112">
        <v>38800</v>
      </c>
      <c r="D5" s="11"/>
      <c r="E5" t="s">
        <v>165</v>
      </c>
      <c r="F5" s="52" t="s">
        <v>111</v>
      </c>
      <c r="J5" s="53" t="s">
        <v>69</v>
      </c>
      <c r="K5" s="54">
        <f>Table14[[#Totals],[Credit]]</f>
        <v>16263896</v>
      </c>
      <c r="M5" s="53" t="s">
        <v>111</v>
      </c>
      <c r="N5" s="54">
        <f>(SUMIFS(Table14[Credit],Table14[Mode],"Bank")-SUMIFS(Table14[Debit],Table14[Mode],"Bank")-SUMIFS(Table14[Withdrawal],Table14[Mode],"Transfer"))</f>
        <v>-23992</v>
      </c>
      <c r="O5">
        <v>360000</v>
      </c>
    </row>
    <row r="6" spans="1:16" x14ac:dyDescent="0.3">
      <c r="A6" s="104">
        <v>45916</v>
      </c>
      <c r="B6" t="s">
        <v>27</v>
      </c>
      <c r="C6" s="11"/>
      <c r="D6" s="11">
        <v>100000</v>
      </c>
      <c r="F6" s="52" t="s">
        <v>112</v>
      </c>
      <c r="J6" s="60" t="s">
        <v>43</v>
      </c>
      <c r="K6" s="61">
        <f>(K5-K4)</f>
        <v>-23222</v>
      </c>
      <c r="M6" s="53" t="s">
        <v>112</v>
      </c>
      <c r="N6" s="54">
        <f>((SUMIFS(Table14[Credit],Table14[Mode],"Cash")-SUMIFS(Table14[Debit],Table14[Mode],"Cash"))+SUMIFS(Table14[Withdrawal],Table14[Party],"Cash",Table14[Mode],"Transfer"))</f>
        <v>770</v>
      </c>
      <c r="O6">
        <v>50000</v>
      </c>
    </row>
    <row r="7" spans="1:16" x14ac:dyDescent="0.3">
      <c r="A7" s="104">
        <v>45916</v>
      </c>
      <c r="B7" t="s">
        <v>9</v>
      </c>
      <c r="C7" s="11"/>
      <c r="D7" s="11">
        <v>100000</v>
      </c>
      <c r="F7" s="52" t="s">
        <v>112</v>
      </c>
      <c r="M7" s="56" t="s">
        <v>5</v>
      </c>
      <c r="N7" s="57">
        <f>SUM(N5:N6)</f>
        <v>-23222</v>
      </c>
      <c r="O7" s="99">
        <f>SUM(O5,O6)</f>
        <v>410000</v>
      </c>
      <c r="P7" s="14">
        <f>Table18[[#Totals],[amount]]-Table18[[#Totals],[Actual]]</f>
        <v>-433222</v>
      </c>
    </row>
    <row r="8" spans="1:16" x14ac:dyDescent="0.3">
      <c r="A8" s="104">
        <v>45916</v>
      </c>
      <c r="B8" t="s">
        <v>9</v>
      </c>
      <c r="C8" s="47"/>
      <c r="D8" s="47">
        <v>280516</v>
      </c>
      <c r="F8" s="52" t="s">
        <v>111</v>
      </c>
    </row>
    <row r="9" spans="1:16" x14ac:dyDescent="0.3">
      <c r="A9" s="104">
        <v>45916</v>
      </c>
      <c r="B9" t="s">
        <v>97</v>
      </c>
      <c r="C9" s="112">
        <v>280516</v>
      </c>
      <c r="D9" s="11"/>
      <c r="F9" s="52" t="s">
        <v>111</v>
      </c>
    </row>
    <row r="10" spans="1:16" x14ac:dyDescent="0.3">
      <c r="A10" s="104">
        <v>45916</v>
      </c>
      <c r="B10" t="s">
        <v>50</v>
      </c>
      <c r="C10" s="11">
        <v>200</v>
      </c>
      <c r="D10" s="11"/>
      <c r="E10" t="s">
        <v>166</v>
      </c>
      <c r="F10" s="52" t="s">
        <v>111</v>
      </c>
    </row>
    <row r="11" spans="1:16" x14ac:dyDescent="0.3">
      <c r="A11" s="104">
        <v>45916</v>
      </c>
      <c r="B11" t="s">
        <v>116</v>
      </c>
      <c r="C11" s="11"/>
      <c r="D11" s="11">
        <v>200</v>
      </c>
      <c r="F11" s="52" t="s">
        <v>111</v>
      </c>
    </row>
    <row r="12" spans="1:16" x14ac:dyDescent="0.3">
      <c r="A12" s="104">
        <v>45916</v>
      </c>
      <c r="B12" t="s">
        <v>97</v>
      </c>
      <c r="C12" s="112">
        <v>42510</v>
      </c>
      <c r="D12" s="11"/>
      <c r="E12" t="s">
        <v>167</v>
      </c>
      <c r="F12" s="52" t="s">
        <v>112</v>
      </c>
    </row>
    <row r="13" spans="1:16" x14ac:dyDescent="0.3">
      <c r="A13" s="104">
        <v>45916</v>
      </c>
      <c r="B13" t="s">
        <v>121</v>
      </c>
      <c r="C13" s="11"/>
      <c r="D13" s="11"/>
      <c r="E13" t="s">
        <v>169</v>
      </c>
      <c r="F13" s="52" t="s">
        <v>111</v>
      </c>
    </row>
    <row r="14" spans="1:16" x14ac:dyDescent="0.3">
      <c r="A14" s="104">
        <v>45916</v>
      </c>
      <c r="B14" t="s">
        <v>21</v>
      </c>
      <c r="C14" s="11"/>
      <c r="D14" s="11">
        <v>20000</v>
      </c>
      <c r="E14" t="s">
        <v>155</v>
      </c>
      <c r="F14" s="52" t="s">
        <v>111</v>
      </c>
    </row>
    <row r="15" spans="1:16" x14ac:dyDescent="0.3">
      <c r="A15" s="104">
        <v>45916</v>
      </c>
      <c r="B15" t="s">
        <v>54</v>
      </c>
      <c r="C15" s="11">
        <v>20000</v>
      </c>
      <c r="D15" s="11"/>
      <c r="E15" t="s">
        <v>155</v>
      </c>
      <c r="F15" s="52" t="s">
        <v>111</v>
      </c>
    </row>
    <row r="16" spans="1:16" x14ac:dyDescent="0.3">
      <c r="A16" s="104">
        <v>45916</v>
      </c>
      <c r="B16" t="s">
        <v>119</v>
      </c>
      <c r="C16" s="11">
        <v>3300</v>
      </c>
      <c r="D16" s="11"/>
      <c r="E16" t="s">
        <v>168</v>
      </c>
      <c r="F16" s="52" t="s">
        <v>112</v>
      </c>
    </row>
    <row r="17" spans="1:6" x14ac:dyDescent="0.3">
      <c r="A17" s="104">
        <v>45916</v>
      </c>
      <c r="B17" t="s">
        <v>116</v>
      </c>
      <c r="C17" s="47"/>
      <c r="D17" s="47">
        <v>13000</v>
      </c>
      <c r="F17" s="52" t="s">
        <v>111</v>
      </c>
    </row>
    <row r="18" spans="1:6" x14ac:dyDescent="0.3">
      <c r="A18" s="104">
        <v>45916</v>
      </c>
      <c r="B18" t="s">
        <v>55</v>
      </c>
      <c r="C18" s="11">
        <v>5800</v>
      </c>
      <c r="D18" s="11"/>
      <c r="F18" s="52" t="s">
        <v>111</v>
      </c>
    </row>
    <row r="19" spans="1:6" x14ac:dyDescent="0.3">
      <c r="A19" s="104">
        <v>45916</v>
      </c>
      <c r="B19" t="s">
        <v>52</v>
      </c>
      <c r="C19" s="11"/>
      <c r="D19" s="11"/>
      <c r="E19" t="s">
        <v>170</v>
      </c>
      <c r="F19" s="52" t="s">
        <v>111</v>
      </c>
    </row>
    <row r="20" spans="1:6" x14ac:dyDescent="0.3">
      <c r="A20" s="104">
        <v>45916</v>
      </c>
      <c r="B20" t="s">
        <v>21</v>
      </c>
      <c r="C20" s="11"/>
      <c r="D20" s="11">
        <v>4000</v>
      </c>
      <c r="E20" t="s">
        <v>180</v>
      </c>
      <c r="F20" s="52" t="s">
        <v>111</v>
      </c>
    </row>
    <row r="21" spans="1:6" x14ac:dyDescent="0.3">
      <c r="A21" s="104">
        <v>45916</v>
      </c>
      <c r="B21" t="s">
        <v>121</v>
      </c>
      <c r="C21" s="11">
        <v>4000</v>
      </c>
      <c r="D21" s="11"/>
      <c r="E21" t="s">
        <v>180</v>
      </c>
      <c r="F21" s="52" t="s">
        <v>111</v>
      </c>
    </row>
    <row r="22" spans="1:6" x14ac:dyDescent="0.3">
      <c r="A22" s="104">
        <v>45917</v>
      </c>
      <c r="B22" s="1" t="s">
        <v>121</v>
      </c>
      <c r="C22" s="11">
        <v>2000</v>
      </c>
      <c r="D22" s="11"/>
      <c r="E22" t="s">
        <v>180</v>
      </c>
      <c r="F22" s="52" t="s">
        <v>111</v>
      </c>
    </row>
    <row r="23" spans="1:6" x14ac:dyDescent="0.3">
      <c r="A23" s="104">
        <v>45917</v>
      </c>
      <c r="B23" t="s">
        <v>9</v>
      </c>
      <c r="C23" s="11"/>
      <c r="D23" s="11">
        <v>100000</v>
      </c>
      <c r="F23" s="52" t="s">
        <v>111</v>
      </c>
    </row>
    <row r="24" spans="1:6" x14ac:dyDescent="0.3">
      <c r="A24" s="43">
        <v>45917</v>
      </c>
      <c r="B24" t="s">
        <v>97</v>
      </c>
      <c r="C24" s="113">
        <v>120000</v>
      </c>
      <c r="D24" s="47"/>
      <c r="F24" s="52" t="s">
        <v>111</v>
      </c>
    </row>
    <row r="25" spans="1:6" x14ac:dyDescent="0.3">
      <c r="A25" s="104">
        <v>45917</v>
      </c>
      <c r="B25" t="s">
        <v>21</v>
      </c>
      <c r="C25" s="11"/>
      <c r="D25" s="11">
        <v>47000</v>
      </c>
      <c r="E25" t="s">
        <v>64</v>
      </c>
      <c r="F25" s="52" t="s">
        <v>111</v>
      </c>
    </row>
    <row r="26" spans="1:6" x14ac:dyDescent="0.3">
      <c r="A26" s="104">
        <v>45917</v>
      </c>
      <c r="B26" t="s">
        <v>64</v>
      </c>
      <c r="C26" s="11">
        <v>47000</v>
      </c>
      <c r="D26" s="11"/>
      <c r="F26" s="52" t="s">
        <v>111</v>
      </c>
    </row>
    <row r="27" spans="1:6" x14ac:dyDescent="0.3">
      <c r="A27" s="104">
        <v>45917</v>
      </c>
      <c r="B27" t="s">
        <v>55</v>
      </c>
      <c r="C27" s="11">
        <v>1200</v>
      </c>
      <c r="D27" s="11"/>
      <c r="F27" s="52" t="s">
        <v>112</v>
      </c>
    </row>
    <row r="28" spans="1:6" x14ac:dyDescent="0.3">
      <c r="A28" s="104">
        <v>45917</v>
      </c>
      <c r="B28" t="s">
        <v>119</v>
      </c>
      <c r="C28" s="11">
        <v>3300</v>
      </c>
      <c r="D28" s="11"/>
      <c r="E28" t="s">
        <v>168</v>
      </c>
      <c r="F28" s="52" t="s">
        <v>112</v>
      </c>
    </row>
    <row r="29" spans="1:6" x14ac:dyDescent="0.3">
      <c r="A29" s="43">
        <v>45917</v>
      </c>
      <c r="B29" t="s">
        <v>121</v>
      </c>
      <c r="C29" s="47">
        <v>10000</v>
      </c>
      <c r="D29" s="47"/>
      <c r="E29" t="s">
        <v>181</v>
      </c>
      <c r="F29" s="52" t="s">
        <v>111</v>
      </c>
    </row>
    <row r="30" spans="1:6" x14ac:dyDescent="0.3">
      <c r="A30" s="104">
        <v>45917</v>
      </c>
      <c r="B30" t="s">
        <v>22</v>
      </c>
      <c r="C30" s="11"/>
      <c r="D30" s="11">
        <v>122550</v>
      </c>
      <c r="F30" s="52" t="s">
        <v>112</v>
      </c>
    </row>
    <row r="31" spans="1:6" x14ac:dyDescent="0.3">
      <c r="A31" s="104">
        <v>45917</v>
      </c>
      <c r="B31" t="s">
        <v>116</v>
      </c>
      <c r="C31" s="11">
        <v>6500</v>
      </c>
      <c r="D31" s="11"/>
      <c r="E31" t="s">
        <v>183</v>
      </c>
      <c r="F31" s="52" t="s">
        <v>112</v>
      </c>
    </row>
    <row r="32" spans="1:6" x14ac:dyDescent="0.3">
      <c r="A32" s="104">
        <v>45917</v>
      </c>
      <c r="B32" t="s">
        <v>119</v>
      </c>
      <c r="C32" s="11">
        <v>1700</v>
      </c>
      <c r="D32" s="11"/>
      <c r="E32" t="s">
        <v>182</v>
      </c>
      <c r="F32" s="52" t="s">
        <v>112</v>
      </c>
    </row>
    <row r="33" spans="1:6" x14ac:dyDescent="0.3">
      <c r="A33" s="104">
        <v>45917</v>
      </c>
      <c r="B33" t="s">
        <v>119</v>
      </c>
      <c r="C33" s="11"/>
      <c r="D33" s="11">
        <v>1500</v>
      </c>
      <c r="F33" s="52" t="s">
        <v>111</v>
      </c>
    </row>
    <row r="34" spans="1:6" x14ac:dyDescent="0.3">
      <c r="A34" s="43">
        <v>45918</v>
      </c>
      <c r="B34" t="s">
        <v>54</v>
      </c>
      <c r="C34" s="47">
        <v>1500</v>
      </c>
      <c r="D34" s="47"/>
      <c r="E34" t="s">
        <v>184</v>
      </c>
      <c r="F34" s="52" t="s">
        <v>111</v>
      </c>
    </row>
    <row r="35" spans="1:6" x14ac:dyDescent="0.3">
      <c r="A35" s="104">
        <v>45918</v>
      </c>
      <c r="B35" t="s">
        <v>97</v>
      </c>
      <c r="C35" s="114">
        <v>201010</v>
      </c>
      <c r="D35" s="11"/>
      <c r="E35" t="s">
        <v>185</v>
      </c>
      <c r="F35" s="52" t="s">
        <v>111</v>
      </c>
    </row>
    <row r="36" spans="1:6" x14ac:dyDescent="0.3">
      <c r="A36" s="43">
        <v>45918</v>
      </c>
      <c r="B36" t="s">
        <v>156</v>
      </c>
      <c r="C36" s="11">
        <v>120000</v>
      </c>
      <c r="D36" s="11"/>
      <c r="E36" t="s">
        <v>185</v>
      </c>
      <c r="F36" s="52" t="s">
        <v>111</v>
      </c>
    </row>
    <row r="37" spans="1:6" x14ac:dyDescent="0.3">
      <c r="A37" s="104">
        <v>45918</v>
      </c>
      <c r="B37" t="s">
        <v>21</v>
      </c>
      <c r="C37" s="11"/>
      <c r="D37" s="11">
        <v>315000</v>
      </c>
      <c r="F37" s="52" t="s">
        <v>111</v>
      </c>
    </row>
    <row r="38" spans="1:6" x14ac:dyDescent="0.3">
      <c r="A38" s="43">
        <v>45918</v>
      </c>
      <c r="B38" t="s">
        <v>55</v>
      </c>
      <c r="C38" s="11">
        <v>5350</v>
      </c>
      <c r="D38" s="11"/>
      <c r="F38" s="52" t="s">
        <v>112</v>
      </c>
    </row>
    <row r="39" spans="1:6" x14ac:dyDescent="0.3">
      <c r="A39" s="104">
        <v>45918</v>
      </c>
      <c r="B39" t="s">
        <v>97</v>
      </c>
      <c r="C39" s="113">
        <v>40750</v>
      </c>
      <c r="D39" s="47"/>
      <c r="E39" t="s">
        <v>186</v>
      </c>
      <c r="F39" s="52" t="s">
        <v>112</v>
      </c>
    </row>
    <row r="40" spans="1:6" x14ac:dyDescent="0.3">
      <c r="A40" s="43">
        <v>45918</v>
      </c>
      <c r="B40" t="s">
        <v>54</v>
      </c>
      <c r="C40" s="11">
        <v>3000</v>
      </c>
      <c r="D40" s="11"/>
      <c r="E40" t="s">
        <v>187</v>
      </c>
      <c r="F40" s="52" t="s">
        <v>112</v>
      </c>
    </row>
    <row r="41" spans="1:6" x14ac:dyDescent="0.3">
      <c r="A41" s="104">
        <v>45918</v>
      </c>
      <c r="B41" t="s">
        <v>119</v>
      </c>
      <c r="C41" s="11">
        <v>3300</v>
      </c>
      <c r="D41" s="11"/>
      <c r="E41" t="s">
        <v>168</v>
      </c>
      <c r="F41" s="52" t="s">
        <v>112</v>
      </c>
    </row>
    <row r="42" spans="1:6" x14ac:dyDescent="0.3">
      <c r="A42" s="43">
        <v>45919</v>
      </c>
      <c r="B42" t="s">
        <v>159</v>
      </c>
      <c r="C42" s="11"/>
      <c r="D42" s="11">
        <v>300000</v>
      </c>
      <c r="F42" s="52" t="s">
        <v>111</v>
      </c>
    </row>
    <row r="43" spans="1:6" x14ac:dyDescent="0.3">
      <c r="A43" s="104">
        <v>45919</v>
      </c>
      <c r="B43" t="s">
        <v>97</v>
      </c>
      <c r="C43" s="107">
        <v>34300</v>
      </c>
      <c r="D43" s="11"/>
      <c r="E43" t="s">
        <v>188</v>
      </c>
      <c r="F43" s="52" t="s">
        <v>112</v>
      </c>
    </row>
    <row r="44" spans="1:6" x14ac:dyDescent="0.3">
      <c r="A44" s="43">
        <v>45919</v>
      </c>
      <c r="B44" t="s">
        <v>97</v>
      </c>
      <c r="C44" s="114">
        <v>200000</v>
      </c>
      <c r="D44" s="11"/>
      <c r="E44" t="s">
        <v>185</v>
      </c>
      <c r="F44" s="52" t="s">
        <v>111</v>
      </c>
    </row>
    <row r="45" spans="1:6" x14ac:dyDescent="0.3">
      <c r="A45" s="104">
        <v>45919</v>
      </c>
      <c r="B45" t="s">
        <v>119</v>
      </c>
      <c r="C45" s="11"/>
      <c r="D45" s="11">
        <f>20000-5450</f>
        <v>14550</v>
      </c>
      <c r="E45" t="s">
        <v>189</v>
      </c>
      <c r="F45" s="52" t="s">
        <v>112</v>
      </c>
    </row>
    <row r="46" spans="1:6" x14ac:dyDescent="0.3">
      <c r="A46" s="43">
        <v>45919</v>
      </c>
      <c r="B46" t="s">
        <v>24</v>
      </c>
      <c r="C46" s="11"/>
      <c r="D46" s="11">
        <v>1000000</v>
      </c>
      <c r="E46" t="s">
        <v>190</v>
      </c>
      <c r="F46" s="52" t="s">
        <v>111</v>
      </c>
    </row>
    <row r="47" spans="1:6" x14ac:dyDescent="0.3">
      <c r="A47" s="104">
        <v>45919</v>
      </c>
      <c r="B47" t="s">
        <v>64</v>
      </c>
      <c r="C47" s="11">
        <v>121000</v>
      </c>
      <c r="D47" s="11"/>
      <c r="E47" t="s">
        <v>191</v>
      </c>
      <c r="F47" s="52" t="s">
        <v>111</v>
      </c>
    </row>
    <row r="48" spans="1:6" x14ac:dyDescent="0.3">
      <c r="A48" s="43">
        <v>45919</v>
      </c>
      <c r="B48" t="s">
        <v>55</v>
      </c>
      <c r="C48" s="11">
        <v>1371</v>
      </c>
      <c r="D48" s="11"/>
      <c r="E48" t="s">
        <v>192</v>
      </c>
      <c r="F48" s="52" t="s">
        <v>111</v>
      </c>
    </row>
    <row r="49" spans="1:6" x14ac:dyDescent="0.3">
      <c r="A49" s="104">
        <v>45919</v>
      </c>
      <c r="B49" t="s">
        <v>50</v>
      </c>
      <c r="C49" s="11">
        <v>780</v>
      </c>
      <c r="D49" s="11"/>
      <c r="E49" t="s">
        <v>193</v>
      </c>
      <c r="F49" s="52" t="s">
        <v>112</v>
      </c>
    </row>
    <row r="50" spans="1:6" x14ac:dyDescent="0.3">
      <c r="A50" s="43">
        <v>45919</v>
      </c>
      <c r="B50" t="s">
        <v>117</v>
      </c>
      <c r="C50" s="11">
        <v>11185</v>
      </c>
      <c r="D50" s="11"/>
      <c r="E50" t="s">
        <v>194</v>
      </c>
      <c r="F50" s="52" t="s">
        <v>112</v>
      </c>
    </row>
    <row r="51" spans="1:6" x14ac:dyDescent="0.3">
      <c r="A51" s="104">
        <v>45919</v>
      </c>
      <c r="B51" t="s">
        <v>9</v>
      </c>
      <c r="C51" s="11"/>
      <c r="D51" s="11">
        <v>84190</v>
      </c>
      <c r="E51" t="s">
        <v>195</v>
      </c>
      <c r="F51" s="52" t="s">
        <v>111</v>
      </c>
    </row>
    <row r="52" spans="1:6" x14ac:dyDescent="0.3">
      <c r="A52" s="104">
        <v>45919</v>
      </c>
      <c r="B52" t="s">
        <v>55</v>
      </c>
      <c r="C52" s="11">
        <v>8230</v>
      </c>
      <c r="D52" s="11"/>
      <c r="E52" t="s">
        <v>192</v>
      </c>
      <c r="F52" s="52" t="s">
        <v>111</v>
      </c>
    </row>
    <row r="53" spans="1:6" x14ac:dyDescent="0.3">
      <c r="A53" s="43">
        <v>45919</v>
      </c>
      <c r="B53" t="s">
        <v>54</v>
      </c>
      <c r="C53" s="47">
        <v>2500</v>
      </c>
      <c r="D53" s="47"/>
      <c r="E53" t="s">
        <v>196</v>
      </c>
      <c r="F53" s="52" t="s">
        <v>112</v>
      </c>
    </row>
    <row r="54" spans="1:6" x14ac:dyDescent="0.3">
      <c r="A54" s="104">
        <v>45919</v>
      </c>
      <c r="B54" t="s">
        <v>54</v>
      </c>
      <c r="C54" s="11">
        <v>5330</v>
      </c>
      <c r="D54" s="11"/>
      <c r="E54" t="s">
        <v>197</v>
      </c>
      <c r="F54" s="52" t="s">
        <v>112</v>
      </c>
    </row>
    <row r="55" spans="1:6" x14ac:dyDescent="0.3">
      <c r="A55" s="43">
        <v>45919</v>
      </c>
      <c r="B55" t="s">
        <v>21</v>
      </c>
      <c r="C55" s="11"/>
      <c r="D55" s="47">
        <f>20000+4480</f>
        <v>24480</v>
      </c>
      <c r="E55" t="s">
        <v>308</v>
      </c>
      <c r="F55" s="52" t="s">
        <v>111</v>
      </c>
    </row>
    <row r="56" spans="1:6" x14ac:dyDescent="0.3">
      <c r="A56" s="104">
        <v>45919</v>
      </c>
      <c r="B56" t="s">
        <v>54</v>
      </c>
      <c r="C56" s="11">
        <v>20000</v>
      </c>
      <c r="D56" s="11"/>
      <c r="E56" t="s">
        <v>155</v>
      </c>
      <c r="F56" s="52" t="s">
        <v>111</v>
      </c>
    </row>
    <row r="57" spans="1:6" x14ac:dyDescent="0.3">
      <c r="A57" s="43">
        <v>45919</v>
      </c>
      <c r="B57" t="s">
        <v>54</v>
      </c>
      <c r="C57" s="47">
        <v>4480</v>
      </c>
      <c r="D57" s="47"/>
      <c r="E57" t="s">
        <v>200</v>
      </c>
      <c r="F57" s="52" t="s">
        <v>111</v>
      </c>
    </row>
    <row r="58" spans="1:6" x14ac:dyDescent="0.3">
      <c r="A58" s="104">
        <v>45920</v>
      </c>
      <c r="B58" t="s">
        <v>119</v>
      </c>
      <c r="C58" s="11">
        <v>2000</v>
      </c>
      <c r="D58" s="11"/>
      <c r="E58" t="s">
        <v>201</v>
      </c>
      <c r="F58" s="52" t="s">
        <v>112</v>
      </c>
    </row>
    <row r="59" spans="1:6" x14ac:dyDescent="0.3">
      <c r="A59" s="104">
        <v>45920</v>
      </c>
      <c r="B59" t="s">
        <v>97</v>
      </c>
      <c r="C59" s="114">
        <v>43000</v>
      </c>
      <c r="D59" s="11"/>
      <c r="E59" t="s">
        <v>202</v>
      </c>
      <c r="F59" s="52" t="s">
        <v>112</v>
      </c>
    </row>
    <row r="60" spans="1:6" x14ac:dyDescent="0.3">
      <c r="A60" s="104">
        <v>45920</v>
      </c>
      <c r="B60" t="s">
        <v>97</v>
      </c>
      <c r="C60" s="114">
        <v>150000</v>
      </c>
      <c r="D60" s="11"/>
      <c r="E60" t="s">
        <v>195</v>
      </c>
      <c r="F60" s="52" t="s">
        <v>111</v>
      </c>
    </row>
    <row r="61" spans="1:6" x14ac:dyDescent="0.3">
      <c r="A61" s="104">
        <v>45920</v>
      </c>
      <c r="B61" t="s">
        <v>9</v>
      </c>
      <c r="C61" s="11"/>
      <c r="D61" s="11">
        <v>65000</v>
      </c>
      <c r="E61" t="s">
        <v>195</v>
      </c>
      <c r="F61" s="52" t="s">
        <v>111</v>
      </c>
    </row>
    <row r="62" spans="1:6" x14ac:dyDescent="0.3">
      <c r="A62" s="104">
        <v>45920</v>
      </c>
      <c r="B62" t="s">
        <v>21</v>
      </c>
      <c r="C62" s="11"/>
      <c r="D62" s="11">
        <f>1680+6460</f>
        <v>8140</v>
      </c>
      <c r="E62" t="s">
        <v>155</v>
      </c>
      <c r="F62" s="52" t="s">
        <v>111</v>
      </c>
    </row>
    <row r="63" spans="1:6" x14ac:dyDescent="0.3">
      <c r="A63" s="104">
        <v>45920</v>
      </c>
      <c r="B63" t="s">
        <v>55</v>
      </c>
      <c r="C63" s="11">
        <v>8140</v>
      </c>
      <c r="D63" s="11"/>
      <c r="E63" t="s">
        <v>155</v>
      </c>
      <c r="F63" s="52" t="s">
        <v>111</v>
      </c>
    </row>
    <row r="64" spans="1:6" x14ac:dyDescent="0.3">
      <c r="A64" s="104">
        <v>45920</v>
      </c>
      <c r="B64" t="s">
        <v>121</v>
      </c>
      <c r="C64" s="11">
        <v>10000</v>
      </c>
      <c r="D64" s="11"/>
      <c r="E64" t="s">
        <v>203</v>
      </c>
      <c r="F64" s="52" t="s">
        <v>112</v>
      </c>
    </row>
    <row r="65" spans="1:6" x14ac:dyDescent="0.3">
      <c r="A65" s="104">
        <v>45920</v>
      </c>
      <c r="B65" t="s">
        <v>119</v>
      </c>
      <c r="C65" s="47">
        <v>3300</v>
      </c>
      <c r="D65" s="47"/>
      <c r="E65" t="s">
        <v>168</v>
      </c>
      <c r="F65" s="52" t="s">
        <v>112</v>
      </c>
    </row>
    <row r="66" spans="1:6" x14ac:dyDescent="0.3">
      <c r="A66" s="104">
        <v>45920</v>
      </c>
      <c r="B66" t="s">
        <v>97</v>
      </c>
      <c r="C66" s="114">
        <v>30385</v>
      </c>
      <c r="D66" s="11"/>
      <c r="E66" t="s">
        <v>204</v>
      </c>
      <c r="F66" s="52" t="s">
        <v>112</v>
      </c>
    </row>
    <row r="67" spans="1:6" x14ac:dyDescent="0.3">
      <c r="A67" s="104">
        <v>45920</v>
      </c>
      <c r="B67" t="s">
        <v>54</v>
      </c>
      <c r="C67" s="11">
        <v>13000</v>
      </c>
      <c r="D67" s="11"/>
      <c r="E67" t="s">
        <v>205</v>
      </c>
      <c r="F67" s="52" t="s">
        <v>112</v>
      </c>
    </row>
    <row r="68" spans="1:6" x14ac:dyDescent="0.3">
      <c r="A68" s="104">
        <v>45920</v>
      </c>
      <c r="B68" t="s">
        <v>119</v>
      </c>
      <c r="C68" s="11"/>
      <c r="D68" s="11">
        <v>6000</v>
      </c>
      <c r="E68" t="s">
        <v>206</v>
      </c>
      <c r="F68" s="52" t="s">
        <v>111</v>
      </c>
    </row>
    <row r="69" spans="1:6" x14ac:dyDescent="0.3">
      <c r="A69" s="104">
        <v>45920</v>
      </c>
      <c r="B69" t="s">
        <v>121</v>
      </c>
      <c r="C69" s="11">
        <v>6000</v>
      </c>
      <c r="D69" s="11"/>
      <c r="E69" t="s">
        <v>207</v>
      </c>
      <c r="F69" s="52" t="s">
        <v>111</v>
      </c>
    </row>
    <row r="70" spans="1:6" x14ac:dyDescent="0.3">
      <c r="A70" s="104">
        <v>45920</v>
      </c>
      <c r="B70" t="s">
        <v>54</v>
      </c>
      <c r="C70" s="11">
        <v>1300</v>
      </c>
      <c r="D70" s="11"/>
      <c r="E70" t="s">
        <v>208</v>
      </c>
      <c r="F70" s="52" t="s">
        <v>111</v>
      </c>
    </row>
    <row r="71" spans="1:6" x14ac:dyDescent="0.3">
      <c r="A71" s="104">
        <v>45920</v>
      </c>
      <c r="B71" t="s">
        <v>119</v>
      </c>
      <c r="C71" s="11"/>
      <c r="D71" s="11">
        <v>1300</v>
      </c>
      <c r="E71" t="s">
        <v>208</v>
      </c>
      <c r="F71" s="52" t="s">
        <v>111</v>
      </c>
    </row>
    <row r="72" spans="1:6" x14ac:dyDescent="0.3">
      <c r="A72" s="104">
        <v>45921</v>
      </c>
      <c r="B72" t="s">
        <v>21</v>
      </c>
      <c r="C72" s="11"/>
      <c r="D72" s="11">
        <f>12030+2750</f>
        <v>14780</v>
      </c>
      <c r="E72" t="s">
        <v>211</v>
      </c>
      <c r="F72" s="52" t="s">
        <v>111</v>
      </c>
    </row>
    <row r="73" spans="1:6" x14ac:dyDescent="0.3">
      <c r="A73" s="43">
        <v>45921</v>
      </c>
      <c r="B73" t="s">
        <v>55</v>
      </c>
      <c r="C73" s="47">
        <v>14780</v>
      </c>
      <c r="D73" s="47"/>
      <c r="E73" t="s">
        <v>211</v>
      </c>
      <c r="F73" s="52" t="s">
        <v>111</v>
      </c>
    </row>
    <row r="74" spans="1:6" x14ac:dyDescent="0.3">
      <c r="A74" s="43">
        <v>45921</v>
      </c>
      <c r="B74" t="s">
        <v>119</v>
      </c>
      <c r="C74" s="47"/>
      <c r="D74" s="47">
        <v>1200</v>
      </c>
      <c r="F74" s="52" t="s">
        <v>112</v>
      </c>
    </row>
    <row r="75" spans="1:6" x14ac:dyDescent="0.3">
      <c r="A75" s="43">
        <v>45921</v>
      </c>
      <c r="B75" t="s">
        <v>97</v>
      </c>
      <c r="C75" s="115">
        <v>36000</v>
      </c>
      <c r="D75" s="47"/>
      <c r="E75" t="s">
        <v>212</v>
      </c>
      <c r="F75" s="52" t="s">
        <v>112</v>
      </c>
    </row>
    <row r="76" spans="1:6" x14ac:dyDescent="0.3">
      <c r="A76" s="104">
        <v>45922</v>
      </c>
      <c r="B76" t="s">
        <v>9</v>
      </c>
      <c r="C76" s="11"/>
      <c r="D76" s="11">
        <v>52800</v>
      </c>
      <c r="E76" t="s">
        <v>213</v>
      </c>
      <c r="F76" s="52" t="s">
        <v>111</v>
      </c>
    </row>
    <row r="77" spans="1:6" x14ac:dyDescent="0.3">
      <c r="A77" s="104">
        <v>45922</v>
      </c>
      <c r="B77" t="s">
        <v>123</v>
      </c>
      <c r="C77" s="11">
        <v>310500</v>
      </c>
      <c r="D77" s="11"/>
      <c r="E77" t="s">
        <v>61</v>
      </c>
      <c r="F77" s="52" t="s">
        <v>111</v>
      </c>
    </row>
    <row r="78" spans="1:6" x14ac:dyDescent="0.3">
      <c r="A78" s="104">
        <v>45922</v>
      </c>
      <c r="B78" t="s">
        <v>116</v>
      </c>
      <c r="C78" s="11"/>
      <c r="D78" s="11">
        <v>200</v>
      </c>
      <c r="E78" t="s">
        <v>214</v>
      </c>
      <c r="F78" s="52" t="s">
        <v>111</v>
      </c>
    </row>
    <row r="79" spans="1:6" x14ac:dyDescent="0.3">
      <c r="A79" s="104">
        <v>45922</v>
      </c>
      <c r="B79" t="s">
        <v>50</v>
      </c>
      <c r="C79" s="11">
        <v>200</v>
      </c>
      <c r="D79" s="11"/>
      <c r="E79" t="s">
        <v>215</v>
      </c>
      <c r="F79" s="52" t="s">
        <v>111</v>
      </c>
    </row>
    <row r="80" spans="1:6" x14ac:dyDescent="0.3">
      <c r="A80" s="104">
        <v>45922</v>
      </c>
      <c r="B80" t="s">
        <v>55</v>
      </c>
      <c r="C80" s="11">
        <v>5600</v>
      </c>
      <c r="D80" s="11"/>
      <c r="F80" s="52" t="s">
        <v>111</v>
      </c>
    </row>
    <row r="81" spans="1:6" x14ac:dyDescent="0.3">
      <c r="A81" s="104">
        <v>45922</v>
      </c>
      <c r="B81" t="s">
        <v>97</v>
      </c>
      <c r="C81" s="114">
        <v>37400</v>
      </c>
      <c r="D81" s="11"/>
      <c r="E81" t="s">
        <v>216</v>
      </c>
      <c r="F81" s="52" t="s">
        <v>111</v>
      </c>
    </row>
    <row r="82" spans="1:6" x14ac:dyDescent="0.3">
      <c r="A82" s="104">
        <v>45922</v>
      </c>
      <c r="B82" t="s">
        <v>217</v>
      </c>
      <c r="C82" s="47">
        <v>1895031</v>
      </c>
      <c r="D82" s="47"/>
      <c r="E82" t="s">
        <v>218</v>
      </c>
      <c r="F82" s="52" t="s">
        <v>111</v>
      </c>
    </row>
    <row r="83" spans="1:6" x14ac:dyDescent="0.3">
      <c r="A83" s="104">
        <v>45922</v>
      </c>
      <c r="B83" t="s">
        <v>55</v>
      </c>
      <c r="C83" s="11">
        <v>5000</v>
      </c>
      <c r="D83" s="11"/>
      <c r="F83" s="52" t="s">
        <v>111</v>
      </c>
    </row>
    <row r="84" spans="1:6" x14ac:dyDescent="0.3">
      <c r="A84" s="104">
        <v>45922</v>
      </c>
      <c r="B84" t="s">
        <v>97</v>
      </c>
      <c r="C84" s="107">
        <v>12000</v>
      </c>
      <c r="D84" s="11"/>
      <c r="E84" t="s">
        <v>219</v>
      </c>
      <c r="F84" s="52" t="s">
        <v>112</v>
      </c>
    </row>
    <row r="85" spans="1:6" x14ac:dyDescent="0.3">
      <c r="A85" s="104">
        <v>45922</v>
      </c>
      <c r="B85" t="s">
        <v>156</v>
      </c>
      <c r="C85" s="11">
        <v>150000</v>
      </c>
      <c r="D85" s="11"/>
      <c r="F85" s="52" t="s">
        <v>112</v>
      </c>
    </row>
    <row r="86" spans="1:6" x14ac:dyDescent="0.3">
      <c r="A86" s="104">
        <v>45922</v>
      </c>
      <c r="B86" t="s">
        <v>119</v>
      </c>
      <c r="C86" s="11">
        <v>9200</v>
      </c>
      <c r="D86" s="11"/>
      <c r="E86" t="s">
        <v>168</v>
      </c>
      <c r="F86" s="52" t="s">
        <v>112</v>
      </c>
    </row>
    <row r="87" spans="1:6" x14ac:dyDescent="0.3">
      <c r="A87" s="104">
        <v>45922</v>
      </c>
      <c r="B87" t="s">
        <v>54</v>
      </c>
      <c r="C87" s="11">
        <v>3000</v>
      </c>
      <c r="D87" s="11"/>
      <c r="E87" t="s">
        <v>220</v>
      </c>
      <c r="F87" s="52" t="s">
        <v>112</v>
      </c>
    </row>
    <row r="88" spans="1:6" x14ac:dyDescent="0.3">
      <c r="A88" s="104">
        <v>45922</v>
      </c>
      <c r="B88" t="s">
        <v>64</v>
      </c>
      <c r="C88" s="11">
        <v>138000</v>
      </c>
      <c r="D88" s="11"/>
      <c r="E88" t="s">
        <v>221</v>
      </c>
      <c r="F88" s="52" t="s">
        <v>111</v>
      </c>
    </row>
    <row r="89" spans="1:6" x14ac:dyDescent="0.3">
      <c r="A89" s="104">
        <v>45922</v>
      </c>
      <c r="B89" t="s">
        <v>55</v>
      </c>
      <c r="C89" s="11">
        <v>1000</v>
      </c>
      <c r="D89" s="11"/>
      <c r="E89" t="s">
        <v>222</v>
      </c>
      <c r="F89" s="52" t="s">
        <v>111</v>
      </c>
    </row>
    <row r="90" spans="1:6" x14ac:dyDescent="0.3">
      <c r="A90" s="104">
        <v>45922</v>
      </c>
      <c r="B90" t="s">
        <v>21</v>
      </c>
      <c r="C90" s="11"/>
      <c r="D90" s="11">
        <v>140000</v>
      </c>
      <c r="E90" t="s">
        <v>64</v>
      </c>
      <c r="F90" s="52" t="s">
        <v>111</v>
      </c>
    </row>
    <row r="91" spans="1:6" x14ac:dyDescent="0.3">
      <c r="A91" s="104">
        <v>45922</v>
      </c>
      <c r="B91" t="s">
        <v>52</v>
      </c>
      <c r="C91" s="11">
        <v>10000</v>
      </c>
      <c r="D91" s="11"/>
      <c r="E91" t="s">
        <v>223</v>
      </c>
      <c r="F91" s="52" t="s">
        <v>112</v>
      </c>
    </row>
    <row r="92" spans="1:6" x14ac:dyDescent="0.3">
      <c r="A92" s="104">
        <v>45922</v>
      </c>
      <c r="B92" t="s">
        <v>97</v>
      </c>
      <c r="C92" s="114">
        <v>200002</v>
      </c>
      <c r="D92" s="11"/>
      <c r="F92" s="52" t="s">
        <v>111</v>
      </c>
    </row>
    <row r="93" spans="1:6" x14ac:dyDescent="0.3">
      <c r="A93" s="104">
        <v>45922</v>
      </c>
      <c r="B93" t="s">
        <v>159</v>
      </c>
      <c r="C93" s="11"/>
      <c r="D93" s="11">
        <v>250000</v>
      </c>
      <c r="F93" s="52" t="s">
        <v>111</v>
      </c>
    </row>
    <row r="94" spans="1:6" x14ac:dyDescent="0.3">
      <c r="A94" s="104">
        <v>45922</v>
      </c>
      <c r="B94" t="s">
        <v>25</v>
      </c>
      <c r="C94" s="11"/>
      <c r="D94" s="11">
        <v>400000</v>
      </c>
      <c r="F94" s="52" t="s">
        <v>111</v>
      </c>
    </row>
    <row r="95" spans="1:6" x14ac:dyDescent="0.3">
      <c r="A95" s="104">
        <v>45922</v>
      </c>
      <c r="B95" t="s">
        <v>21</v>
      </c>
      <c r="C95" s="11"/>
      <c r="D95" s="11">
        <v>1116533</v>
      </c>
      <c r="E95" t="s">
        <v>309</v>
      </c>
      <c r="F95" s="52" t="s">
        <v>111</v>
      </c>
    </row>
    <row r="96" spans="1:6" x14ac:dyDescent="0.3">
      <c r="A96" s="104">
        <v>45922</v>
      </c>
      <c r="B96" t="s">
        <v>121</v>
      </c>
      <c r="C96" s="11">
        <v>2000</v>
      </c>
      <c r="D96" s="11"/>
      <c r="E96" t="s">
        <v>224</v>
      </c>
      <c r="F96" s="52" t="s">
        <v>112</v>
      </c>
    </row>
    <row r="97" spans="1:6" x14ac:dyDescent="0.3">
      <c r="A97" s="104">
        <v>45922</v>
      </c>
      <c r="B97" t="s">
        <v>117</v>
      </c>
      <c r="C97" s="11">
        <v>18000</v>
      </c>
      <c r="D97" s="11"/>
      <c r="E97" t="s">
        <v>225</v>
      </c>
      <c r="F97" s="52" t="s">
        <v>112</v>
      </c>
    </row>
    <row r="98" spans="1:6" x14ac:dyDescent="0.3">
      <c r="A98" s="104">
        <v>45923</v>
      </c>
      <c r="B98" t="s">
        <v>55</v>
      </c>
      <c r="C98" s="11">
        <v>91000</v>
      </c>
      <c r="D98" s="11"/>
      <c r="E98" t="s">
        <v>227</v>
      </c>
      <c r="F98" s="52" t="s">
        <v>112</v>
      </c>
    </row>
    <row r="99" spans="1:6" x14ac:dyDescent="0.3">
      <c r="A99" s="104">
        <v>45923</v>
      </c>
      <c r="B99" t="s">
        <v>119</v>
      </c>
      <c r="C99" s="47"/>
      <c r="D99" s="47">
        <f>65000-41028</f>
        <v>23972</v>
      </c>
      <c r="E99" t="s">
        <v>238</v>
      </c>
      <c r="F99" s="52" t="s">
        <v>111</v>
      </c>
    </row>
    <row r="100" spans="1:6" x14ac:dyDescent="0.3">
      <c r="A100" s="104">
        <v>45923</v>
      </c>
      <c r="B100" t="s">
        <v>97</v>
      </c>
      <c r="C100" s="114">
        <v>34500</v>
      </c>
      <c r="D100" s="11"/>
      <c r="E100" t="s">
        <v>228</v>
      </c>
      <c r="F100" s="52" t="s">
        <v>111</v>
      </c>
    </row>
    <row r="101" spans="1:6" x14ac:dyDescent="0.3">
      <c r="A101" s="104">
        <v>45923</v>
      </c>
      <c r="B101" t="s">
        <v>54</v>
      </c>
      <c r="C101" s="11">
        <v>10000</v>
      </c>
      <c r="D101" s="11"/>
      <c r="E101" t="s">
        <v>155</v>
      </c>
      <c r="F101" s="52" t="s">
        <v>112</v>
      </c>
    </row>
    <row r="102" spans="1:6" x14ac:dyDescent="0.3">
      <c r="A102" s="104">
        <v>45923</v>
      </c>
      <c r="B102" t="s">
        <v>21</v>
      </c>
      <c r="C102" s="11"/>
      <c r="D102" s="11">
        <v>9000</v>
      </c>
      <c r="E102" t="s">
        <v>155</v>
      </c>
      <c r="F102" s="52" t="s">
        <v>112</v>
      </c>
    </row>
    <row r="103" spans="1:6" x14ac:dyDescent="0.3">
      <c r="A103" s="104">
        <v>45923</v>
      </c>
      <c r="B103" t="s">
        <v>116</v>
      </c>
      <c r="C103" s="11"/>
      <c r="D103" s="11">
        <v>8700</v>
      </c>
      <c r="F103" s="52" t="s">
        <v>111</v>
      </c>
    </row>
    <row r="104" spans="1:6" x14ac:dyDescent="0.3">
      <c r="A104" s="104">
        <v>45923</v>
      </c>
      <c r="B104" t="s">
        <v>50</v>
      </c>
      <c r="C104" s="11">
        <v>200</v>
      </c>
      <c r="D104" s="11"/>
      <c r="E104" t="s">
        <v>166</v>
      </c>
      <c r="F104" s="52" t="s">
        <v>111</v>
      </c>
    </row>
    <row r="105" spans="1:6" x14ac:dyDescent="0.3">
      <c r="A105" s="104">
        <v>45923</v>
      </c>
      <c r="B105" t="s">
        <v>21</v>
      </c>
      <c r="C105" s="11"/>
      <c r="D105" s="11">
        <v>250000</v>
      </c>
      <c r="E105" t="s">
        <v>229</v>
      </c>
      <c r="F105" s="52" t="s">
        <v>112</v>
      </c>
    </row>
    <row r="106" spans="1:6" x14ac:dyDescent="0.3">
      <c r="A106" s="104">
        <v>45923</v>
      </c>
      <c r="B106" t="s">
        <v>231</v>
      </c>
      <c r="C106" s="11">
        <v>250000</v>
      </c>
      <c r="D106" s="11"/>
      <c r="E106" t="s">
        <v>230</v>
      </c>
      <c r="F106" s="52" t="s">
        <v>111</v>
      </c>
    </row>
    <row r="107" spans="1:6" x14ac:dyDescent="0.3">
      <c r="A107" s="104">
        <v>45923</v>
      </c>
      <c r="B107" t="s">
        <v>55</v>
      </c>
      <c r="C107" s="11">
        <v>2530</v>
      </c>
      <c r="D107" s="11"/>
      <c r="F107" s="52" t="s">
        <v>112</v>
      </c>
    </row>
    <row r="108" spans="1:6" x14ac:dyDescent="0.3">
      <c r="A108" s="104">
        <v>45923</v>
      </c>
      <c r="B108" t="s">
        <v>97</v>
      </c>
      <c r="C108" s="115">
        <v>37900</v>
      </c>
      <c r="D108" s="47"/>
      <c r="E108" t="s">
        <v>232</v>
      </c>
      <c r="F108" s="52" t="s">
        <v>112</v>
      </c>
    </row>
    <row r="109" spans="1:6" x14ac:dyDescent="0.3">
      <c r="A109" s="104">
        <v>45923</v>
      </c>
      <c r="B109" t="s">
        <v>54</v>
      </c>
      <c r="C109" s="11">
        <v>3000</v>
      </c>
      <c r="D109" s="11"/>
      <c r="E109" t="s">
        <v>205</v>
      </c>
      <c r="F109" s="52" t="s">
        <v>112</v>
      </c>
    </row>
    <row r="110" spans="1:6" x14ac:dyDescent="0.3">
      <c r="A110" s="104">
        <v>45923</v>
      </c>
      <c r="B110" t="s">
        <v>54</v>
      </c>
      <c r="C110" s="11">
        <v>6500</v>
      </c>
      <c r="D110" s="11"/>
      <c r="E110" t="s">
        <v>233</v>
      </c>
      <c r="F110" s="52" t="s">
        <v>112</v>
      </c>
    </row>
    <row r="111" spans="1:6" x14ac:dyDescent="0.3">
      <c r="A111" s="104">
        <v>45923</v>
      </c>
      <c r="B111" t="s">
        <v>52</v>
      </c>
      <c r="C111" s="11">
        <v>10000</v>
      </c>
      <c r="D111" s="11"/>
      <c r="E111" t="s">
        <v>234</v>
      </c>
      <c r="F111" s="52" t="s">
        <v>112</v>
      </c>
    </row>
    <row r="112" spans="1:6" x14ac:dyDescent="0.3">
      <c r="A112" s="104">
        <v>45923</v>
      </c>
      <c r="B112" t="s">
        <v>52</v>
      </c>
      <c r="C112" s="11">
        <v>4000</v>
      </c>
      <c r="D112" s="11"/>
      <c r="E112" t="s">
        <v>234</v>
      </c>
      <c r="F112" s="52" t="s">
        <v>111</v>
      </c>
    </row>
    <row r="113" spans="1:6" x14ac:dyDescent="0.3">
      <c r="A113" s="104">
        <v>45923</v>
      </c>
      <c r="B113" t="s">
        <v>121</v>
      </c>
      <c r="C113" s="11">
        <v>1000</v>
      </c>
      <c r="D113" s="11"/>
      <c r="E113" t="s">
        <v>235</v>
      </c>
      <c r="F113" s="52" t="s">
        <v>112</v>
      </c>
    </row>
    <row r="114" spans="1:6" x14ac:dyDescent="0.3">
      <c r="A114" s="104">
        <v>45923</v>
      </c>
      <c r="B114" t="s">
        <v>119</v>
      </c>
      <c r="C114" s="11">
        <v>11000</v>
      </c>
      <c r="D114" s="11"/>
      <c r="E114" t="s">
        <v>205</v>
      </c>
      <c r="F114" s="52" t="s">
        <v>112</v>
      </c>
    </row>
    <row r="115" spans="1:6" x14ac:dyDescent="0.3">
      <c r="A115" s="104">
        <v>45923</v>
      </c>
      <c r="B115" t="s">
        <v>54</v>
      </c>
      <c r="C115" s="11">
        <v>5700</v>
      </c>
      <c r="D115" s="11"/>
      <c r="E115" t="s">
        <v>200</v>
      </c>
      <c r="F115" s="52" t="s">
        <v>111</v>
      </c>
    </row>
    <row r="116" spans="1:6" x14ac:dyDescent="0.3">
      <c r="A116" s="104">
        <v>45923</v>
      </c>
      <c r="B116" t="s">
        <v>237</v>
      </c>
      <c r="C116" s="11"/>
      <c r="D116" s="11">
        <v>290000</v>
      </c>
      <c r="F116" s="52" t="s">
        <v>111</v>
      </c>
    </row>
    <row r="117" spans="1:6" x14ac:dyDescent="0.3">
      <c r="A117" s="104">
        <v>45923</v>
      </c>
      <c r="B117" t="s">
        <v>97</v>
      </c>
      <c r="C117" s="114">
        <v>290000</v>
      </c>
      <c r="D117" s="11"/>
      <c r="E117" t="s">
        <v>236</v>
      </c>
      <c r="F117" s="52" t="s">
        <v>111</v>
      </c>
    </row>
    <row r="118" spans="1:6" x14ac:dyDescent="0.3">
      <c r="A118" s="43">
        <v>45923</v>
      </c>
      <c r="B118" t="s">
        <v>54</v>
      </c>
      <c r="C118" s="47">
        <v>14000</v>
      </c>
      <c r="D118" s="47"/>
      <c r="E118" t="s">
        <v>155</v>
      </c>
      <c r="F118" s="52" t="s">
        <v>111</v>
      </c>
    </row>
    <row r="119" spans="1:6" x14ac:dyDescent="0.3">
      <c r="A119" s="43">
        <v>45923</v>
      </c>
      <c r="B119" t="s">
        <v>21</v>
      </c>
      <c r="C119" s="47"/>
      <c r="D119" s="47">
        <v>14000</v>
      </c>
      <c r="E119" t="s">
        <v>155</v>
      </c>
      <c r="F119" s="52" t="s">
        <v>111</v>
      </c>
    </row>
    <row r="120" spans="1:6" x14ac:dyDescent="0.3">
      <c r="A120" s="104">
        <v>45923</v>
      </c>
      <c r="B120" t="s">
        <v>54</v>
      </c>
      <c r="C120" s="11">
        <v>5000</v>
      </c>
      <c r="D120" s="11"/>
      <c r="E120" t="s">
        <v>197</v>
      </c>
      <c r="F120" s="52" t="s">
        <v>111</v>
      </c>
    </row>
    <row r="121" spans="1:6" x14ac:dyDescent="0.3">
      <c r="A121" s="43">
        <v>45924</v>
      </c>
      <c r="B121" t="s">
        <v>54</v>
      </c>
      <c r="C121" s="47">
        <v>1000</v>
      </c>
      <c r="D121" s="47"/>
      <c r="E121" t="s">
        <v>239</v>
      </c>
      <c r="F121" s="52" t="s">
        <v>112</v>
      </c>
    </row>
    <row r="122" spans="1:6" x14ac:dyDescent="0.3">
      <c r="A122" s="104">
        <v>45924</v>
      </c>
      <c r="B122" t="s">
        <v>35</v>
      </c>
      <c r="C122" s="11"/>
      <c r="D122" s="11">
        <v>155000</v>
      </c>
      <c r="F122" s="52" t="s">
        <v>111</v>
      </c>
    </row>
    <row r="123" spans="1:6" x14ac:dyDescent="0.3">
      <c r="A123" s="104">
        <v>45924</v>
      </c>
      <c r="B123" t="s">
        <v>97</v>
      </c>
      <c r="C123" s="114">
        <v>155000</v>
      </c>
      <c r="D123" s="11"/>
      <c r="E123" t="s">
        <v>240</v>
      </c>
      <c r="F123" s="52" t="s">
        <v>111</v>
      </c>
    </row>
    <row r="124" spans="1:6" x14ac:dyDescent="0.3">
      <c r="A124" s="104">
        <v>45924</v>
      </c>
      <c r="B124" t="s">
        <v>237</v>
      </c>
      <c r="C124" s="11"/>
      <c r="D124" s="11">
        <v>100000</v>
      </c>
      <c r="F124" s="52" t="s">
        <v>111</v>
      </c>
    </row>
    <row r="125" spans="1:6" x14ac:dyDescent="0.3">
      <c r="A125" s="104">
        <v>45924</v>
      </c>
      <c r="B125" t="s">
        <v>156</v>
      </c>
      <c r="C125" s="11">
        <v>50000</v>
      </c>
      <c r="D125" s="11"/>
      <c r="F125" s="52" t="s">
        <v>111</v>
      </c>
    </row>
    <row r="126" spans="1:6" x14ac:dyDescent="0.3">
      <c r="A126" s="104">
        <v>45924</v>
      </c>
      <c r="B126" t="s">
        <v>55</v>
      </c>
      <c r="C126" s="11">
        <v>4500</v>
      </c>
      <c r="D126" s="11"/>
      <c r="E126" t="s">
        <v>241</v>
      </c>
      <c r="F126" s="52" t="s">
        <v>111</v>
      </c>
    </row>
    <row r="127" spans="1:6" x14ac:dyDescent="0.3">
      <c r="A127" s="104">
        <v>45924</v>
      </c>
      <c r="B127" t="s">
        <v>50</v>
      </c>
      <c r="C127" s="11">
        <v>1140</v>
      </c>
      <c r="D127" s="11"/>
      <c r="E127" t="s">
        <v>242</v>
      </c>
      <c r="F127" s="52" t="s">
        <v>111</v>
      </c>
    </row>
    <row r="128" spans="1:6" x14ac:dyDescent="0.3">
      <c r="A128" s="104">
        <v>45924</v>
      </c>
      <c r="B128" t="s">
        <v>55</v>
      </c>
      <c r="C128" s="11">
        <v>940</v>
      </c>
      <c r="D128" s="11"/>
      <c r="F128" s="52" t="s">
        <v>111</v>
      </c>
    </row>
    <row r="129" spans="1:6" x14ac:dyDescent="0.3">
      <c r="A129" s="104">
        <v>45924</v>
      </c>
      <c r="B129" t="s">
        <v>54</v>
      </c>
      <c r="C129" s="11">
        <v>5000</v>
      </c>
      <c r="D129" s="11"/>
      <c r="E129" t="s">
        <v>197</v>
      </c>
      <c r="F129" s="52" t="s">
        <v>111</v>
      </c>
    </row>
    <row r="130" spans="1:6" x14ac:dyDescent="0.3">
      <c r="A130" s="104">
        <v>45925</v>
      </c>
      <c r="B130" t="s">
        <v>237</v>
      </c>
      <c r="C130" s="11"/>
      <c r="D130" s="11">
        <v>200000</v>
      </c>
      <c r="F130" s="52" t="s">
        <v>111</v>
      </c>
    </row>
    <row r="131" spans="1:6" x14ac:dyDescent="0.3">
      <c r="A131" s="43">
        <v>45925</v>
      </c>
      <c r="B131" t="s">
        <v>97</v>
      </c>
      <c r="C131" s="115">
        <v>200000</v>
      </c>
      <c r="D131" s="47"/>
      <c r="E131" t="s">
        <v>243</v>
      </c>
      <c r="F131" s="52" t="s">
        <v>111</v>
      </c>
    </row>
    <row r="132" spans="1:6" x14ac:dyDescent="0.3">
      <c r="A132" s="104">
        <v>45925</v>
      </c>
      <c r="B132" t="s">
        <v>116</v>
      </c>
      <c r="C132" s="11"/>
      <c r="D132" s="11">
        <v>650</v>
      </c>
      <c r="F132" s="52" t="s">
        <v>111</v>
      </c>
    </row>
    <row r="133" spans="1:6" x14ac:dyDescent="0.3">
      <c r="A133" s="43">
        <v>45925</v>
      </c>
      <c r="B133" t="s">
        <v>156</v>
      </c>
      <c r="C133" s="11">
        <v>100010</v>
      </c>
      <c r="D133" s="11"/>
      <c r="E133" t="s">
        <v>244</v>
      </c>
      <c r="F133" s="52" t="s">
        <v>111</v>
      </c>
    </row>
    <row r="134" spans="1:6" x14ac:dyDescent="0.3">
      <c r="A134" s="104">
        <v>45925</v>
      </c>
      <c r="B134" t="s">
        <v>54</v>
      </c>
      <c r="C134" s="11">
        <v>600</v>
      </c>
      <c r="D134" s="11"/>
      <c r="E134" t="s">
        <v>205</v>
      </c>
      <c r="F134" s="52" t="s">
        <v>111</v>
      </c>
    </row>
    <row r="135" spans="1:6" x14ac:dyDescent="0.3">
      <c r="A135" s="43">
        <v>45925</v>
      </c>
      <c r="B135" t="s">
        <v>50</v>
      </c>
      <c r="C135" s="11">
        <v>100</v>
      </c>
      <c r="D135" s="11"/>
      <c r="E135" t="s">
        <v>245</v>
      </c>
      <c r="F135" s="52" t="s">
        <v>112</v>
      </c>
    </row>
    <row r="136" spans="1:6" x14ac:dyDescent="0.3">
      <c r="A136" s="104">
        <v>45925</v>
      </c>
      <c r="B136" t="s">
        <v>64</v>
      </c>
      <c r="C136" s="11">
        <v>69000</v>
      </c>
      <c r="D136" s="11"/>
      <c r="F136" s="52" t="s">
        <v>111</v>
      </c>
    </row>
    <row r="137" spans="1:6" x14ac:dyDescent="0.3">
      <c r="A137" s="104">
        <v>45925</v>
      </c>
      <c r="B137" t="s">
        <v>123</v>
      </c>
      <c r="C137" s="11">
        <v>24600</v>
      </c>
      <c r="D137" s="11"/>
      <c r="E137" t="s">
        <v>61</v>
      </c>
      <c r="F137" s="52" t="s">
        <v>112</v>
      </c>
    </row>
    <row r="138" spans="1:6" x14ac:dyDescent="0.3">
      <c r="A138" s="43">
        <v>45925</v>
      </c>
      <c r="B138" t="s">
        <v>21</v>
      </c>
      <c r="C138" s="11"/>
      <c r="D138" s="11">
        <v>69000</v>
      </c>
      <c r="E138" t="s">
        <v>64</v>
      </c>
      <c r="F138" s="52" t="s">
        <v>111</v>
      </c>
    </row>
    <row r="139" spans="1:6" x14ac:dyDescent="0.3">
      <c r="A139" s="104">
        <v>45925</v>
      </c>
      <c r="B139" t="s">
        <v>21</v>
      </c>
      <c r="C139" s="47"/>
      <c r="D139" s="47">
        <v>24600</v>
      </c>
      <c r="E139" t="s">
        <v>61</v>
      </c>
      <c r="F139" s="52" t="s">
        <v>111</v>
      </c>
    </row>
    <row r="140" spans="1:6" x14ac:dyDescent="0.3">
      <c r="A140" s="104">
        <v>45925</v>
      </c>
      <c r="B140" t="s">
        <v>117</v>
      </c>
      <c r="C140" s="11">
        <v>15995</v>
      </c>
      <c r="D140" s="11"/>
      <c r="E140" t="s">
        <v>117</v>
      </c>
      <c r="F140" s="52" t="s">
        <v>112</v>
      </c>
    </row>
    <row r="141" spans="1:6" x14ac:dyDescent="0.3">
      <c r="A141" s="43">
        <v>45925</v>
      </c>
      <c r="B141" t="s">
        <v>54</v>
      </c>
      <c r="C141" s="47">
        <v>6708</v>
      </c>
      <c r="D141" s="47"/>
      <c r="E141" t="s">
        <v>200</v>
      </c>
      <c r="F141" s="52" t="s">
        <v>111</v>
      </c>
    </row>
    <row r="142" spans="1:6" x14ac:dyDescent="0.3">
      <c r="A142" s="104">
        <v>45925</v>
      </c>
      <c r="B142" t="s">
        <v>9</v>
      </c>
      <c r="C142" s="11"/>
      <c r="D142" s="11">
        <v>176985</v>
      </c>
      <c r="E142" t="s">
        <v>87</v>
      </c>
      <c r="F142" s="52" t="s">
        <v>111</v>
      </c>
    </row>
    <row r="143" spans="1:6" x14ac:dyDescent="0.3">
      <c r="A143" s="104">
        <v>45925</v>
      </c>
      <c r="B143" t="s">
        <v>50</v>
      </c>
      <c r="C143" s="11">
        <v>200</v>
      </c>
      <c r="D143" s="11"/>
      <c r="E143" t="s">
        <v>250</v>
      </c>
      <c r="F143" s="52" t="s">
        <v>112</v>
      </c>
    </row>
    <row r="144" spans="1:6" x14ac:dyDescent="0.3">
      <c r="A144" s="104">
        <v>45925</v>
      </c>
      <c r="B144" t="s">
        <v>24</v>
      </c>
      <c r="C144" s="11"/>
      <c r="D144" s="11">
        <v>1450000</v>
      </c>
      <c r="F144" s="52" t="s">
        <v>112</v>
      </c>
    </row>
    <row r="145" spans="1:6" x14ac:dyDescent="0.3">
      <c r="A145" s="104">
        <v>45925</v>
      </c>
      <c r="B145" t="s">
        <v>24</v>
      </c>
      <c r="C145" s="11"/>
      <c r="D145" s="11">
        <v>50000</v>
      </c>
      <c r="F145" s="52" t="s">
        <v>111</v>
      </c>
    </row>
    <row r="146" spans="1:6" x14ac:dyDescent="0.3">
      <c r="A146" s="104">
        <v>45926</v>
      </c>
      <c r="B146" t="s">
        <v>23</v>
      </c>
      <c r="C146" s="47"/>
      <c r="D146" s="47">
        <f>101000+1500</f>
        <v>102500</v>
      </c>
      <c r="F146" s="52" t="s">
        <v>111</v>
      </c>
    </row>
    <row r="147" spans="1:6" x14ac:dyDescent="0.3">
      <c r="A147" s="104">
        <v>45926</v>
      </c>
      <c r="B147" t="s">
        <v>54</v>
      </c>
      <c r="C147" s="11">
        <v>1500</v>
      </c>
      <c r="D147" s="11"/>
      <c r="E147" t="s">
        <v>251</v>
      </c>
      <c r="F147" s="52" t="s">
        <v>111</v>
      </c>
    </row>
    <row r="148" spans="1:6" x14ac:dyDescent="0.3">
      <c r="A148" s="104">
        <v>45926</v>
      </c>
      <c r="B148" t="s">
        <v>97</v>
      </c>
      <c r="C148" s="114">
        <v>49400</v>
      </c>
      <c r="D148" s="11"/>
      <c r="E148" t="s">
        <v>252</v>
      </c>
      <c r="F148" s="52" t="s">
        <v>111</v>
      </c>
    </row>
    <row r="149" spans="1:6" x14ac:dyDescent="0.3">
      <c r="A149" s="104">
        <v>45926</v>
      </c>
      <c r="B149" t="s">
        <v>97</v>
      </c>
      <c r="C149" s="114">
        <v>41200</v>
      </c>
      <c r="D149" s="11"/>
      <c r="E149" t="s">
        <v>253</v>
      </c>
      <c r="F149" s="52" t="s">
        <v>111</v>
      </c>
    </row>
    <row r="150" spans="1:6" x14ac:dyDescent="0.3">
      <c r="A150" s="104">
        <v>45926</v>
      </c>
      <c r="B150" t="s">
        <v>54</v>
      </c>
      <c r="C150" s="11">
        <v>5324</v>
      </c>
      <c r="D150" s="11"/>
      <c r="E150" t="s">
        <v>197</v>
      </c>
      <c r="F150" s="52" t="s">
        <v>111</v>
      </c>
    </row>
    <row r="151" spans="1:6" x14ac:dyDescent="0.3">
      <c r="A151" s="104">
        <v>45926</v>
      </c>
      <c r="B151" t="s">
        <v>50</v>
      </c>
      <c r="C151" s="11">
        <v>600</v>
      </c>
      <c r="D151" s="11"/>
      <c r="E151" t="s">
        <v>254</v>
      </c>
      <c r="F151" s="52" t="s">
        <v>112</v>
      </c>
    </row>
    <row r="152" spans="1:6" x14ac:dyDescent="0.3">
      <c r="A152" s="104">
        <v>45926</v>
      </c>
      <c r="B152" t="s">
        <v>54</v>
      </c>
      <c r="C152" s="11">
        <v>500</v>
      </c>
      <c r="D152" s="11"/>
      <c r="E152" t="s">
        <v>239</v>
      </c>
      <c r="F152" s="52" t="s">
        <v>112</v>
      </c>
    </row>
    <row r="153" spans="1:6" x14ac:dyDescent="0.3">
      <c r="A153" s="104">
        <v>45926</v>
      </c>
      <c r="B153" t="s">
        <v>54</v>
      </c>
      <c r="C153" s="11">
        <v>700</v>
      </c>
      <c r="D153" s="11"/>
      <c r="E153" t="s">
        <v>254</v>
      </c>
      <c r="F153" s="52" t="s">
        <v>112</v>
      </c>
    </row>
    <row r="154" spans="1:6" x14ac:dyDescent="0.3">
      <c r="A154" s="104">
        <v>45926</v>
      </c>
      <c r="B154" t="s">
        <v>52</v>
      </c>
      <c r="C154" s="11"/>
      <c r="D154" s="11"/>
      <c r="E154" t="s">
        <v>255</v>
      </c>
      <c r="F154" s="52" t="s">
        <v>112</v>
      </c>
    </row>
    <row r="155" spans="1:6" x14ac:dyDescent="0.3">
      <c r="A155" s="104">
        <v>45926</v>
      </c>
      <c r="B155" t="s">
        <v>21</v>
      </c>
      <c r="C155" s="11"/>
      <c r="D155" s="11">
        <v>20000</v>
      </c>
      <c r="E155" t="s">
        <v>255</v>
      </c>
      <c r="F155" s="52" t="s">
        <v>112</v>
      </c>
    </row>
    <row r="156" spans="1:6" x14ac:dyDescent="0.3">
      <c r="A156" s="104">
        <v>45926</v>
      </c>
      <c r="B156" t="s">
        <v>52</v>
      </c>
      <c r="C156" s="11"/>
      <c r="D156" s="11"/>
      <c r="E156" t="s">
        <v>207</v>
      </c>
      <c r="F156" s="52" t="s">
        <v>112</v>
      </c>
    </row>
    <row r="157" spans="1:6" x14ac:dyDescent="0.3">
      <c r="A157" s="104">
        <v>45926</v>
      </c>
      <c r="B157" t="s">
        <v>52</v>
      </c>
      <c r="C157" s="11"/>
      <c r="D157" s="11"/>
      <c r="E157" t="s">
        <v>256</v>
      </c>
      <c r="F157" s="52" t="s">
        <v>112</v>
      </c>
    </row>
    <row r="158" spans="1:6" x14ac:dyDescent="0.3">
      <c r="A158" s="104">
        <v>45926</v>
      </c>
      <c r="B158" t="s">
        <v>121</v>
      </c>
      <c r="C158" s="11">
        <v>10000</v>
      </c>
      <c r="D158" s="11"/>
      <c r="E158" t="s">
        <v>180</v>
      </c>
      <c r="F158" s="52" t="s">
        <v>112</v>
      </c>
    </row>
    <row r="159" spans="1:6" x14ac:dyDescent="0.3">
      <c r="A159" s="104">
        <v>45926</v>
      </c>
      <c r="B159" t="s">
        <v>97</v>
      </c>
      <c r="C159" s="114">
        <v>305000</v>
      </c>
      <c r="D159" s="11"/>
      <c r="E159" t="s">
        <v>257</v>
      </c>
      <c r="F159" s="52" t="s">
        <v>111</v>
      </c>
    </row>
    <row r="160" spans="1:6" x14ac:dyDescent="0.3">
      <c r="A160" s="43">
        <v>45926</v>
      </c>
      <c r="B160" t="s">
        <v>52</v>
      </c>
      <c r="C160" s="47"/>
      <c r="D160" s="47"/>
      <c r="E160" t="s">
        <v>258</v>
      </c>
      <c r="F160" s="52" t="s">
        <v>112</v>
      </c>
    </row>
    <row r="161" spans="1:12" x14ac:dyDescent="0.3">
      <c r="A161" s="43">
        <v>45926</v>
      </c>
      <c r="B161" t="s">
        <v>21</v>
      </c>
      <c r="C161" s="47"/>
      <c r="D161" s="47">
        <v>82250</v>
      </c>
      <c r="F161" s="52" t="s">
        <v>111</v>
      </c>
    </row>
    <row r="162" spans="1:12" x14ac:dyDescent="0.3">
      <c r="A162" s="104">
        <v>45926</v>
      </c>
      <c r="B162" t="s">
        <v>120</v>
      </c>
      <c r="C162" s="11">
        <v>500000</v>
      </c>
      <c r="D162" s="11"/>
      <c r="E162" t="s">
        <v>64</v>
      </c>
      <c r="F162" s="52" t="s">
        <v>112</v>
      </c>
    </row>
    <row r="163" spans="1:12" x14ac:dyDescent="0.3">
      <c r="A163" s="43">
        <v>45926</v>
      </c>
      <c r="B163" t="s">
        <v>54</v>
      </c>
      <c r="C163" s="47">
        <v>6550</v>
      </c>
      <c r="D163" s="47"/>
      <c r="E163" t="s">
        <v>200</v>
      </c>
      <c r="F163" s="52" t="s">
        <v>111</v>
      </c>
      <c r="J163" s="3" t="s">
        <v>6</v>
      </c>
      <c r="K163" t="s">
        <v>124</v>
      </c>
      <c r="L163" t="s">
        <v>125</v>
      </c>
    </row>
    <row r="164" spans="1:12" x14ac:dyDescent="0.3">
      <c r="A164" s="43">
        <v>45926</v>
      </c>
      <c r="B164" t="s">
        <v>217</v>
      </c>
      <c r="C164" s="47">
        <v>5000</v>
      </c>
      <c r="D164" s="47"/>
      <c r="E164" t="s">
        <v>259</v>
      </c>
      <c r="F164" s="52" t="s">
        <v>112</v>
      </c>
      <c r="J164" s="4" t="s">
        <v>121</v>
      </c>
      <c r="K164" s="14"/>
      <c r="L164" s="14">
        <v>119000</v>
      </c>
    </row>
    <row r="165" spans="1:12" x14ac:dyDescent="0.3">
      <c r="A165" s="104">
        <v>45926</v>
      </c>
      <c r="B165" t="s">
        <v>64</v>
      </c>
      <c r="C165" s="11">
        <v>87750</v>
      </c>
      <c r="D165" s="11"/>
      <c r="F165" s="52" t="s">
        <v>112</v>
      </c>
      <c r="J165" s="4" t="s">
        <v>9</v>
      </c>
      <c r="K165" s="14">
        <v>1552491</v>
      </c>
      <c r="L165" s="14"/>
    </row>
    <row r="166" spans="1:12" x14ac:dyDescent="0.3">
      <c r="A166" s="43">
        <v>45926</v>
      </c>
      <c r="B166" t="s">
        <v>21</v>
      </c>
      <c r="C166" s="47"/>
      <c r="D166" s="47">
        <v>87750</v>
      </c>
      <c r="E166" t="s">
        <v>64</v>
      </c>
      <c r="F166" s="52" t="s">
        <v>112</v>
      </c>
      <c r="J166" s="4" t="s">
        <v>21</v>
      </c>
      <c r="K166" s="14">
        <v>5695870</v>
      </c>
      <c r="L166" s="14">
        <v>106500</v>
      </c>
    </row>
    <row r="167" spans="1:12" x14ac:dyDescent="0.3">
      <c r="A167" s="43">
        <v>45926</v>
      </c>
      <c r="B167" t="s">
        <v>119</v>
      </c>
      <c r="C167" s="47">
        <v>940</v>
      </c>
      <c r="D167" s="47"/>
      <c r="E167" t="s">
        <v>214</v>
      </c>
      <c r="F167" s="52" t="s">
        <v>112</v>
      </c>
      <c r="J167" s="4" t="s">
        <v>112</v>
      </c>
      <c r="K167" s="14"/>
      <c r="L167" s="14"/>
    </row>
    <row r="168" spans="1:12" x14ac:dyDescent="0.3">
      <c r="A168" s="104">
        <v>45927</v>
      </c>
      <c r="B168" t="s">
        <v>21</v>
      </c>
      <c r="C168" s="11"/>
      <c r="D168" s="11">
        <v>100000</v>
      </c>
      <c r="F168" s="52" t="s">
        <v>111</v>
      </c>
      <c r="J168" s="4" t="s">
        <v>123</v>
      </c>
      <c r="K168" s="14"/>
      <c r="L168" s="14">
        <v>1082250</v>
      </c>
    </row>
    <row r="169" spans="1:12" x14ac:dyDescent="0.3">
      <c r="A169" s="104">
        <v>45927</v>
      </c>
      <c r="B169" t="s">
        <v>54</v>
      </c>
      <c r="C169" s="11">
        <v>2000</v>
      </c>
      <c r="D169" s="11"/>
      <c r="F169" s="52" t="s">
        <v>111</v>
      </c>
      <c r="J169" s="4" t="s">
        <v>97</v>
      </c>
      <c r="K169" s="14"/>
      <c r="L169" s="14">
        <v>7204131</v>
      </c>
    </row>
    <row r="170" spans="1:12" x14ac:dyDescent="0.3">
      <c r="A170" s="104">
        <v>45927</v>
      </c>
      <c r="B170" t="s">
        <v>54</v>
      </c>
      <c r="C170" s="11">
        <v>19200</v>
      </c>
      <c r="D170" s="11"/>
      <c r="E170" t="s">
        <v>262</v>
      </c>
      <c r="F170" s="52" t="s">
        <v>111</v>
      </c>
      <c r="J170" s="4" t="s">
        <v>50</v>
      </c>
      <c r="K170" s="14"/>
      <c r="L170" s="14">
        <v>61512</v>
      </c>
    </row>
    <row r="171" spans="1:12" x14ac:dyDescent="0.3">
      <c r="A171" s="104">
        <v>45927</v>
      </c>
      <c r="B171" t="s">
        <v>159</v>
      </c>
      <c r="C171" s="11"/>
      <c r="D171" s="11">
        <v>250000</v>
      </c>
      <c r="F171" s="52" t="s">
        <v>111</v>
      </c>
      <c r="J171" s="4" t="s">
        <v>55</v>
      </c>
      <c r="K171" s="14"/>
      <c r="L171" s="14">
        <v>313646</v>
      </c>
    </row>
    <row r="172" spans="1:12" x14ac:dyDescent="0.3">
      <c r="A172" s="104">
        <v>45927</v>
      </c>
      <c r="B172" t="s">
        <v>97</v>
      </c>
      <c r="C172" s="114">
        <v>301000</v>
      </c>
      <c r="D172" s="11"/>
      <c r="E172" t="s">
        <v>263</v>
      </c>
      <c r="F172" s="52" t="s">
        <v>111</v>
      </c>
      <c r="J172" s="4" t="s">
        <v>117</v>
      </c>
      <c r="K172" s="14"/>
      <c r="L172" s="14">
        <v>152120</v>
      </c>
    </row>
    <row r="173" spans="1:12" x14ac:dyDescent="0.3">
      <c r="A173" s="104">
        <v>45927</v>
      </c>
      <c r="B173" t="s">
        <v>97</v>
      </c>
      <c r="C173" s="114">
        <v>33500</v>
      </c>
      <c r="D173" s="11"/>
      <c r="E173" t="s">
        <v>264</v>
      </c>
      <c r="F173" s="52" t="s">
        <v>112</v>
      </c>
      <c r="J173" s="4" t="s">
        <v>52</v>
      </c>
      <c r="K173" s="14"/>
      <c r="L173" s="14">
        <v>1262072</v>
      </c>
    </row>
    <row r="174" spans="1:12" x14ac:dyDescent="0.3">
      <c r="A174" s="104">
        <v>45927</v>
      </c>
      <c r="B174" t="s">
        <v>54</v>
      </c>
      <c r="C174" s="11">
        <v>3000</v>
      </c>
      <c r="D174" s="11"/>
      <c r="E174" t="s">
        <v>265</v>
      </c>
      <c r="F174" s="52" t="s">
        <v>112</v>
      </c>
      <c r="J174" s="4" t="s">
        <v>23</v>
      </c>
      <c r="K174" s="14">
        <v>142800</v>
      </c>
      <c r="L174" s="14"/>
    </row>
    <row r="175" spans="1:12" x14ac:dyDescent="0.3">
      <c r="A175" s="104">
        <v>45927</v>
      </c>
      <c r="B175" t="s">
        <v>55</v>
      </c>
      <c r="C175" s="11">
        <v>1250</v>
      </c>
      <c r="D175" s="11"/>
      <c r="F175" s="52" t="s">
        <v>112</v>
      </c>
      <c r="J175" s="4" t="s">
        <v>54</v>
      </c>
      <c r="K175" s="14"/>
      <c r="L175" s="14">
        <v>313495</v>
      </c>
    </row>
    <row r="176" spans="1:12" x14ac:dyDescent="0.3">
      <c r="A176" s="104">
        <v>45927</v>
      </c>
      <c r="B176" t="s">
        <v>112</v>
      </c>
      <c r="C176" s="11"/>
      <c r="D176" s="11"/>
      <c r="F176" s="52" t="s">
        <v>266</v>
      </c>
      <c r="G176">
        <v>30000</v>
      </c>
      <c r="J176" s="4" t="s">
        <v>119</v>
      </c>
      <c r="K176" s="14">
        <v>68522</v>
      </c>
      <c r="L176" s="14">
        <v>169286</v>
      </c>
    </row>
    <row r="177" spans="1:12" x14ac:dyDescent="0.3">
      <c r="A177" s="104">
        <v>45927</v>
      </c>
      <c r="B177" t="s">
        <v>121</v>
      </c>
      <c r="C177" s="11">
        <v>20000</v>
      </c>
      <c r="D177" s="11"/>
      <c r="E177" t="s">
        <v>180</v>
      </c>
      <c r="F177" s="52" t="s">
        <v>112</v>
      </c>
      <c r="J177" s="4" t="s">
        <v>217</v>
      </c>
      <c r="K177" s="14"/>
      <c r="L177" s="14">
        <v>1903031</v>
      </c>
    </row>
    <row r="178" spans="1:12" x14ac:dyDescent="0.3">
      <c r="A178" s="104">
        <v>45927</v>
      </c>
      <c r="B178" t="s">
        <v>237</v>
      </c>
      <c r="C178" s="11"/>
      <c r="D178" s="11">
        <v>280000</v>
      </c>
      <c r="F178" s="52" t="s">
        <v>111</v>
      </c>
      <c r="J178" s="4" t="s">
        <v>116</v>
      </c>
      <c r="K178" s="14">
        <v>54850</v>
      </c>
      <c r="L178" s="14">
        <v>12000</v>
      </c>
    </row>
    <row r="179" spans="1:12" x14ac:dyDescent="0.3">
      <c r="A179" s="104">
        <v>45927</v>
      </c>
      <c r="B179" t="s">
        <v>52</v>
      </c>
      <c r="C179" s="11"/>
      <c r="D179" s="11"/>
      <c r="E179" t="s">
        <v>267</v>
      </c>
      <c r="F179" s="52" t="s">
        <v>111</v>
      </c>
      <c r="J179" s="4" t="s">
        <v>22</v>
      </c>
      <c r="K179" s="14">
        <v>247550</v>
      </c>
      <c r="L179" s="14"/>
    </row>
    <row r="180" spans="1:12" x14ac:dyDescent="0.3">
      <c r="A180" s="104">
        <v>45928</v>
      </c>
      <c r="B180" t="s">
        <v>97</v>
      </c>
      <c r="C180" s="114">
        <v>27300</v>
      </c>
      <c r="D180" s="11"/>
      <c r="E180" t="s">
        <v>269</v>
      </c>
      <c r="F180" s="52" t="s">
        <v>111</v>
      </c>
      <c r="J180" s="4" t="s">
        <v>106</v>
      </c>
      <c r="K180" s="14"/>
      <c r="L180" s="14"/>
    </row>
    <row r="181" spans="1:12" x14ac:dyDescent="0.3">
      <c r="A181" s="104">
        <v>45928</v>
      </c>
      <c r="B181" t="s">
        <v>97</v>
      </c>
      <c r="C181" s="114">
        <v>40000</v>
      </c>
      <c r="D181" s="11"/>
      <c r="E181" t="s">
        <v>270</v>
      </c>
      <c r="F181" s="52" t="s">
        <v>111</v>
      </c>
      <c r="J181" s="4" t="s">
        <v>25</v>
      </c>
      <c r="K181" s="14">
        <v>1451266</v>
      </c>
      <c r="L181" s="14"/>
    </row>
    <row r="182" spans="1:12" x14ac:dyDescent="0.3">
      <c r="A182" s="104">
        <v>45928</v>
      </c>
      <c r="B182" t="s">
        <v>26</v>
      </c>
      <c r="C182" s="11"/>
      <c r="D182" s="11">
        <v>200000</v>
      </c>
      <c r="F182" s="52" t="s">
        <v>111</v>
      </c>
      <c r="J182" s="4" t="s">
        <v>24</v>
      </c>
      <c r="K182" s="14">
        <v>4550000</v>
      </c>
      <c r="L182" s="14"/>
    </row>
    <row r="183" spans="1:12" x14ac:dyDescent="0.3">
      <c r="A183" s="104">
        <v>45928</v>
      </c>
      <c r="B183" t="s">
        <v>52</v>
      </c>
      <c r="C183" s="11"/>
      <c r="D183" s="11"/>
      <c r="E183" t="s">
        <v>271</v>
      </c>
      <c r="F183" s="52" t="s">
        <v>111</v>
      </c>
      <c r="J183" s="4" t="s">
        <v>27</v>
      </c>
      <c r="K183" s="14">
        <v>300000</v>
      </c>
      <c r="L183" s="14"/>
    </row>
    <row r="184" spans="1:12" x14ac:dyDescent="0.3">
      <c r="A184" s="104">
        <v>45928</v>
      </c>
      <c r="B184" t="s">
        <v>52</v>
      </c>
      <c r="C184" s="11">
        <v>20000</v>
      </c>
      <c r="D184" s="11"/>
      <c r="E184" t="s">
        <v>224</v>
      </c>
      <c r="F184" s="52" t="s">
        <v>111</v>
      </c>
      <c r="J184" s="4" t="s">
        <v>120</v>
      </c>
      <c r="K184" s="14"/>
      <c r="L184" s="14">
        <v>500000</v>
      </c>
    </row>
    <row r="185" spans="1:12" x14ac:dyDescent="0.3">
      <c r="A185" s="104">
        <v>45928</v>
      </c>
      <c r="B185" t="s">
        <v>21</v>
      </c>
      <c r="C185" s="47"/>
      <c r="D185" s="47">
        <v>20000</v>
      </c>
      <c r="E185" t="s">
        <v>224</v>
      </c>
      <c r="F185" s="52" t="s">
        <v>111</v>
      </c>
      <c r="J185" s="4" t="s">
        <v>35</v>
      </c>
      <c r="K185" s="14">
        <v>155000</v>
      </c>
      <c r="L185" s="14"/>
    </row>
    <row r="186" spans="1:12" x14ac:dyDescent="0.3">
      <c r="A186" s="104">
        <v>45928</v>
      </c>
      <c r="B186" t="s">
        <v>54</v>
      </c>
      <c r="C186" s="11">
        <v>7050</v>
      </c>
      <c r="D186" s="11"/>
      <c r="E186" t="s">
        <v>200</v>
      </c>
      <c r="F186" s="52" t="s">
        <v>111</v>
      </c>
      <c r="J186" s="4" t="s">
        <v>26</v>
      </c>
      <c r="K186" s="14">
        <v>400000</v>
      </c>
      <c r="L186" s="14"/>
    </row>
    <row r="187" spans="1:12" x14ac:dyDescent="0.3">
      <c r="A187" s="104">
        <v>45928</v>
      </c>
      <c r="B187" t="s">
        <v>54</v>
      </c>
      <c r="C187" s="11">
        <v>1000</v>
      </c>
      <c r="D187" s="11"/>
      <c r="E187" t="s">
        <v>272</v>
      </c>
      <c r="F187" s="52" t="s">
        <v>111</v>
      </c>
      <c r="J187" s="4" t="s">
        <v>156</v>
      </c>
      <c r="K187" s="14"/>
      <c r="L187" s="14">
        <v>615010</v>
      </c>
    </row>
    <row r="188" spans="1:12" x14ac:dyDescent="0.3">
      <c r="A188" s="104">
        <v>45928</v>
      </c>
      <c r="B188" t="s">
        <v>116</v>
      </c>
      <c r="C188" s="11">
        <v>1000</v>
      </c>
      <c r="D188" s="11"/>
      <c r="E188" t="s">
        <v>112</v>
      </c>
      <c r="F188" s="52" t="s">
        <v>112</v>
      </c>
      <c r="J188" s="4" t="s">
        <v>64</v>
      </c>
      <c r="K188" s="14">
        <v>106500</v>
      </c>
      <c r="L188" s="14">
        <v>743000</v>
      </c>
    </row>
    <row r="189" spans="1:12" x14ac:dyDescent="0.3">
      <c r="A189" s="104">
        <v>45928</v>
      </c>
      <c r="B189" t="s">
        <v>119</v>
      </c>
      <c r="C189" s="11">
        <v>5000</v>
      </c>
      <c r="D189" s="11"/>
      <c r="E189" t="s">
        <v>273</v>
      </c>
      <c r="F189" s="52" t="s">
        <v>112</v>
      </c>
      <c r="J189" s="4" t="s">
        <v>159</v>
      </c>
      <c r="K189" s="14">
        <v>1417620</v>
      </c>
      <c r="L189" s="14"/>
    </row>
    <row r="190" spans="1:12" x14ac:dyDescent="0.3">
      <c r="A190" s="104">
        <v>45928</v>
      </c>
      <c r="B190" t="s">
        <v>119</v>
      </c>
      <c r="C190" s="11">
        <v>2320</v>
      </c>
      <c r="D190" s="11"/>
      <c r="E190" t="s">
        <v>274</v>
      </c>
      <c r="F190" s="52" t="s">
        <v>112</v>
      </c>
      <c r="J190" s="4" t="s">
        <v>164</v>
      </c>
      <c r="K190" s="14">
        <v>-1229769</v>
      </c>
      <c r="L190" s="14"/>
    </row>
    <row r="191" spans="1:12" x14ac:dyDescent="0.3">
      <c r="A191" s="43">
        <v>45929</v>
      </c>
      <c r="B191" t="s">
        <v>159</v>
      </c>
      <c r="C191" s="47"/>
      <c r="D191" s="47">
        <v>200000</v>
      </c>
      <c r="F191" s="52" t="s">
        <v>111</v>
      </c>
      <c r="J191" s="4" t="s">
        <v>231</v>
      </c>
      <c r="K191" s="14"/>
      <c r="L191" s="14">
        <v>350000</v>
      </c>
    </row>
    <row r="192" spans="1:12" x14ac:dyDescent="0.3">
      <c r="A192" s="104">
        <v>45929</v>
      </c>
      <c r="B192" t="s">
        <v>97</v>
      </c>
      <c r="C192" s="11">
        <v>300002</v>
      </c>
      <c r="D192" s="11"/>
      <c r="E192" t="s">
        <v>275</v>
      </c>
      <c r="F192" s="52" t="s">
        <v>111</v>
      </c>
      <c r="J192" s="4" t="s">
        <v>237</v>
      </c>
      <c r="K192" s="14">
        <v>1370000</v>
      </c>
      <c r="L192" s="14"/>
    </row>
    <row r="193" spans="1:12" x14ac:dyDescent="0.3">
      <c r="A193" s="43">
        <v>45929</v>
      </c>
      <c r="B193" t="s">
        <v>97</v>
      </c>
      <c r="C193" s="11">
        <v>34700</v>
      </c>
      <c r="D193" s="11"/>
      <c r="E193" t="s">
        <v>276</v>
      </c>
      <c r="F193" s="52" t="s">
        <v>111</v>
      </c>
      <c r="J193" s="4" t="s">
        <v>311</v>
      </c>
      <c r="K193" s="14"/>
      <c r="L193" s="14">
        <v>417025</v>
      </c>
    </row>
    <row r="194" spans="1:12" x14ac:dyDescent="0.3">
      <c r="A194" s="104">
        <v>45929</v>
      </c>
      <c r="B194" t="s">
        <v>52</v>
      </c>
      <c r="C194" s="11"/>
      <c r="D194" s="11"/>
      <c r="E194" t="s">
        <v>277</v>
      </c>
      <c r="F194" s="52" t="s">
        <v>111</v>
      </c>
      <c r="J194" s="4" t="s">
        <v>357</v>
      </c>
      <c r="K194" s="14"/>
      <c r="L194" s="14">
        <v>256040</v>
      </c>
    </row>
    <row r="195" spans="1:12" x14ac:dyDescent="0.3">
      <c r="A195" s="43">
        <v>45929</v>
      </c>
      <c r="B195" t="s">
        <v>119</v>
      </c>
      <c r="C195" s="11">
        <v>3300</v>
      </c>
      <c r="D195" s="11"/>
      <c r="E195" t="s">
        <v>168</v>
      </c>
      <c r="F195" s="52" t="s">
        <v>112</v>
      </c>
      <c r="J195" s="4" t="s">
        <v>365</v>
      </c>
      <c r="K195" s="14"/>
      <c r="L195" s="14">
        <v>120000</v>
      </c>
    </row>
    <row r="196" spans="1:12" x14ac:dyDescent="0.3">
      <c r="A196" s="104">
        <v>45928</v>
      </c>
      <c r="B196" t="s">
        <v>119</v>
      </c>
      <c r="C196" s="47">
        <v>3300</v>
      </c>
      <c r="D196" s="47"/>
      <c r="E196" t="s">
        <v>168</v>
      </c>
      <c r="F196" s="52" t="s">
        <v>112</v>
      </c>
      <c r="J196" s="4" t="s">
        <v>377</v>
      </c>
      <c r="K196" s="14"/>
      <c r="L196" s="14">
        <v>500000</v>
      </c>
    </row>
    <row r="197" spans="1:12" x14ac:dyDescent="0.3">
      <c r="A197" s="43">
        <v>45929</v>
      </c>
      <c r="B197" t="s">
        <v>55</v>
      </c>
      <c r="C197" s="11">
        <v>8227</v>
      </c>
      <c r="D197" s="11"/>
      <c r="E197" t="s">
        <v>192</v>
      </c>
      <c r="F197" s="52" t="s">
        <v>111</v>
      </c>
      <c r="J197" s="4" t="s">
        <v>397</v>
      </c>
      <c r="K197" s="14"/>
      <c r="L197" s="14">
        <v>60000</v>
      </c>
    </row>
    <row r="198" spans="1:12" x14ac:dyDescent="0.3">
      <c r="A198" s="104">
        <v>45929</v>
      </c>
      <c r="B198" t="s">
        <v>97</v>
      </c>
      <c r="C198" s="11">
        <v>8000</v>
      </c>
      <c r="D198" s="11"/>
      <c r="E198" t="s">
        <v>219</v>
      </c>
      <c r="F198" s="52" t="s">
        <v>111</v>
      </c>
      <c r="J198" s="4" t="s">
        <v>28</v>
      </c>
      <c r="K198" s="14">
        <v>16282700</v>
      </c>
      <c r="L198" s="14">
        <v>16260118</v>
      </c>
    </row>
    <row r="199" spans="1:12" x14ac:dyDescent="0.3">
      <c r="A199" s="43">
        <v>45929</v>
      </c>
      <c r="B199" t="s">
        <v>112</v>
      </c>
      <c r="C199" s="11"/>
      <c r="D199" s="11"/>
      <c r="F199" s="52" t="s">
        <v>266</v>
      </c>
      <c r="G199">
        <v>3000</v>
      </c>
    </row>
    <row r="200" spans="1:12" x14ac:dyDescent="0.3">
      <c r="A200" s="104">
        <v>45929</v>
      </c>
      <c r="B200" t="s">
        <v>54</v>
      </c>
      <c r="C200" s="11">
        <v>2000</v>
      </c>
      <c r="D200" s="11"/>
      <c r="E200" t="s">
        <v>279</v>
      </c>
      <c r="F200" s="52" t="s">
        <v>111</v>
      </c>
    </row>
    <row r="201" spans="1:12" x14ac:dyDescent="0.3">
      <c r="A201" s="43">
        <v>45929</v>
      </c>
      <c r="B201" t="s">
        <v>9</v>
      </c>
      <c r="C201" s="47"/>
      <c r="D201" s="47">
        <v>150000</v>
      </c>
      <c r="E201" t="s">
        <v>280</v>
      </c>
      <c r="F201" s="52" t="s">
        <v>111</v>
      </c>
    </row>
    <row r="202" spans="1:12" x14ac:dyDescent="0.3">
      <c r="A202" s="104">
        <v>45929</v>
      </c>
      <c r="B202" t="s">
        <v>54</v>
      </c>
      <c r="C202" s="11">
        <v>3000</v>
      </c>
      <c r="D202" s="11"/>
      <c r="E202" t="s">
        <v>197</v>
      </c>
      <c r="F202" s="52" t="s">
        <v>281</v>
      </c>
    </row>
    <row r="203" spans="1:12" x14ac:dyDescent="0.3">
      <c r="A203" s="43">
        <v>45929</v>
      </c>
      <c r="B203" t="s">
        <v>282</v>
      </c>
      <c r="C203" s="47">
        <v>10000</v>
      </c>
      <c r="D203" s="47"/>
      <c r="E203" t="s">
        <v>155</v>
      </c>
      <c r="F203" s="52" t="s">
        <v>283</v>
      </c>
    </row>
    <row r="204" spans="1:12" x14ac:dyDescent="0.3">
      <c r="A204" s="104">
        <v>45929</v>
      </c>
      <c r="B204" t="s">
        <v>54</v>
      </c>
      <c r="C204" s="11">
        <v>5700</v>
      </c>
      <c r="D204" s="11"/>
      <c r="E204" t="s">
        <v>200</v>
      </c>
      <c r="F204" s="52" t="s">
        <v>111</v>
      </c>
    </row>
    <row r="205" spans="1:12" x14ac:dyDescent="0.3">
      <c r="A205" s="43">
        <v>45929</v>
      </c>
      <c r="B205" t="s">
        <v>26</v>
      </c>
      <c r="C205" s="47"/>
      <c r="D205" s="47">
        <v>200000</v>
      </c>
      <c r="F205" s="52" t="s">
        <v>283</v>
      </c>
    </row>
    <row r="206" spans="1:12" x14ac:dyDescent="0.3">
      <c r="A206" s="104">
        <v>45930</v>
      </c>
      <c r="B206" t="s">
        <v>97</v>
      </c>
      <c r="C206" s="11">
        <v>41060</v>
      </c>
      <c r="D206" s="11"/>
      <c r="F206" s="52" t="s">
        <v>112</v>
      </c>
    </row>
    <row r="207" spans="1:12" x14ac:dyDescent="0.3">
      <c r="A207" s="104">
        <v>45930</v>
      </c>
      <c r="B207" t="s">
        <v>123</v>
      </c>
      <c r="C207" s="11">
        <v>82000</v>
      </c>
      <c r="D207" s="11"/>
      <c r="E207" t="s">
        <v>191</v>
      </c>
      <c r="F207" s="52" t="s">
        <v>111</v>
      </c>
    </row>
    <row r="208" spans="1:12" x14ac:dyDescent="0.3">
      <c r="A208" s="104">
        <v>45930</v>
      </c>
      <c r="B208" t="s">
        <v>24</v>
      </c>
      <c r="C208" s="11"/>
      <c r="D208" s="11">
        <v>650000</v>
      </c>
      <c r="F208" s="52" t="s">
        <v>111</v>
      </c>
    </row>
    <row r="209" spans="1:6" x14ac:dyDescent="0.3">
      <c r="A209" s="104">
        <v>45930</v>
      </c>
      <c r="B209" t="s">
        <v>24</v>
      </c>
      <c r="C209" s="11"/>
      <c r="D209" s="11">
        <v>400000</v>
      </c>
      <c r="F209" s="52" t="s">
        <v>111</v>
      </c>
    </row>
    <row r="210" spans="1:6" x14ac:dyDescent="0.3">
      <c r="A210" s="104">
        <v>45930</v>
      </c>
      <c r="B210" t="s">
        <v>97</v>
      </c>
      <c r="C210" s="11">
        <v>300330</v>
      </c>
      <c r="D210" s="11"/>
      <c r="E210" t="s">
        <v>284</v>
      </c>
      <c r="F210" s="52" t="s">
        <v>111</v>
      </c>
    </row>
    <row r="211" spans="1:6" x14ac:dyDescent="0.3">
      <c r="A211" s="104">
        <v>45930</v>
      </c>
      <c r="B211" t="s">
        <v>9</v>
      </c>
      <c r="C211" s="11"/>
      <c r="D211" s="11">
        <v>70000</v>
      </c>
      <c r="F211" s="52" t="s">
        <v>111</v>
      </c>
    </row>
    <row r="212" spans="1:6" x14ac:dyDescent="0.3">
      <c r="A212" s="104">
        <v>45930</v>
      </c>
      <c r="B212" t="s">
        <v>117</v>
      </c>
      <c r="C212" s="11">
        <v>4000</v>
      </c>
      <c r="D212" s="11"/>
      <c r="E212" t="s">
        <v>285</v>
      </c>
      <c r="F212" s="52" t="s">
        <v>112</v>
      </c>
    </row>
    <row r="213" spans="1:6" x14ac:dyDescent="0.3">
      <c r="A213" s="104">
        <v>45930</v>
      </c>
      <c r="B213" t="s">
        <v>50</v>
      </c>
      <c r="C213" s="47">
        <v>300</v>
      </c>
      <c r="D213" s="47"/>
      <c r="F213" s="52" t="s">
        <v>112</v>
      </c>
    </row>
    <row r="214" spans="1:6" x14ac:dyDescent="0.3">
      <c r="A214" s="104">
        <v>45930</v>
      </c>
      <c r="B214" t="s">
        <v>54</v>
      </c>
      <c r="C214" s="11">
        <v>3350</v>
      </c>
      <c r="D214" s="11"/>
      <c r="E214" t="s">
        <v>200</v>
      </c>
      <c r="F214" s="52" t="s">
        <v>111</v>
      </c>
    </row>
    <row r="215" spans="1:6" x14ac:dyDescent="0.3">
      <c r="A215" s="104">
        <v>45930</v>
      </c>
      <c r="B215" t="s">
        <v>52</v>
      </c>
      <c r="C215" s="11"/>
      <c r="D215" s="11"/>
      <c r="E215" t="s">
        <v>286</v>
      </c>
      <c r="F215" s="52" t="s">
        <v>111</v>
      </c>
    </row>
    <row r="216" spans="1:6" x14ac:dyDescent="0.3">
      <c r="A216" s="104">
        <v>45931</v>
      </c>
      <c r="B216" t="s">
        <v>24</v>
      </c>
      <c r="C216" s="11"/>
      <c r="D216" s="11">
        <v>500000</v>
      </c>
      <c r="F216" s="52" t="s">
        <v>111</v>
      </c>
    </row>
    <row r="217" spans="1:6" x14ac:dyDescent="0.3">
      <c r="A217" s="104">
        <v>45931</v>
      </c>
      <c r="B217" t="s">
        <v>97</v>
      </c>
      <c r="C217" s="11">
        <v>40000</v>
      </c>
      <c r="D217" s="11"/>
      <c r="E217" t="s">
        <v>294</v>
      </c>
      <c r="F217" s="52" t="s">
        <v>112</v>
      </c>
    </row>
    <row r="218" spans="1:6" x14ac:dyDescent="0.3">
      <c r="A218" s="104">
        <v>45931</v>
      </c>
      <c r="B218" t="s">
        <v>97</v>
      </c>
      <c r="C218" s="11">
        <v>62410</v>
      </c>
      <c r="D218" s="11"/>
      <c r="E218" t="s">
        <v>295</v>
      </c>
      <c r="F218" s="52" t="s">
        <v>111</v>
      </c>
    </row>
    <row r="219" spans="1:6" x14ac:dyDescent="0.3">
      <c r="A219" s="104">
        <v>45931</v>
      </c>
      <c r="B219" t="s">
        <v>55</v>
      </c>
      <c r="C219" s="47">
        <v>1550</v>
      </c>
      <c r="D219" s="47"/>
      <c r="E219" t="s">
        <v>296</v>
      </c>
      <c r="F219" s="52" t="s">
        <v>111</v>
      </c>
    </row>
    <row r="220" spans="1:6" x14ac:dyDescent="0.3">
      <c r="A220" s="104">
        <v>45931</v>
      </c>
      <c r="B220" t="s">
        <v>55</v>
      </c>
      <c r="C220" s="11">
        <v>8349</v>
      </c>
      <c r="D220" s="11"/>
      <c r="E220" t="s">
        <v>192</v>
      </c>
      <c r="F220" s="52" t="s">
        <v>111</v>
      </c>
    </row>
    <row r="221" spans="1:6" x14ac:dyDescent="0.3">
      <c r="A221" s="104">
        <v>45931</v>
      </c>
      <c r="B221" t="s">
        <v>55</v>
      </c>
      <c r="C221" s="11">
        <v>4240</v>
      </c>
      <c r="D221" s="11"/>
      <c r="E221" t="s">
        <v>297</v>
      </c>
      <c r="F221" s="52" t="s">
        <v>111</v>
      </c>
    </row>
    <row r="222" spans="1:6" x14ac:dyDescent="0.3">
      <c r="A222" s="104">
        <v>45931</v>
      </c>
      <c r="B222" t="s">
        <v>55</v>
      </c>
      <c r="C222" s="11">
        <v>900</v>
      </c>
      <c r="D222" s="11"/>
      <c r="E222" t="s">
        <v>297</v>
      </c>
      <c r="F222" s="52" t="s">
        <v>111</v>
      </c>
    </row>
    <row r="223" spans="1:6" x14ac:dyDescent="0.3">
      <c r="A223" s="104">
        <v>45931</v>
      </c>
      <c r="B223" t="s">
        <v>54</v>
      </c>
      <c r="C223" s="11">
        <v>5349</v>
      </c>
      <c r="D223" s="11"/>
      <c r="E223" t="s">
        <v>344</v>
      </c>
      <c r="F223" s="52" t="s">
        <v>112</v>
      </c>
    </row>
    <row r="224" spans="1:6" x14ac:dyDescent="0.3">
      <c r="A224" s="104">
        <v>45931</v>
      </c>
      <c r="B224" t="s">
        <v>119</v>
      </c>
      <c r="C224" s="11">
        <v>6600</v>
      </c>
      <c r="D224" s="11"/>
      <c r="E224" t="s">
        <v>168</v>
      </c>
      <c r="F224" s="52" t="s">
        <v>111</v>
      </c>
    </row>
    <row r="225" spans="1:7" x14ac:dyDescent="0.3">
      <c r="A225" s="104">
        <v>45931</v>
      </c>
      <c r="B225" t="s">
        <v>54</v>
      </c>
      <c r="C225" s="11">
        <v>5100</v>
      </c>
      <c r="D225" s="11"/>
      <c r="E225" t="s">
        <v>155</v>
      </c>
      <c r="F225" s="52" t="s">
        <v>111</v>
      </c>
    </row>
    <row r="226" spans="1:7" x14ac:dyDescent="0.3">
      <c r="A226" s="104">
        <v>45931</v>
      </c>
      <c r="B226" t="s">
        <v>97</v>
      </c>
      <c r="C226" s="11">
        <v>300150</v>
      </c>
      <c r="D226" s="11"/>
      <c r="E226" t="s">
        <v>298</v>
      </c>
      <c r="F226" s="52" t="s">
        <v>111</v>
      </c>
    </row>
    <row r="227" spans="1:7" x14ac:dyDescent="0.3">
      <c r="A227" s="104">
        <v>45931</v>
      </c>
      <c r="B227" t="s">
        <v>23</v>
      </c>
      <c r="C227" s="11"/>
      <c r="D227" s="11">
        <f>38800+1500</f>
        <v>40300</v>
      </c>
      <c r="E227" t="s">
        <v>299</v>
      </c>
      <c r="F227" s="52" t="s">
        <v>111</v>
      </c>
    </row>
    <row r="228" spans="1:7" x14ac:dyDescent="0.3">
      <c r="A228" s="104">
        <v>45931</v>
      </c>
      <c r="B228" t="s">
        <v>54</v>
      </c>
      <c r="C228" s="11">
        <v>1500</v>
      </c>
      <c r="D228" s="11"/>
      <c r="E228" t="s">
        <v>312</v>
      </c>
      <c r="F228" s="52" t="s">
        <v>111</v>
      </c>
    </row>
    <row r="229" spans="1:7" x14ac:dyDescent="0.3">
      <c r="A229" s="104">
        <v>45931</v>
      </c>
      <c r="B229" t="s">
        <v>50</v>
      </c>
      <c r="C229" s="47">
        <v>4200</v>
      </c>
      <c r="D229" s="11"/>
      <c r="E229" t="s">
        <v>300</v>
      </c>
      <c r="F229" s="52" t="s">
        <v>111</v>
      </c>
    </row>
    <row r="230" spans="1:7" x14ac:dyDescent="0.3">
      <c r="A230" s="104">
        <v>45932</v>
      </c>
      <c r="B230" t="s">
        <v>301</v>
      </c>
      <c r="C230" s="47">
        <v>4500</v>
      </c>
      <c r="D230" s="47"/>
      <c r="F230" s="52" t="s">
        <v>112</v>
      </c>
    </row>
    <row r="231" spans="1:7" x14ac:dyDescent="0.3">
      <c r="A231" s="104">
        <v>45932</v>
      </c>
      <c r="B231" t="s">
        <v>112</v>
      </c>
      <c r="C231" s="11"/>
      <c r="D231" s="11"/>
      <c r="F231" s="52" t="s">
        <v>266</v>
      </c>
      <c r="G231">
        <v>50000</v>
      </c>
    </row>
    <row r="232" spans="1:7" x14ac:dyDescent="0.3">
      <c r="A232" s="104">
        <v>45932</v>
      </c>
      <c r="B232" t="s">
        <v>97</v>
      </c>
      <c r="C232" s="11">
        <v>44420</v>
      </c>
      <c r="D232" s="11"/>
      <c r="E232" t="s">
        <v>302</v>
      </c>
      <c r="F232" s="52" t="s">
        <v>111</v>
      </c>
    </row>
    <row r="233" spans="1:7" x14ac:dyDescent="0.3">
      <c r="A233" s="104">
        <v>45932</v>
      </c>
      <c r="B233" t="s">
        <v>97</v>
      </c>
      <c r="C233" s="11">
        <v>39200</v>
      </c>
      <c r="D233" s="11"/>
      <c r="E233" t="s">
        <v>303</v>
      </c>
      <c r="F233" s="52" t="s">
        <v>111</v>
      </c>
    </row>
    <row r="234" spans="1:7" x14ac:dyDescent="0.3">
      <c r="A234" s="104">
        <v>45932</v>
      </c>
      <c r="B234" t="s">
        <v>50</v>
      </c>
      <c r="C234" s="11">
        <v>535</v>
      </c>
      <c r="D234" s="11"/>
      <c r="E234" t="s">
        <v>304</v>
      </c>
      <c r="F234" s="52" t="s">
        <v>111</v>
      </c>
    </row>
    <row r="235" spans="1:7" x14ac:dyDescent="0.3">
      <c r="A235" s="104">
        <v>45932</v>
      </c>
      <c r="B235" t="s">
        <v>54</v>
      </c>
      <c r="C235" s="11">
        <v>1000</v>
      </c>
      <c r="D235" s="11"/>
      <c r="E235" t="s">
        <v>239</v>
      </c>
      <c r="F235" s="52" t="s">
        <v>112</v>
      </c>
    </row>
    <row r="236" spans="1:7" x14ac:dyDescent="0.3">
      <c r="A236" s="104">
        <v>45932</v>
      </c>
      <c r="B236" t="s">
        <v>9</v>
      </c>
      <c r="C236" s="11"/>
      <c r="D236" s="11">
        <v>73000</v>
      </c>
      <c r="E236" t="s">
        <v>305</v>
      </c>
      <c r="F236" s="52" t="s">
        <v>111</v>
      </c>
    </row>
    <row r="237" spans="1:7" x14ac:dyDescent="0.3">
      <c r="A237" s="104">
        <v>45932</v>
      </c>
      <c r="B237" t="s">
        <v>156</v>
      </c>
      <c r="C237" s="11">
        <v>125000</v>
      </c>
      <c r="D237" s="11"/>
      <c r="E237" t="s">
        <v>306</v>
      </c>
      <c r="F237" s="52" t="s">
        <v>111</v>
      </c>
    </row>
    <row r="238" spans="1:7" x14ac:dyDescent="0.3">
      <c r="A238" s="104">
        <v>45932</v>
      </c>
      <c r="B238" t="s">
        <v>117</v>
      </c>
      <c r="C238" s="11">
        <v>18000</v>
      </c>
      <c r="D238" s="11"/>
      <c r="E238" t="s">
        <v>225</v>
      </c>
      <c r="F238" s="52" t="s">
        <v>111</v>
      </c>
    </row>
    <row r="239" spans="1:7" x14ac:dyDescent="0.3">
      <c r="A239" s="104">
        <v>45932</v>
      </c>
      <c r="B239" t="s">
        <v>54</v>
      </c>
      <c r="C239" s="11">
        <v>1500</v>
      </c>
      <c r="D239" s="11"/>
      <c r="E239" t="s">
        <v>205</v>
      </c>
      <c r="F239" s="52" t="s">
        <v>112</v>
      </c>
    </row>
    <row r="240" spans="1:7" x14ac:dyDescent="0.3">
      <c r="A240" s="104">
        <v>45932</v>
      </c>
      <c r="B240" t="s">
        <v>97</v>
      </c>
      <c r="C240" s="47">
        <v>301120</v>
      </c>
      <c r="D240" s="47"/>
      <c r="E240" t="s">
        <v>195</v>
      </c>
      <c r="F240" s="52" t="s">
        <v>111</v>
      </c>
    </row>
    <row r="241" spans="1:7" x14ac:dyDescent="0.3">
      <c r="A241" s="104">
        <v>45932</v>
      </c>
      <c r="B241" t="s">
        <v>55</v>
      </c>
      <c r="C241" s="11">
        <v>15000</v>
      </c>
      <c r="D241" s="11"/>
      <c r="E241" t="s">
        <v>307</v>
      </c>
      <c r="F241" s="52" t="s">
        <v>111</v>
      </c>
    </row>
    <row r="242" spans="1:7" x14ac:dyDescent="0.3">
      <c r="A242" s="104">
        <v>45932</v>
      </c>
      <c r="B242" t="s">
        <v>21</v>
      </c>
      <c r="C242" s="11"/>
      <c r="D242" s="11">
        <v>15000</v>
      </c>
      <c r="E242" t="s">
        <v>307</v>
      </c>
      <c r="F242" s="52" t="s">
        <v>111</v>
      </c>
    </row>
    <row r="243" spans="1:7" x14ac:dyDescent="0.3">
      <c r="A243" s="104">
        <v>45932</v>
      </c>
      <c r="B243" t="s">
        <v>54</v>
      </c>
      <c r="C243" s="11">
        <v>5410</v>
      </c>
      <c r="D243" s="11"/>
      <c r="E243" t="s">
        <v>200</v>
      </c>
      <c r="F243" s="52" t="s">
        <v>111</v>
      </c>
    </row>
    <row r="244" spans="1:7" x14ac:dyDescent="0.3">
      <c r="A244" s="104">
        <v>45932</v>
      </c>
      <c r="B244" t="s">
        <v>21</v>
      </c>
      <c r="C244" s="11"/>
      <c r="D244" s="11">
        <v>5410</v>
      </c>
      <c r="E244" t="s">
        <v>200</v>
      </c>
      <c r="F244" s="52" t="s">
        <v>111</v>
      </c>
    </row>
    <row r="245" spans="1:7" x14ac:dyDescent="0.3">
      <c r="A245" s="104">
        <v>45933</v>
      </c>
      <c r="B245" t="s">
        <v>97</v>
      </c>
      <c r="C245" s="11">
        <v>92470</v>
      </c>
      <c r="D245" s="11"/>
      <c r="E245" t="s">
        <v>313</v>
      </c>
      <c r="F245" s="52" t="s">
        <v>111</v>
      </c>
    </row>
    <row r="246" spans="1:7" x14ac:dyDescent="0.3">
      <c r="A246" s="104">
        <v>45933</v>
      </c>
      <c r="B246" t="s">
        <v>97</v>
      </c>
      <c r="C246" s="11">
        <v>34500</v>
      </c>
      <c r="D246" s="11"/>
      <c r="E246" t="s">
        <v>314</v>
      </c>
      <c r="F246" s="52" t="s">
        <v>112</v>
      </c>
    </row>
    <row r="247" spans="1:7" x14ac:dyDescent="0.3">
      <c r="A247" s="104">
        <v>45933</v>
      </c>
      <c r="B247" t="s">
        <v>27</v>
      </c>
      <c r="C247" s="11"/>
      <c r="D247" s="11">
        <v>100000</v>
      </c>
      <c r="F247" s="52" t="s">
        <v>111</v>
      </c>
    </row>
    <row r="248" spans="1:7" x14ac:dyDescent="0.3">
      <c r="A248" s="104">
        <v>45933</v>
      </c>
      <c r="B248" t="s">
        <v>52</v>
      </c>
      <c r="C248" s="20"/>
      <c r="D248" s="11"/>
      <c r="E248" t="s">
        <v>315</v>
      </c>
      <c r="F248" s="52" t="s">
        <v>111</v>
      </c>
    </row>
    <row r="249" spans="1:7" x14ac:dyDescent="0.3">
      <c r="A249" s="104">
        <v>45933</v>
      </c>
      <c r="B249" t="s">
        <v>121</v>
      </c>
      <c r="C249" s="11">
        <v>2000</v>
      </c>
      <c r="D249" s="11"/>
      <c r="E249" t="s">
        <v>316</v>
      </c>
      <c r="F249" s="52" t="s">
        <v>112</v>
      </c>
    </row>
    <row r="250" spans="1:7" x14ac:dyDescent="0.3">
      <c r="A250" s="104">
        <v>45933</v>
      </c>
      <c r="B250" t="s">
        <v>97</v>
      </c>
      <c r="C250" s="20">
        <v>302400</v>
      </c>
      <c r="D250" s="11"/>
      <c r="E250" t="s">
        <v>317</v>
      </c>
      <c r="F250" s="52" t="s">
        <v>112</v>
      </c>
    </row>
    <row r="251" spans="1:7" x14ac:dyDescent="0.3">
      <c r="A251" s="104">
        <v>45933</v>
      </c>
      <c r="B251" t="s">
        <v>117</v>
      </c>
      <c r="C251" s="20">
        <v>16370</v>
      </c>
      <c r="D251" s="11"/>
      <c r="E251" t="s">
        <v>318</v>
      </c>
      <c r="F251" s="52" t="s">
        <v>111</v>
      </c>
    </row>
    <row r="252" spans="1:7" x14ac:dyDescent="0.3">
      <c r="A252" s="104">
        <v>45933</v>
      </c>
      <c r="B252" t="s">
        <v>121</v>
      </c>
      <c r="C252" s="20">
        <v>10000</v>
      </c>
      <c r="D252" s="11"/>
      <c r="E252" t="s">
        <v>181</v>
      </c>
      <c r="F252" s="52" t="s">
        <v>111</v>
      </c>
    </row>
    <row r="253" spans="1:7" x14ac:dyDescent="0.3">
      <c r="A253" s="104">
        <v>45933</v>
      </c>
      <c r="B253" t="s">
        <v>217</v>
      </c>
      <c r="C253" s="11">
        <v>3000</v>
      </c>
      <c r="D253" s="11"/>
      <c r="E253" t="s">
        <v>319</v>
      </c>
      <c r="F253" s="52" t="s">
        <v>111</v>
      </c>
    </row>
    <row r="254" spans="1:7" x14ac:dyDescent="0.3">
      <c r="A254" s="104">
        <v>45933</v>
      </c>
      <c r="B254" t="s">
        <v>112</v>
      </c>
      <c r="C254" s="47"/>
      <c r="D254" s="47"/>
      <c r="F254" s="52" t="s">
        <v>266</v>
      </c>
      <c r="G254">
        <v>55000</v>
      </c>
    </row>
    <row r="255" spans="1:7" x14ac:dyDescent="0.3">
      <c r="A255" s="104">
        <v>45933</v>
      </c>
      <c r="B255" t="s">
        <v>159</v>
      </c>
      <c r="C255" s="11"/>
      <c r="D255" s="11">
        <v>21620</v>
      </c>
      <c r="E255" t="s">
        <v>320</v>
      </c>
      <c r="F255" s="52" t="s">
        <v>111</v>
      </c>
    </row>
    <row r="256" spans="1:7" x14ac:dyDescent="0.3">
      <c r="A256" s="104">
        <v>45934</v>
      </c>
      <c r="B256" t="s">
        <v>55</v>
      </c>
      <c r="C256" s="11">
        <v>50000</v>
      </c>
      <c r="D256" s="11"/>
      <c r="E256" t="s">
        <v>227</v>
      </c>
      <c r="F256" s="52" t="s">
        <v>111</v>
      </c>
    </row>
    <row r="257" spans="1:6" x14ac:dyDescent="0.3">
      <c r="A257" s="104">
        <v>45934</v>
      </c>
      <c r="B257" t="s">
        <v>21</v>
      </c>
      <c r="C257" s="11"/>
      <c r="D257" s="11">
        <v>50000</v>
      </c>
      <c r="E257" t="s">
        <v>326</v>
      </c>
      <c r="F257" s="52" t="s">
        <v>111</v>
      </c>
    </row>
    <row r="258" spans="1:6" x14ac:dyDescent="0.3">
      <c r="A258" s="104">
        <v>45934</v>
      </c>
      <c r="B258" t="s">
        <v>64</v>
      </c>
      <c r="C258" s="11">
        <v>55500</v>
      </c>
      <c r="D258" s="11"/>
      <c r="E258" t="s">
        <v>64</v>
      </c>
      <c r="F258" s="52" t="s">
        <v>111</v>
      </c>
    </row>
    <row r="259" spans="1:6" x14ac:dyDescent="0.3">
      <c r="A259" s="104">
        <v>45934</v>
      </c>
      <c r="B259" t="s">
        <v>21</v>
      </c>
      <c r="C259" s="11"/>
      <c r="D259" s="11">
        <v>55000</v>
      </c>
      <c r="E259" t="s">
        <v>327</v>
      </c>
      <c r="F259" s="52" t="s">
        <v>111</v>
      </c>
    </row>
    <row r="260" spans="1:6" x14ac:dyDescent="0.3">
      <c r="A260" s="104">
        <v>45934</v>
      </c>
      <c r="B260" t="s">
        <v>54</v>
      </c>
      <c r="C260" s="11">
        <v>5280</v>
      </c>
      <c r="D260" s="11"/>
      <c r="E260" t="s">
        <v>200</v>
      </c>
      <c r="F260" s="52" t="s">
        <v>111</v>
      </c>
    </row>
    <row r="261" spans="1:6" x14ac:dyDescent="0.3">
      <c r="A261" s="104">
        <v>45934</v>
      </c>
      <c r="B261" t="s">
        <v>21</v>
      </c>
      <c r="C261" s="11"/>
      <c r="D261" s="11">
        <v>5280</v>
      </c>
      <c r="F261" s="52" t="s">
        <v>111</v>
      </c>
    </row>
    <row r="262" spans="1:6" x14ac:dyDescent="0.3">
      <c r="A262" s="104">
        <v>45934</v>
      </c>
      <c r="B262" t="s">
        <v>21</v>
      </c>
      <c r="C262" s="11"/>
      <c r="D262" s="11">
        <v>250000</v>
      </c>
      <c r="E262" t="s">
        <v>328</v>
      </c>
      <c r="F262" s="52" t="s">
        <v>111</v>
      </c>
    </row>
    <row r="263" spans="1:6" x14ac:dyDescent="0.3">
      <c r="A263" s="104">
        <v>45934</v>
      </c>
      <c r="B263" t="s">
        <v>231</v>
      </c>
      <c r="C263" s="11">
        <v>100000</v>
      </c>
      <c r="D263" s="11"/>
      <c r="E263" t="s">
        <v>329</v>
      </c>
      <c r="F263" s="52" t="s">
        <v>112</v>
      </c>
    </row>
    <row r="264" spans="1:6" x14ac:dyDescent="0.3">
      <c r="A264" s="104">
        <v>45934</v>
      </c>
      <c r="B264" t="s">
        <v>24</v>
      </c>
      <c r="C264" s="11"/>
      <c r="D264" s="11">
        <v>500000</v>
      </c>
      <c r="E264" t="s">
        <v>333</v>
      </c>
      <c r="F264" s="52" t="s">
        <v>112</v>
      </c>
    </row>
    <row r="265" spans="1:6" x14ac:dyDescent="0.3">
      <c r="A265" s="104">
        <v>45934</v>
      </c>
      <c r="B265" s="1" t="s">
        <v>54</v>
      </c>
      <c r="C265" s="20">
        <v>5150</v>
      </c>
      <c r="D265" s="11"/>
      <c r="E265" t="s">
        <v>200</v>
      </c>
      <c r="F265" s="52" t="s">
        <v>111</v>
      </c>
    </row>
    <row r="266" spans="1:6" x14ac:dyDescent="0.3">
      <c r="A266" s="104">
        <v>45934</v>
      </c>
      <c r="B266" t="s">
        <v>97</v>
      </c>
      <c r="C266" s="20">
        <v>41720</v>
      </c>
      <c r="D266" s="11"/>
      <c r="E266" t="s">
        <v>330</v>
      </c>
      <c r="F266" s="52" t="s">
        <v>112</v>
      </c>
    </row>
    <row r="267" spans="1:6" x14ac:dyDescent="0.3">
      <c r="A267" s="104">
        <v>45935</v>
      </c>
      <c r="B267" t="s">
        <v>97</v>
      </c>
      <c r="C267" s="20">
        <v>300900</v>
      </c>
      <c r="D267" s="11"/>
      <c r="E267" t="s">
        <v>331</v>
      </c>
      <c r="F267" s="52" t="s">
        <v>111</v>
      </c>
    </row>
    <row r="268" spans="1:6" x14ac:dyDescent="0.3">
      <c r="A268" s="104">
        <v>45935</v>
      </c>
      <c r="B268" t="s">
        <v>119</v>
      </c>
      <c r="C268" s="11">
        <v>8000</v>
      </c>
      <c r="D268" s="11"/>
      <c r="E268" t="s">
        <v>332</v>
      </c>
      <c r="F268" s="52" t="s">
        <v>111</v>
      </c>
    </row>
    <row r="269" spans="1:6" x14ac:dyDescent="0.3">
      <c r="A269" s="104">
        <v>45936</v>
      </c>
      <c r="B269" t="s">
        <v>123</v>
      </c>
      <c r="C269" s="11">
        <v>353250</v>
      </c>
      <c r="D269" s="11"/>
      <c r="E269" t="s">
        <v>61</v>
      </c>
      <c r="F269" s="52" t="s">
        <v>111</v>
      </c>
    </row>
    <row r="270" spans="1:6" x14ac:dyDescent="0.3">
      <c r="A270" s="104">
        <v>45936</v>
      </c>
      <c r="B270" t="s">
        <v>311</v>
      </c>
      <c r="C270" s="11">
        <v>219875</v>
      </c>
      <c r="D270" s="11"/>
      <c r="E270" t="s">
        <v>334</v>
      </c>
      <c r="F270" s="52" t="s">
        <v>111</v>
      </c>
    </row>
    <row r="271" spans="1:6" x14ac:dyDescent="0.3">
      <c r="A271" s="104">
        <v>45936</v>
      </c>
      <c r="B271" t="s">
        <v>21</v>
      </c>
      <c r="C271" s="11"/>
      <c r="D271" s="11">
        <v>219875</v>
      </c>
      <c r="E271" t="s">
        <v>343</v>
      </c>
      <c r="F271" s="52" t="s">
        <v>111</v>
      </c>
    </row>
    <row r="272" spans="1:6" x14ac:dyDescent="0.3">
      <c r="A272" s="104">
        <v>45936</v>
      </c>
      <c r="B272" t="s">
        <v>54</v>
      </c>
      <c r="C272" s="11">
        <v>4779</v>
      </c>
      <c r="D272" s="11"/>
      <c r="E272" t="s">
        <v>200</v>
      </c>
      <c r="F272" s="52" t="s">
        <v>111</v>
      </c>
    </row>
    <row r="273" spans="1:7" x14ac:dyDescent="0.3">
      <c r="A273" s="104">
        <v>45936</v>
      </c>
      <c r="B273" t="s">
        <v>21</v>
      </c>
      <c r="C273" s="11"/>
      <c r="D273" s="11">
        <v>4779</v>
      </c>
      <c r="F273" s="52" t="s">
        <v>111</v>
      </c>
    </row>
    <row r="274" spans="1:7" x14ac:dyDescent="0.3">
      <c r="A274" s="104">
        <v>45936</v>
      </c>
      <c r="B274" t="s">
        <v>97</v>
      </c>
      <c r="C274" s="11">
        <v>68150</v>
      </c>
      <c r="D274" s="11"/>
      <c r="E274" t="s">
        <v>342</v>
      </c>
      <c r="F274" s="52" t="s">
        <v>111</v>
      </c>
    </row>
    <row r="275" spans="1:7" x14ac:dyDescent="0.3">
      <c r="A275" s="104">
        <v>45934</v>
      </c>
      <c r="B275" t="s">
        <v>50</v>
      </c>
      <c r="C275" s="11">
        <v>600</v>
      </c>
      <c r="D275" s="11"/>
      <c r="E275" t="s">
        <v>335</v>
      </c>
      <c r="F275" s="52" t="s">
        <v>111</v>
      </c>
    </row>
    <row r="276" spans="1:7" x14ac:dyDescent="0.3">
      <c r="A276" s="104">
        <v>45936</v>
      </c>
      <c r="B276" t="s">
        <v>112</v>
      </c>
      <c r="C276" s="11"/>
      <c r="D276" s="11"/>
      <c r="F276" s="52" t="s">
        <v>266</v>
      </c>
      <c r="G276">
        <v>-25000</v>
      </c>
    </row>
    <row r="277" spans="1:7" x14ac:dyDescent="0.3">
      <c r="A277" s="104">
        <v>45936</v>
      </c>
      <c r="B277" t="s">
        <v>54</v>
      </c>
      <c r="C277" s="20">
        <v>1000</v>
      </c>
      <c r="D277" s="11"/>
      <c r="E277" t="s">
        <v>336</v>
      </c>
      <c r="F277" s="52" t="s">
        <v>111</v>
      </c>
    </row>
    <row r="278" spans="1:7" x14ac:dyDescent="0.3">
      <c r="A278" s="104">
        <v>45936</v>
      </c>
      <c r="B278" t="s">
        <v>97</v>
      </c>
      <c r="C278" s="11">
        <v>30868</v>
      </c>
      <c r="D278" s="11"/>
      <c r="E278" t="s">
        <v>341</v>
      </c>
      <c r="F278" s="52" t="s">
        <v>111</v>
      </c>
    </row>
    <row r="279" spans="1:7" x14ac:dyDescent="0.3">
      <c r="A279" s="104">
        <v>45936</v>
      </c>
      <c r="B279" t="s">
        <v>21</v>
      </c>
      <c r="C279" s="11"/>
      <c r="D279" s="11">
        <v>30868</v>
      </c>
      <c r="E279" t="s">
        <v>337</v>
      </c>
      <c r="F279" s="52" t="s">
        <v>111</v>
      </c>
    </row>
    <row r="280" spans="1:7" x14ac:dyDescent="0.3">
      <c r="A280" s="104">
        <v>45936</v>
      </c>
      <c r="B280" t="s">
        <v>54</v>
      </c>
      <c r="C280" s="11">
        <v>2515</v>
      </c>
      <c r="D280" s="11"/>
      <c r="E280" t="s">
        <v>338</v>
      </c>
      <c r="F280" s="52" t="s">
        <v>283</v>
      </c>
    </row>
    <row r="281" spans="1:7" x14ac:dyDescent="0.3">
      <c r="A281" s="104">
        <v>45936</v>
      </c>
      <c r="B281" t="s">
        <v>21</v>
      </c>
      <c r="C281" s="11"/>
      <c r="D281" s="11">
        <v>2515</v>
      </c>
      <c r="E281" t="s">
        <v>338</v>
      </c>
      <c r="F281" s="52" t="s">
        <v>283</v>
      </c>
    </row>
    <row r="282" spans="1:7" x14ac:dyDescent="0.3">
      <c r="A282" s="104">
        <v>45936</v>
      </c>
      <c r="B282" t="s">
        <v>97</v>
      </c>
      <c r="C282" s="20">
        <v>42500</v>
      </c>
      <c r="D282" s="11"/>
      <c r="E282" t="s">
        <v>339</v>
      </c>
      <c r="F282" s="52" t="s">
        <v>111</v>
      </c>
    </row>
    <row r="283" spans="1:7" x14ac:dyDescent="0.3">
      <c r="A283" s="104">
        <v>45936</v>
      </c>
      <c r="B283" t="s">
        <v>340</v>
      </c>
      <c r="C283" s="11"/>
      <c r="D283" s="11">
        <v>68150</v>
      </c>
      <c r="E283" t="s">
        <v>337</v>
      </c>
      <c r="F283" s="52" t="s">
        <v>283</v>
      </c>
    </row>
    <row r="284" spans="1:7" x14ac:dyDescent="0.3">
      <c r="A284" s="104">
        <v>45937</v>
      </c>
      <c r="B284" t="s">
        <v>54</v>
      </c>
      <c r="C284" s="11">
        <v>11800</v>
      </c>
      <c r="D284" s="11"/>
      <c r="E284" t="s">
        <v>344</v>
      </c>
      <c r="F284" s="52" t="s">
        <v>111</v>
      </c>
    </row>
    <row r="285" spans="1:7" x14ac:dyDescent="0.3">
      <c r="A285" s="104">
        <v>45937</v>
      </c>
      <c r="B285" t="s">
        <v>97</v>
      </c>
      <c r="C285" s="11">
        <v>302300</v>
      </c>
      <c r="D285" s="11"/>
      <c r="E285" t="s">
        <v>195</v>
      </c>
      <c r="F285" s="52" t="s">
        <v>111</v>
      </c>
    </row>
    <row r="286" spans="1:7" x14ac:dyDescent="0.3">
      <c r="A286" s="104">
        <v>45937</v>
      </c>
      <c r="B286" t="s">
        <v>21</v>
      </c>
      <c r="C286" s="47"/>
      <c r="D286" s="47">
        <v>300000</v>
      </c>
      <c r="E286" t="s">
        <v>345</v>
      </c>
      <c r="F286" s="52" t="s">
        <v>111</v>
      </c>
    </row>
    <row r="287" spans="1:7" x14ac:dyDescent="0.3">
      <c r="A287" s="104">
        <v>45937</v>
      </c>
      <c r="B287" t="s">
        <v>121</v>
      </c>
      <c r="C287" s="11">
        <v>5000</v>
      </c>
      <c r="D287" s="11"/>
      <c r="E287" t="s">
        <v>203</v>
      </c>
      <c r="F287" s="52" t="s">
        <v>112</v>
      </c>
    </row>
    <row r="288" spans="1:7" x14ac:dyDescent="0.3">
      <c r="A288" s="104">
        <v>45937</v>
      </c>
      <c r="B288" t="s">
        <v>121</v>
      </c>
      <c r="C288" s="11">
        <v>1000</v>
      </c>
      <c r="D288" s="11"/>
      <c r="E288" t="s">
        <v>346</v>
      </c>
      <c r="F288" s="52" t="s">
        <v>112</v>
      </c>
    </row>
    <row r="289" spans="1:7" x14ac:dyDescent="0.3">
      <c r="A289" s="104">
        <v>45937</v>
      </c>
      <c r="B289" t="s">
        <v>50</v>
      </c>
      <c r="C289" s="11"/>
      <c r="D289" s="11"/>
      <c r="E289" t="s">
        <v>319</v>
      </c>
      <c r="F289" s="52" t="s">
        <v>112</v>
      </c>
    </row>
    <row r="290" spans="1:7" x14ac:dyDescent="0.3">
      <c r="A290" s="104">
        <v>45937</v>
      </c>
      <c r="B290" t="s">
        <v>117</v>
      </c>
      <c r="C290" s="11">
        <v>10120</v>
      </c>
      <c r="D290" s="11"/>
      <c r="E290" t="s">
        <v>347</v>
      </c>
      <c r="F290" s="52" t="s">
        <v>111</v>
      </c>
    </row>
    <row r="291" spans="1:7" x14ac:dyDescent="0.3">
      <c r="A291" s="104">
        <v>45937</v>
      </c>
      <c r="B291" t="s">
        <v>25</v>
      </c>
      <c r="C291" s="11"/>
      <c r="D291" s="11">
        <v>498000</v>
      </c>
      <c r="E291">
        <v>54466</v>
      </c>
      <c r="F291" s="52" t="s">
        <v>111</v>
      </c>
    </row>
    <row r="292" spans="1:7" x14ac:dyDescent="0.3">
      <c r="A292" s="104">
        <v>45937</v>
      </c>
      <c r="B292" t="s">
        <v>97</v>
      </c>
      <c r="C292" s="11">
        <v>150000</v>
      </c>
      <c r="D292" s="11"/>
      <c r="E292" t="s">
        <v>348</v>
      </c>
      <c r="F292" s="52" t="s">
        <v>111</v>
      </c>
    </row>
    <row r="293" spans="1:7" x14ac:dyDescent="0.3">
      <c r="A293" s="104">
        <v>45937</v>
      </c>
      <c r="B293" t="s">
        <v>119</v>
      </c>
      <c r="C293" s="11"/>
      <c r="D293" s="11">
        <v>5000</v>
      </c>
      <c r="E293" t="s">
        <v>332</v>
      </c>
      <c r="F293" s="52" t="s">
        <v>112</v>
      </c>
    </row>
    <row r="294" spans="1:7" x14ac:dyDescent="0.3">
      <c r="A294" s="104">
        <v>45937</v>
      </c>
      <c r="B294" t="s">
        <v>119</v>
      </c>
      <c r="C294" s="11">
        <v>3500</v>
      </c>
      <c r="D294" s="11"/>
      <c r="E294" t="s">
        <v>353</v>
      </c>
      <c r="F294" s="52" t="s">
        <v>112</v>
      </c>
    </row>
    <row r="295" spans="1:7" x14ac:dyDescent="0.3">
      <c r="A295" s="104">
        <v>45937</v>
      </c>
      <c r="B295" t="s">
        <v>121</v>
      </c>
      <c r="C295" s="11">
        <v>4000</v>
      </c>
      <c r="D295" s="11"/>
      <c r="E295" t="s">
        <v>286</v>
      </c>
      <c r="F295" s="52" t="s">
        <v>111</v>
      </c>
    </row>
    <row r="296" spans="1:7" x14ac:dyDescent="0.3">
      <c r="A296" s="104">
        <v>45938</v>
      </c>
      <c r="B296" t="s">
        <v>357</v>
      </c>
      <c r="C296" s="11">
        <v>200000</v>
      </c>
      <c r="D296" s="11"/>
      <c r="E296" t="s">
        <v>185</v>
      </c>
      <c r="F296" s="52" t="s">
        <v>111</v>
      </c>
    </row>
    <row r="297" spans="1:7" x14ac:dyDescent="0.3">
      <c r="A297" s="104">
        <v>45938</v>
      </c>
      <c r="B297" t="s">
        <v>357</v>
      </c>
      <c r="C297" s="11">
        <v>56040</v>
      </c>
      <c r="D297" s="11"/>
      <c r="E297" t="s">
        <v>185</v>
      </c>
      <c r="F297" s="52" t="s">
        <v>111</v>
      </c>
    </row>
    <row r="298" spans="1:7" x14ac:dyDescent="0.3">
      <c r="A298" s="104">
        <v>45938</v>
      </c>
      <c r="B298" t="s">
        <v>54</v>
      </c>
      <c r="C298" s="11">
        <v>5416</v>
      </c>
      <c r="D298" s="11"/>
      <c r="E298" t="s">
        <v>197</v>
      </c>
      <c r="F298" s="52" t="s">
        <v>111</v>
      </c>
    </row>
    <row r="299" spans="1:7" x14ac:dyDescent="0.3">
      <c r="A299" s="104">
        <v>45938</v>
      </c>
      <c r="B299" t="s">
        <v>55</v>
      </c>
      <c r="C299" s="11">
        <v>8349</v>
      </c>
      <c r="D299" s="11"/>
      <c r="E299" t="s">
        <v>192</v>
      </c>
      <c r="F299" s="52" t="s">
        <v>111</v>
      </c>
    </row>
    <row r="300" spans="1:7" x14ac:dyDescent="0.3">
      <c r="A300" s="104">
        <v>45938</v>
      </c>
      <c r="B300" t="s">
        <v>281</v>
      </c>
      <c r="C300" s="11"/>
      <c r="D300" s="11"/>
      <c r="F300" s="52" t="s">
        <v>266</v>
      </c>
      <c r="G300">
        <v>60000</v>
      </c>
    </row>
    <row r="301" spans="1:7" x14ac:dyDescent="0.3">
      <c r="A301" s="104">
        <v>45938</v>
      </c>
      <c r="B301" t="s">
        <v>55</v>
      </c>
      <c r="C301" s="11">
        <v>13200</v>
      </c>
      <c r="D301" s="11"/>
      <c r="E301" t="s">
        <v>227</v>
      </c>
      <c r="F301" s="52" t="s">
        <v>111</v>
      </c>
    </row>
    <row r="302" spans="1:7" x14ac:dyDescent="0.3">
      <c r="A302" s="104">
        <v>45938</v>
      </c>
      <c r="B302" t="s">
        <v>21</v>
      </c>
      <c r="C302" s="11"/>
      <c r="D302" s="11">
        <v>13200</v>
      </c>
      <c r="E302" t="s">
        <v>227</v>
      </c>
      <c r="F302" s="52" t="s">
        <v>111</v>
      </c>
    </row>
    <row r="303" spans="1:7" x14ac:dyDescent="0.3">
      <c r="A303" s="104">
        <v>45938</v>
      </c>
      <c r="B303" t="s">
        <v>50</v>
      </c>
      <c r="C303" s="11">
        <v>800</v>
      </c>
      <c r="D303" s="11"/>
      <c r="E303" t="s">
        <v>166</v>
      </c>
      <c r="F303" s="52" t="s">
        <v>111</v>
      </c>
    </row>
    <row r="304" spans="1:7" x14ac:dyDescent="0.3">
      <c r="A304" s="104">
        <v>45938</v>
      </c>
      <c r="B304" t="s">
        <v>50</v>
      </c>
      <c r="C304" s="11">
        <v>11837</v>
      </c>
      <c r="D304" s="11"/>
      <c r="E304" t="s">
        <v>358</v>
      </c>
      <c r="F304" s="52" t="s">
        <v>112</v>
      </c>
    </row>
    <row r="305" spans="1:6" x14ac:dyDescent="0.3">
      <c r="A305" s="104">
        <v>45938</v>
      </c>
      <c r="B305" t="s">
        <v>121</v>
      </c>
      <c r="C305" s="11">
        <v>500</v>
      </c>
      <c r="D305" s="11"/>
      <c r="E305" t="s">
        <v>359</v>
      </c>
      <c r="F305" s="52" t="s">
        <v>112</v>
      </c>
    </row>
    <row r="306" spans="1:6" x14ac:dyDescent="0.3">
      <c r="A306" s="104">
        <v>45938</v>
      </c>
      <c r="B306" t="s">
        <v>121</v>
      </c>
      <c r="C306" s="47">
        <v>1500</v>
      </c>
      <c r="D306" s="47"/>
      <c r="E306" t="s">
        <v>383</v>
      </c>
      <c r="F306" s="52" t="s">
        <v>112</v>
      </c>
    </row>
    <row r="307" spans="1:6" x14ac:dyDescent="0.3">
      <c r="A307" s="104">
        <v>45938</v>
      </c>
      <c r="B307" t="s">
        <v>55</v>
      </c>
      <c r="C307" s="47">
        <v>26000</v>
      </c>
      <c r="D307" s="47"/>
      <c r="E307" t="s">
        <v>360</v>
      </c>
      <c r="F307" s="52" t="s">
        <v>111</v>
      </c>
    </row>
    <row r="308" spans="1:6" x14ac:dyDescent="0.3">
      <c r="A308" s="104">
        <v>45938</v>
      </c>
      <c r="B308" t="s">
        <v>21</v>
      </c>
      <c r="C308" s="11"/>
      <c r="D308" s="11">
        <v>26000</v>
      </c>
      <c r="E308" t="s">
        <v>361</v>
      </c>
      <c r="F308" s="52" t="s">
        <v>111</v>
      </c>
    </row>
    <row r="309" spans="1:6" x14ac:dyDescent="0.3">
      <c r="A309" s="104">
        <v>45938</v>
      </c>
      <c r="B309" t="s">
        <v>55</v>
      </c>
      <c r="C309" s="11">
        <v>6200</v>
      </c>
      <c r="D309" s="11"/>
      <c r="E309" t="s">
        <v>362</v>
      </c>
      <c r="F309" s="52" t="s">
        <v>111</v>
      </c>
    </row>
    <row r="310" spans="1:6" x14ac:dyDescent="0.3">
      <c r="A310" s="104">
        <v>45938</v>
      </c>
      <c r="B310" t="s">
        <v>21</v>
      </c>
      <c r="C310" s="11"/>
      <c r="D310" s="11">
        <v>6200</v>
      </c>
      <c r="E310" t="s">
        <v>363</v>
      </c>
      <c r="F310" s="52" t="s">
        <v>111</v>
      </c>
    </row>
    <row r="311" spans="1:6" x14ac:dyDescent="0.3">
      <c r="A311" s="104">
        <v>45938</v>
      </c>
      <c r="B311" t="s">
        <v>54</v>
      </c>
      <c r="C311" s="11">
        <v>3000</v>
      </c>
      <c r="D311" s="11"/>
      <c r="E311" t="s">
        <v>205</v>
      </c>
      <c r="F311" s="52" t="s">
        <v>112</v>
      </c>
    </row>
    <row r="312" spans="1:6" x14ac:dyDescent="0.3">
      <c r="A312" s="104">
        <v>45938</v>
      </c>
      <c r="B312" t="s">
        <v>97</v>
      </c>
      <c r="C312" s="11">
        <v>303003</v>
      </c>
      <c r="D312" s="11"/>
      <c r="E312" t="s">
        <v>195</v>
      </c>
      <c r="F312" s="52" t="s">
        <v>111</v>
      </c>
    </row>
    <row r="313" spans="1:6" x14ac:dyDescent="0.3">
      <c r="A313" s="104">
        <v>45938</v>
      </c>
      <c r="B313" t="s">
        <v>21</v>
      </c>
      <c r="C313" s="11"/>
      <c r="D313" s="11">
        <v>245000</v>
      </c>
      <c r="E313" t="s">
        <v>364</v>
      </c>
      <c r="F313" s="52" t="s">
        <v>111</v>
      </c>
    </row>
    <row r="314" spans="1:6" x14ac:dyDescent="0.3">
      <c r="A314" s="104">
        <v>45938</v>
      </c>
      <c r="B314" t="s">
        <v>27</v>
      </c>
      <c r="C314" s="11"/>
      <c r="D314" s="11">
        <v>100000</v>
      </c>
      <c r="F314" s="52" t="s">
        <v>111</v>
      </c>
    </row>
    <row r="315" spans="1:6" x14ac:dyDescent="0.3">
      <c r="A315" s="104">
        <v>45938</v>
      </c>
      <c r="B315" t="s">
        <v>365</v>
      </c>
      <c r="C315" s="11">
        <v>50000</v>
      </c>
      <c r="D315" s="11"/>
      <c r="E315" t="s">
        <v>366</v>
      </c>
      <c r="F315" s="52" t="s">
        <v>111</v>
      </c>
    </row>
    <row r="316" spans="1:6" x14ac:dyDescent="0.3">
      <c r="A316" s="104">
        <v>45938</v>
      </c>
      <c r="B316" t="s">
        <v>119</v>
      </c>
      <c r="C316" s="11">
        <v>15215</v>
      </c>
      <c r="D316" s="11"/>
      <c r="E316" t="s">
        <v>367</v>
      </c>
      <c r="F316" s="52" t="s">
        <v>111</v>
      </c>
    </row>
    <row r="317" spans="1:6" x14ac:dyDescent="0.3">
      <c r="A317" s="104">
        <v>45938</v>
      </c>
      <c r="B317" t="s">
        <v>50</v>
      </c>
      <c r="C317" s="11">
        <v>3000</v>
      </c>
      <c r="D317" s="11"/>
      <c r="E317" t="s">
        <v>368</v>
      </c>
      <c r="F317" s="52" t="s">
        <v>111</v>
      </c>
    </row>
    <row r="318" spans="1:6" x14ac:dyDescent="0.3">
      <c r="A318" s="104">
        <v>45938</v>
      </c>
      <c r="B318" t="s">
        <v>123</v>
      </c>
      <c r="C318" s="11">
        <v>8800</v>
      </c>
      <c r="D318" s="11"/>
      <c r="E318" t="s">
        <v>61</v>
      </c>
      <c r="F318" s="52" t="s">
        <v>111</v>
      </c>
    </row>
    <row r="319" spans="1:6" x14ac:dyDescent="0.3">
      <c r="A319" s="104">
        <v>45938</v>
      </c>
      <c r="B319" t="s">
        <v>50</v>
      </c>
      <c r="C319" s="11">
        <v>520</v>
      </c>
      <c r="D319" s="11"/>
      <c r="E319" t="s">
        <v>369</v>
      </c>
      <c r="F319" s="52" t="s">
        <v>111</v>
      </c>
    </row>
    <row r="320" spans="1:6" x14ac:dyDescent="0.3">
      <c r="A320" s="104">
        <v>45939</v>
      </c>
      <c r="B320" t="s">
        <v>25</v>
      </c>
      <c r="C320" s="11"/>
      <c r="D320" s="11">
        <v>553266</v>
      </c>
      <c r="E320" t="s">
        <v>373</v>
      </c>
      <c r="F320" s="52" t="s">
        <v>111</v>
      </c>
    </row>
    <row r="321" spans="1:7" x14ac:dyDescent="0.3">
      <c r="A321" s="104">
        <v>45939</v>
      </c>
      <c r="B321" t="s">
        <v>123</v>
      </c>
      <c r="C321" s="11">
        <v>80600</v>
      </c>
      <c r="D321" s="11"/>
      <c r="E321" t="s">
        <v>61</v>
      </c>
      <c r="F321" s="52" t="s">
        <v>111</v>
      </c>
    </row>
    <row r="322" spans="1:7" x14ac:dyDescent="0.3">
      <c r="A322" s="104">
        <v>45939</v>
      </c>
      <c r="B322" t="s">
        <v>21</v>
      </c>
      <c r="C322" s="11"/>
      <c r="D322" s="11">
        <v>1600</v>
      </c>
      <c r="E322" t="s">
        <v>374</v>
      </c>
      <c r="F322" s="52" t="s">
        <v>111</v>
      </c>
    </row>
    <row r="323" spans="1:7" x14ac:dyDescent="0.3">
      <c r="A323" s="104">
        <v>45939</v>
      </c>
      <c r="B323" t="s">
        <v>54</v>
      </c>
      <c r="C323" s="11">
        <v>1600</v>
      </c>
      <c r="D323" s="11"/>
      <c r="E323" t="s">
        <v>374</v>
      </c>
      <c r="F323" s="52" t="s">
        <v>111</v>
      </c>
    </row>
    <row r="324" spans="1:7" x14ac:dyDescent="0.3">
      <c r="A324" s="104">
        <v>45940</v>
      </c>
      <c r="B324" t="s">
        <v>237</v>
      </c>
      <c r="C324" s="47"/>
      <c r="D324" s="47">
        <v>250000</v>
      </c>
      <c r="E324" t="s">
        <v>375</v>
      </c>
      <c r="F324" s="52" t="s">
        <v>111</v>
      </c>
    </row>
    <row r="325" spans="1:7" x14ac:dyDescent="0.3">
      <c r="A325" s="104">
        <v>45940</v>
      </c>
      <c r="B325" t="s">
        <v>237</v>
      </c>
      <c r="C325" s="11"/>
      <c r="D325" s="11">
        <v>250000</v>
      </c>
      <c r="E325" t="s">
        <v>376</v>
      </c>
      <c r="F325" s="52" t="s">
        <v>111</v>
      </c>
    </row>
    <row r="326" spans="1:7" x14ac:dyDescent="0.3">
      <c r="A326" s="104">
        <v>45939</v>
      </c>
      <c r="B326" t="s">
        <v>377</v>
      </c>
      <c r="C326" s="11">
        <v>500000</v>
      </c>
      <c r="D326" s="11"/>
      <c r="E326" t="s">
        <v>378</v>
      </c>
      <c r="F326" s="52" t="s">
        <v>111</v>
      </c>
    </row>
    <row r="327" spans="1:7" x14ac:dyDescent="0.3">
      <c r="A327" s="104">
        <v>45939</v>
      </c>
      <c r="B327" t="s">
        <v>55</v>
      </c>
      <c r="C327" s="11">
        <v>9000</v>
      </c>
      <c r="D327" s="11"/>
      <c r="E327" t="s">
        <v>379</v>
      </c>
      <c r="F327" s="52" t="s">
        <v>111</v>
      </c>
    </row>
    <row r="328" spans="1:7" x14ac:dyDescent="0.3">
      <c r="A328" s="104">
        <v>45939</v>
      </c>
      <c r="B328" t="s">
        <v>311</v>
      </c>
      <c r="C328" s="11">
        <v>197150</v>
      </c>
      <c r="D328" s="11"/>
      <c r="E328" t="s">
        <v>380</v>
      </c>
      <c r="F328" s="52" t="s">
        <v>111</v>
      </c>
    </row>
    <row r="329" spans="1:7" x14ac:dyDescent="0.3">
      <c r="A329" s="104">
        <v>45939</v>
      </c>
      <c r="B329" t="s">
        <v>156</v>
      </c>
      <c r="C329" s="11">
        <v>70000</v>
      </c>
      <c r="D329" s="11"/>
      <c r="F329" s="52" t="s">
        <v>111</v>
      </c>
    </row>
    <row r="330" spans="1:7" x14ac:dyDescent="0.3">
      <c r="A330" s="104">
        <v>45939</v>
      </c>
      <c r="B330" t="s">
        <v>112</v>
      </c>
      <c r="C330" s="11"/>
      <c r="D330" s="11"/>
      <c r="F330" s="52" t="s">
        <v>266</v>
      </c>
      <c r="G330">
        <v>170000</v>
      </c>
    </row>
    <row r="331" spans="1:7" x14ac:dyDescent="0.3">
      <c r="A331" s="104">
        <v>45939</v>
      </c>
      <c r="B331" t="s">
        <v>54</v>
      </c>
      <c r="C331" s="11">
        <v>6440</v>
      </c>
      <c r="D331" s="11"/>
      <c r="F331" s="52" t="s">
        <v>111</v>
      </c>
    </row>
    <row r="332" spans="1:7" x14ac:dyDescent="0.3">
      <c r="A332" s="104">
        <v>45939</v>
      </c>
      <c r="B332" t="s">
        <v>121</v>
      </c>
      <c r="C332" s="47">
        <v>1500</v>
      </c>
      <c r="D332" s="47"/>
      <c r="E332" t="s">
        <v>381</v>
      </c>
      <c r="F332" s="52" t="s">
        <v>112</v>
      </c>
    </row>
    <row r="333" spans="1:7" x14ac:dyDescent="0.3">
      <c r="A333" s="104">
        <v>45939</v>
      </c>
      <c r="B333" t="s">
        <v>121</v>
      </c>
      <c r="C333" s="11">
        <v>500</v>
      </c>
      <c r="D333" s="11"/>
      <c r="E333" t="s">
        <v>382</v>
      </c>
      <c r="F333" s="52" t="s">
        <v>112</v>
      </c>
    </row>
    <row r="334" spans="1:7" x14ac:dyDescent="0.3">
      <c r="A334" s="104">
        <v>45939</v>
      </c>
      <c r="B334" t="s">
        <v>119</v>
      </c>
      <c r="C334" s="11">
        <v>5300</v>
      </c>
      <c r="D334" s="11"/>
      <c r="E334" t="s">
        <v>384</v>
      </c>
      <c r="F334" s="52" t="s">
        <v>111</v>
      </c>
    </row>
    <row r="335" spans="1:7" x14ac:dyDescent="0.3">
      <c r="A335" s="104">
        <v>45939</v>
      </c>
      <c r="B335" t="s">
        <v>117</v>
      </c>
      <c r="C335" s="11">
        <v>20000</v>
      </c>
      <c r="D335" s="11"/>
      <c r="E335" t="s">
        <v>225</v>
      </c>
      <c r="F335" s="52" t="s">
        <v>111</v>
      </c>
    </row>
    <row r="336" spans="1:7" x14ac:dyDescent="0.3">
      <c r="A336" s="104">
        <v>45939</v>
      </c>
      <c r="B336" t="s">
        <v>52</v>
      </c>
      <c r="C336" s="11">
        <v>50000</v>
      </c>
      <c r="D336" s="11"/>
      <c r="E336" t="s">
        <v>286</v>
      </c>
      <c r="F336" s="52" t="s">
        <v>112</v>
      </c>
    </row>
    <row r="337" spans="1:7" x14ac:dyDescent="0.3">
      <c r="A337" s="104">
        <v>45939</v>
      </c>
      <c r="B337" t="s">
        <v>52</v>
      </c>
      <c r="C337" s="11">
        <v>80000</v>
      </c>
      <c r="D337" s="11"/>
      <c r="E337" t="s">
        <v>385</v>
      </c>
      <c r="F337" s="52" t="s">
        <v>112</v>
      </c>
    </row>
    <row r="338" spans="1:7" x14ac:dyDescent="0.3">
      <c r="A338" s="104">
        <v>45939</v>
      </c>
      <c r="B338" t="s">
        <v>52</v>
      </c>
      <c r="C338" s="11">
        <v>50000</v>
      </c>
      <c r="D338" s="11"/>
      <c r="E338" t="s">
        <v>386</v>
      </c>
      <c r="F338" s="52" t="s">
        <v>112</v>
      </c>
    </row>
    <row r="339" spans="1:7" x14ac:dyDescent="0.3">
      <c r="A339" s="43">
        <v>45939</v>
      </c>
      <c r="B339" t="s">
        <v>119</v>
      </c>
      <c r="C339" s="47">
        <v>3000</v>
      </c>
      <c r="D339" s="47"/>
      <c r="E339" t="s">
        <v>387</v>
      </c>
      <c r="F339" s="52" t="s">
        <v>111</v>
      </c>
    </row>
    <row r="340" spans="1:7" x14ac:dyDescent="0.3">
      <c r="A340" s="43">
        <v>45939</v>
      </c>
      <c r="B340" t="s">
        <v>119</v>
      </c>
      <c r="C340" s="47">
        <v>2640</v>
      </c>
      <c r="D340" s="47"/>
      <c r="E340" t="s">
        <v>388</v>
      </c>
      <c r="F340" s="52" t="s">
        <v>111</v>
      </c>
    </row>
    <row r="341" spans="1:7" x14ac:dyDescent="0.3">
      <c r="A341" s="43">
        <v>45939</v>
      </c>
      <c r="B341" t="s">
        <v>50</v>
      </c>
      <c r="C341" s="47">
        <v>140</v>
      </c>
      <c r="D341" s="47"/>
      <c r="E341" t="s">
        <v>389</v>
      </c>
      <c r="F341" s="52" t="s">
        <v>111</v>
      </c>
    </row>
    <row r="342" spans="1:7" x14ac:dyDescent="0.3">
      <c r="A342" s="43">
        <v>45939</v>
      </c>
      <c r="B342" t="s">
        <v>112</v>
      </c>
      <c r="C342" s="47"/>
      <c r="D342" s="47"/>
      <c r="F342" s="52" t="s">
        <v>266</v>
      </c>
      <c r="G342">
        <v>9000</v>
      </c>
    </row>
    <row r="343" spans="1:7" x14ac:dyDescent="0.3">
      <c r="A343" s="43">
        <v>45939</v>
      </c>
      <c r="B343" t="s">
        <v>50</v>
      </c>
      <c r="C343" s="47">
        <f>1050+400+260</f>
        <v>1710</v>
      </c>
      <c r="D343" s="47"/>
      <c r="F343" s="52" t="s">
        <v>111</v>
      </c>
    </row>
    <row r="344" spans="1:7" x14ac:dyDescent="0.3">
      <c r="A344" s="104">
        <v>45939</v>
      </c>
      <c r="B344" t="s">
        <v>21</v>
      </c>
      <c r="C344" s="11"/>
      <c r="D344" s="11">
        <v>1710</v>
      </c>
      <c r="F344" s="52" t="s">
        <v>111</v>
      </c>
    </row>
    <row r="345" spans="1:7" x14ac:dyDescent="0.3">
      <c r="A345" s="43">
        <v>45939</v>
      </c>
      <c r="B345" t="s">
        <v>55</v>
      </c>
      <c r="C345" s="47">
        <v>5940</v>
      </c>
      <c r="D345" s="47"/>
      <c r="F345" s="52" t="s">
        <v>111</v>
      </c>
    </row>
    <row r="346" spans="1:7" x14ac:dyDescent="0.3">
      <c r="A346" s="43">
        <v>45939</v>
      </c>
      <c r="B346" t="s">
        <v>21</v>
      </c>
      <c r="C346" s="47"/>
      <c r="D346" s="47">
        <v>5940</v>
      </c>
      <c r="F346" s="52" t="s">
        <v>111</v>
      </c>
    </row>
    <row r="347" spans="1:7" x14ac:dyDescent="0.3">
      <c r="A347" s="43">
        <v>45939</v>
      </c>
      <c r="B347" t="s">
        <v>64</v>
      </c>
      <c r="C347" s="47">
        <v>106500</v>
      </c>
      <c r="D347" s="47">
        <v>106500</v>
      </c>
      <c r="F347" s="52" t="s">
        <v>111</v>
      </c>
    </row>
    <row r="348" spans="1:7" x14ac:dyDescent="0.3">
      <c r="A348" s="43">
        <v>45939</v>
      </c>
      <c r="B348" t="s">
        <v>21</v>
      </c>
      <c r="C348" s="47">
        <v>106500</v>
      </c>
      <c r="D348" s="47">
        <v>106500</v>
      </c>
      <c r="E348" t="s">
        <v>64</v>
      </c>
      <c r="F348" s="52" t="s">
        <v>111</v>
      </c>
    </row>
    <row r="349" spans="1:7" x14ac:dyDescent="0.3">
      <c r="A349" s="104">
        <v>45940</v>
      </c>
      <c r="B349" t="s">
        <v>9</v>
      </c>
      <c r="C349" s="11"/>
      <c r="D349" s="11">
        <v>200000</v>
      </c>
      <c r="F349" s="52" t="s">
        <v>111</v>
      </c>
    </row>
    <row r="350" spans="1:7" x14ac:dyDescent="0.3">
      <c r="A350" s="104">
        <v>45940</v>
      </c>
      <c r="B350" t="s">
        <v>97</v>
      </c>
      <c r="C350" s="11">
        <v>201255</v>
      </c>
      <c r="D350" s="11"/>
      <c r="E350" t="s">
        <v>195</v>
      </c>
      <c r="F350" s="52" t="s">
        <v>111</v>
      </c>
    </row>
    <row r="351" spans="1:7" x14ac:dyDescent="0.3">
      <c r="A351" s="104">
        <v>45940</v>
      </c>
      <c r="B351" t="s">
        <v>119</v>
      </c>
      <c r="C351" s="11">
        <v>1500</v>
      </c>
      <c r="D351" s="11"/>
      <c r="E351" t="s">
        <v>392</v>
      </c>
      <c r="F351" s="52" t="s">
        <v>112</v>
      </c>
    </row>
    <row r="352" spans="1:7" x14ac:dyDescent="0.3">
      <c r="A352" s="104">
        <v>45940</v>
      </c>
      <c r="B352" t="s">
        <v>119</v>
      </c>
      <c r="C352" s="11">
        <v>15300</v>
      </c>
      <c r="D352" s="11"/>
      <c r="E352" t="s">
        <v>393</v>
      </c>
      <c r="F352" s="52" t="s">
        <v>111</v>
      </c>
    </row>
    <row r="353" spans="1:6" x14ac:dyDescent="0.3">
      <c r="A353" s="104">
        <v>45940</v>
      </c>
      <c r="B353" t="s">
        <v>119</v>
      </c>
      <c r="C353" s="11">
        <v>4471</v>
      </c>
      <c r="D353" s="11"/>
      <c r="E353" t="s">
        <v>394</v>
      </c>
      <c r="F353" s="52" t="s">
        <v>111</v>
      </c>
    </row>
    <row r="354" spans="1:6" x14ac:dyDescent="0.3">
      <c r="A354" s="104">
        <v>45941</v>
      </c>
      <c r="B354" t="s">
        <v>119</v>
      </c>
      <c r="C354" s="11">
        <v>650</v>
      </c>
      <c r="D354" s="11"/>
      <c r="E354" t="s">
        <v>395</v>
      </c>
      <c r="F354" s="52" t="s">
        <v>281</v>
      </c>
    </row>
    <row r="355" spans="1:6" x14ac:dyDescent="0.3">
      <c r="A355" s="104">
        <v>45941</v>
      </c>
      <c r="B355" t="s">
        <v>21</v>
      </c>
      <c r="C355" s="11"/>
      <c r="D355" s="11">
        <v>67500</v>
      </c>
      <c r="E355" t="s">
        <v>191</v>
      </c>
      <c r="F355" s="52" t="s">
        <v>111</v>
      </c>
    </row>
    <row r="356" spans="1:6" x14ac:dyDescent="0.3">
      <c r="A356" s="104">
        <v>45941</v>
      </c>
      <c r="B356" t="s">
        <v>123</v>
      </c>
      <c r="C356" s="11">
        <v>67500</v>
      </c>
      <c r="D356" s="11"/>
      <c r="E356" t="s">
        <v>191</v>
      </c>
      <c r="F356" s="52" t="s">
        <v>111</v>
      </c>
    </row>
    <row r="357" spans="1:6" x14ac:dyDescent="0.3">
      <c r="A357" s="104">
        <v>45942</v>
      </c>
      <c r="B357" t="s">
        <v>21</v>
      </c>
      <c r="C357" s="11"/>
      <c r="D357" s="11">
        <v>55000</v>
      </c>
      <c r="E357" t="s">
        <v>396</v>
      </c>
      <c r="F357" s="52" t="s">
        <v>111</v>
      </c>
    </row>
    <row r="358" spans="1:6" x14ac:dyDescent="0.3">
      <c r="A358" s="104">
        <v>45942</v>
      </c>
      <c r="B358" t="s">
        <v>97</v>
      </c>
      <c r="C358" s="11">
        <v>43600</v>
      </c>
      <c r="D358" s="11"/>
      <c r="E358" t="s">
        <v>232</v>
      </c>
      <c r="F358" s="52" t="s">
        <v>111</v>
      </c>
    </row>
    <row r="359" spans="1:6" x14ac:dyDescent="0.3">
      <c r="A359" s="43">
        <v>45941</v>
      </c>
      <c r="B359" t="s">
        <v>123</v>
      </c>
      <c r="C359" s="47">
        <v>155000</v>
      </c>
      <c r="D359" s="47"/>
      <c r="E359" t="s">
        <v>61</v>
      </c>
      <c r="F359" s="52" t="s">
        <v>111</v>
      </c>
    </row>
    <row r="360" spans="1:6" x14ac:dyDescent="0.3">
      <c r="A360" s="43">
        <v>45941</v>
      </c>
      <c r="B360" t="s">
        <v>21</v>
      </c>
      <c r="C360" s="47"/>
      <c r="D360" s="47">
        <v>155000</v>
      </c>
      <c r="E360" t="s">
        <v>61</v>
      </c>
      <c r="F360" s="52" t="s">
        <v>111</v>
      </c>
    </row>
    <row r="361" spans="1:6" x14ac:dyDescent="0.3">
      <c r="A361" s="43">
        <v>45941</v>
      </c>
      <c r="B361" t="s">
        <v>397</v>
      </c>
      <c r="C361" s="47">
        <v>60000</v>
      </c>
      <c r="D361" s="47"/>
      <c r="E361" t="s">
        <v>320</v>
      </c>
      <c r="F361" s="52" t="s">
        <v>111</v>
      </c>
    </row>
    <row r="362" spans="1:6" x14ac:dyDescent="0.3">
      <c r="A362" s="43">
        <v>45941</v>
      </c>
      <c r="B362" t="s">
        <v>21</v>
      </c>
      <c r="C362" s="47"/>
      <c r="D362" s="47">
        <v>60000</v>
      </c>
      <c r="E362" t="s">
        <v>397</v>
      </c>
      <c r="F362" s="52" t="s">
        <v>111</v>
      </c>
    </row>
    <row r="363" spans="1:6" x14ac:dyDescent="0.3">
      <c r="A363" s="43">
        <v>45942</v>
      </c>
      <c r="B363" t="s">
        <v>121</v>
      </c>
      <c r="C363" s="47">
        <v>5000</v>
      </c>
      <c r="D363" s="47"/>
      <c r="E363" t="s">
        <v>207</v>
      </c>
      <c r="F363" s="52" t="s">
        <v>111</v>
      </c>
    </row>
    <row r="364" spans="1:6" x14ac:dyDescent="0.3">
      <c r="A364" s="43">
        <v>45943</v>
      </c>
      <c r="B364" t="s">
        <v>21</v>
      </c>
      <c r="C364" s="47"/>
      <c r="D364" s="47">
        <v>10000</v>
      </c>
      <c r="E364" t="s">
        <v>398</v>
      </c>
      <c r="F364" s="52" t="s">
        <v>111</v>
      </c>
    </row>
    <row r="365" spans="1:6" x14ac:dyDescent="0.3">
      <c r="A365" s="104">
        <v>45943</v>
      </c>
      <c r="B365" t="s">
        <v>121</v>
      </c>
      <c r="C365" s="11">
        <v>10000</v>
      </c>
      <c r="D365" s="11"/>
      <c r="E365" t="s">
        <v>398</v>
      </c>
      <c r="F365" s="52" t="s">
        <v>111</v>
      </c>
    </row>
    <row r="366" spans="1:6" x14ac:dyDescent="0.3">
      <c r="A366" s="43">
        <v>45943</v>
      </c>
      <c r="B366" t="s">
        <v>21</v>
      </c>
      <c r="C366" s="11"/>
      <c r="D366" s="11">
        <v>50000</v>
      </c>
      <c r="E366" t="s">
        <v>399</v>
      </c>
      <c r="F366" s="52" t="s">
        <v>111</v>
      </c>
    </row>
    <row r="367" spans="1:6" x14ac:dyDescent="0.3">
      <c r="A367" s="104">
        <v>45943</v>
      </c>
      <c r="B367" t="s">
        <v>97</v>
      </c>
      <c r="C367" s="47">
        <v>26500</v>
      </c>
      <c r="D367" s="47"/>
      <c r="E367" t="s">
        <v>400</v>
      </c>
      <c r="F367" s="52" t="s">
        <v>111</v>
      </c>
    </row>
    <row r="368" spans="1:6" x14ac:dyDescent="0.3">
      <c r="A368" s="43">
        <v>45943</v>
      </c>
      <c r="B368" t="s">
        <v>97</v>
      </c>
      <c r="C368" s="11">
        <v>75100</v>
      </c>
      <c r="D368" s="11"/>
      <c r="E368" t="s">
        <v>313</v>
      </c>
      <c r="F368" s="52" t="s">
        <v>111</v>
      </c>
    </row>
    <row r="369" spans="1:6" x14ac:dyDescent="0.3">
      <c r="A369" s="104">
        <v>45943</v>
      </c>
      <c r="B369" t="s">
        <v>301</v>
      </c>
      <c r="C369" s="11"/>
      <c r="D369" s="11">
        <v>31000</v>
      </c>
      <c r="E369" t="s">
        <v>401</v>
      </c>
      <c r="F369" s="52" t="s">
        <v>111</v>
      </c>
    </row>
    <row r="370" spans="1:6" x14ac:dyDescent="0.3">
      <c r="A370" s="43">
        <v>45943</v>
      </c>
      <c r="B370" t="s">
        <v>121</v>
      </c>
      <c r="C370" s="11">
        <v>15000</v>
      </c>
      <c r="D370" s="11"/>
      <c r="E370" t="s">
        <v>207</v>
      </c>
      <c r="F370" s="52" t="s">
        <v>111</v>
      </c>
    </row>
    <row r="371" spans="1:6" x14ac:dyDescent="0.3">
      <c r="A371" s="43">
        <v>45943</v>
      </c>
      <c r="B371" t="s">
        <v>21</v>
      </c>
      <c r="C371" s="47"/>
      <c r="D371" s="47">
        <v>25000</v>
      </c>
      <c r="F371" s="52" t="s">
        <v>111</v>
      </c>
    </row>
    <row r="372" spans="1:6" x14ac:dyDescent="0.3">
      <c r="A372" s="104">
        <v>45944</v>
      </c>
      <c r="B372" t="s">
        <v>54</v>
      </c>
      <c r="C372" s="11">
        <v>1500</v>
      </c>
      <c r="D372" s="11"/>
      <c r="E372" t="s">
        <v>402</v>
      </c>
      <c r="F372" s="52" t="s">
        <v>283</v>
      </c>
    </row>
    <row r="373" spans="1:6" x14ac:dyDescent="0.3">
      <c r="A373" s="104">
        <v>45944</v>
      </c>
      <c r="B373" t="s">
        <v>50</v>
      </c>
      <c r="C373" s="11">
        <v>200</v>
      </c>
      <c r="D373" s="11"/>
      <c r="E373" t="s">
        <v>403</v>
      </c>
      <c r="F373" s="52" t="s">
        <v>283</v>
      </c>
    </row>
    <row r="374" spans="1:6" x14ac:dyDescent="0.3">
      <c r="A374" s="104">
        <v>45944</v>
      </c>
      <c r="B374" t="s">
        <v>64</v>
      </c>
      <c r="C374" s="11">
        <v>118250</v>
      </c>
      <c r="D374" s="11"/>
      <c r="E374" t="s">
        <v>404</v>
      </c>
      <c r="F374" s="52" t="s">
        <v>283</v>
      </c>
    </row>
    <row r="375" spans="1:6" x14ac:dyDescent="0.3">
      <c r="A375" s="104">
        <v>45944</v>
      </c>
      <c r="B375" t="s">
        <v>340</v>
      </c>
      <c r="C375" s="11"/>
      <c r="D375" s="11">
        <v>118250</v>
      </c>
      <c r="F375" s="52" t="s">
        <v>283</v>
      </c>
    </row>
    <row r="376" spans="1:6" x14ac:dyDescent="0.3">
      <c r="A376" s="104">
        <v>45944</v>
      </c>
      <c r="B376" t="s">
        <v>9</v>
      </c>
      <c r="C376" s="11"/>
      <c r="D376" s="11">
        <v>200000</v>
      </c>
      <c r="E376" t="s">
        <v>195</v>
      </c>
      <c r="F376" s="52" t="s">
        <v>283</v>
      </c>
    </row>
    <row r="377" spans="1:6" x14ac:dyDescent="0.3">
      <c r="A377" s="104">
        <v>45944</v>
      </c>
      <c r="B377" t="s">
        <v>97</v>
      </c>
      <c r="C377" s="11">
        <v>4250</v>
      </c>
      <c r="D377" s="11"/>
      <c r="E377" t="s">
        <v>405</v>
      </c>
      <c r="F377" s="52" t="s">
        <v>283</v>
      </c>
    </row>
    <row r="378" spans="1:6" x14ac:dyDescent="0.3">
      <c r="A378" s="104">
        <v>45944</v>
      </c>
      <c r="B378" t="s">
        <v>50</v>
      </c>
      <c r="C378" s="11">
        <v>4250</v>
      </c>
      <c r="D378" s="11"/>
      <c r="E378" t="s">
        <v>405</v>
      </c>
      <c r="F378" s="52" t="s">
        <v>283</v>
      </c>
    </row>
    <row r="379" spans="1:6" x14ac:dyDescent="0.3">
      <c r="A379" s="104">
        <v>45944</v>
      </c>
      <c r="B379" t="s">
        <v>54</v>
      </c>
      <c r="C379" s="11">
        <v>6620</v>
      </c>
      <c r="D379" s="11"/>
      <c r="E379" t="s">
        <v>200</v>
      </c>
      <c r="F379" s="52" t="s">
        <v>283</v>
      </c>
    </row>
    <row r="380" spans="1:6" x14ac:dyDescent="0.3">
      <c r="A380" s="104">
        <v>45944</v>
      </c>
      <c r="B380" t="s">
        <v>406</v>
      </c>
      <c r="C380" s="11">
        <v>10000</v>
      </c>
      <c r="D380" s="11"/>
      <c r="E380" t="s">
        <v>407</v>
      </c>
      <c r="F380" s="52" t="s">
        <v>112</v>
      </c>
    </row>
    <row r="381" spans="1:6" x14ac:dyDescent="0.3">
      <c r="A381" s="104">
        <v>45944</v>
      </c>
      <c r="B381" t="s">
        <v>52</v>
      </c>
      <c r="C381" s="11">
        <v>13000</v>
      </c>
      <c r="D381" s="11"/>
      <c r="E381" t="s">
        <v>408</v>
      </c>
      <c r="F381" s="52" t="s">
        <v>283</v>
      </c>
    </row>
    <row r="382" spans="1:6" x14ac:dyDescent="0.3">
      <c r="A382" s="104">
        <v>45944</v>
      </c>
      <c r="B382" t="s">
        <v>52</v>
      </c>
      <c r="C382" s="47">
        <v>40000</v>
      </c>
      <c r="D382" s="47"/>
      <c r="E382" t="s">
        <v>207</v>
      </c>
      <c r="F382" s="52" t="s">
        <v>112</v>
      </c>
    </row>
    <row r="383" spans="1:6" x14ac:dyDescent="0.3">
      <c r="A383" s="104">
        <v>45944</v>
      </c>
      <c r="B383" t="s">
        <v>52</v>
      </c>
      <c r="C383" s="11">
        <v>511272</v>
      </c>
      <c r="D383" s="11"/>
      <c r="E383" t="s">
        <v>409</v>
      </c>
      <c r="F383" s="52" t="s">
        <v>112</v>
      </c>
    </row>
    <row r="384" spans="1:6" x14ac:dyDescent="0.3">
      <c r="A384" s="104">
        <v>45944</v>
      </c>
      <c r="B384" t="s">
        <v>340</v>
      </c>
      <c r="C384" s="11"/>
      <c r="D384" s="11">
        <f>375000+158000</f>
        <v>533000</v>
      </c>
      <c r="F384" s="52" t="s">
        <v>112</v>
      </c>
    </row>
    <row r="385" spans="1:6" x14ac:dyDescent="0.3">
      <c r="A385" s="104">
        <v>45944</v>
      </c>
      <c r="B385" t="s">
        <v>52</v>
      </c>
      <c r="C385" s="11">
        <v>2000</v>
      </c>
      <c r="D385" s="11"/>
      <c r="E385" t="s">
        <v>410</v>
      </c>
      <c r="F385" s="52" t="s">
        <v>112</v>
      </c>
    </row>
    <row r="386" spans="1:6" x14ac:dyDescent="0.3">
      <c r="A386" s="104">
        <v>45944</v>
      </c>
      <c r="B386" t="s">
        <v>159</v>
      </c>
      <c r="C386" s="11"/>
      <c r="D386" s="11">
        <v>200000</v>
      </c>
      <c r="F386" s="52" t="s">
        <v>111</v>
      </c>
    </row>
    <row r="387" spans="1:6" x14ac:dyDescent="0.3">
      <c r="A387" s="104">
        <v>45944</v>
      </c>
      <c r="B387" t="s">
        <v>21</v>
      </c>
      <c r="C387" s="47"/>
      <c r="D387" s="47">
        <v>150000</v>
      </c>
      <c r="E387" t="s">
        <v>411</v>
      </c>
      <c r="F387" s="52" t="s">
        <v>111</v>
      </c>
    </row>
    <row r="388" spans="1:6" x14ac:dyDescent="0.3">
      <c r="A388" s="104">
        <v>45944</v>
      </c>
      <c r="B388" t="s">
        <v>97</v>
      </c>
      <c r="C388" s="11">
        <v>400000</v>
      </c>
      <c r="D388" s="11"/>
      <c r="E388" t="s">
        <v>412</v>
      </c>
      <c r="F388" s="52" t="s">
        <v>111</v>
      </c>
    </row>
    <row r="389" spans="1:6" x14ac:dyDescent="0.3">
      <c r="A389" s="104">
        <v>45944</v>
      </c>
      <c r="B389" t="s">
        <v>119</v>
      </c>
      <c r="C389" s="11">
        <v>5000</v>
      </c>
      <c r="D389" s="11"/>
      <c r="E389" t="s">
        <v>413</v>
      </c>
      <c r="F389" s="52" t="s">
        <v>112</v>
      </c>
    </row>
    <row r="390" spans="1:6" x14ac:dyDescent="0.3">
      <c r="A390" s="104">
        <v>45944</v>
      </c>
      <c r="B390" t="s">
        <v>54</v>
      </c>
      <c r="C390" s="11">
        <v>1140</v>
      </c>
      <c r="D390" s="11"/>
      <c r="E390" t="s">
        <v>197</v>
      </c>
      <c r="F390" s="52" t="s">
        <v>111</v>
      </c>
    </row>
    <row r="391" spans="1:6" x14ac:dyDescent="0.3">
      <c r="A391" s="104">
        <v>45944</v>
      </c>
      <c r="B391" t="s">
        <v>217</v>
      </c>
      <c r="C391" s="11"/>
      <c r="D391" s="11"/>
      <c r="E391" t="s">
        <v>414</v>
      </c>
      <c r="F391" s="52" t="s">
        <v>111</v>
      </c>
    </row>
    <row r="392" spans="1:6" x14ac:dyDescent="0.3">
      <c r="A392" s="104">
        <v>45945</v>
      </c>
      <c r="B392" t="s">
        <v>365</v>
      </c>
      <c r="C392" s="11">
        <v>70000</v>
      </c>
      <c r="D392" s="11"/>
      <c r="F392" s="52" t="s">
        <v>111</v>
      </c>
    </row>
    <row r="393" spans="1:6" x14ac:dyDescent="0.3">
      <c r="A393" s="104">
        <v>45945</v>
      </c>
      <c r="B393" t="s">
        <v>97</v>
      </c>
      <c r="C393" s="47">
        <v>31750</v>
      </c>
      <c r="D393" s="47"/>
      <c r="E393" t="s">
        <v>424</v>
      </c>
      <c r="F393" s="52" t="s">
        <v>111</v>
      </c>
    </row>
    <row r="394" spans="1:6" x14ac:dyDescent="0.3">
      <c r="A394" s="104">
        <v>45945</v>
      </c>
      <c r="B394" t="s">
        <v>21</v>
      </c>
      <c r="C394" s="11"/>
      <c r="D394" s="11">
        <v>100000</v>
      </c>
      <c r="E394" t="s">
        <v>112</v>
      </c>
      <c r="F394" s="52" t="s">
        <v>112</v>
      </c>
    </row>
    <row r="395" spans="1:6" x14ac:dyDescent="0.3">
      <c r="A395" s="104">
        <v>45945</v>
      </c>
      <c r="B395" t="s">
        <v>159</v>
      </c>
      <c r="C395" s="11"/>
      <c r="D395" s="11">
        <v>196000</v>
      </c>
      <c r="E395" t="s">
        <v>112</v>
      </c>
      <c r="F395" s="52" t="s">
        <v>112</v>
      </c>
    </row>
    <row r="396" spans="1:6" x14ac:dyDescent="0.3">
      <c r="A396" s="104">
        <v>45945</v>
      </c>
      <c r="B396" t="s">
        <v>21</v>
      </c>
      <c r="C396" s="11"/>
      <c r="D396" s="11">
        <v>100000</v>
      </c>
      <c r="E396" t="s">
        <v>283</v>
      </c>
      <c r="F396" s="52" t="s">
        <v>111</v>
      </c>
    </row>
    <row r="397" spans="1:6" x14ac:dyDescent="0.3">
      <c r="A397" s="104">
        <v>45945</v>
      </c>
      <c r="B397" t="s">
        <v>52</v>
      </c>
      <c r="C397" s="11">
        <v>50000</v>
      </c>
      <c r="D397" s="11"/>
      <c r="E397" t="s">
        <v>207</v>
      </c>
      <c r="F397" s="52" t="s">
        <v>111</v>
      </c>
    </row>
    <row r="398" spans="1:6" x14ac:dyDescent="0.3">
      <c r="A398" s="104">
        <v>45945</v>
      </c>
      <c r="B398" t="s">
        <v>52</v>
      </c>
      <c r="C398" s="11">
        <v>40000</v>
      </c>
      <c r="D398" s="11"/>
      <c r="E398" t="s">
        <v>203</v>
      </c>
      <c r="F398" s="52" t="s">
        <v>111</v>
      </c>
    </row>
    <row r="399" spans="1:6" x14ac:dyDescent="0.3">
      <c r="A399" s="104">
        <v>45945</v>
      </c>
      <c r="B399" t="s">
        <v>117</v>
      </c>
      <c r="C399" s="11">
        <v>18450</v>
      </c>
      <c r="D399" s="11"/>
      <c r="E399" t="s">
        <v>425</v>
      </c>
      <c r="F399" s="52" t="s">
        <v>111</v>
      </c>
    </row>
    <row r="400" spans="1:6" x14ac:dyDescent="0.3">
      <c r="A400" s="104">
        <v>45945</v>
      </c>
      <c r="B400" t="s">
        <v>21</v>
      </c>
      <c r="C400" s="11"/>
      <c r="D400" s="11">
        <v>6500</v>
      </c>
      <c r="E400" t="s">
        <v>200</v>
      </c>
      <c r="F400" s="52" t="s">
        <v>111</v>
      </c>
    </row>
    <row r="401" spans="1:6" x14ac:dyDescent="0.3">
      <c r="A401" s="104">
        <v>45945</v>
      </c>
      <c r="B401" t="s">
        <v>54</v>
      </c>
      <c r="C401" s="11">
        <v>6500</v>
      </c>
      <c r="D401" s="11"/>
      <c r="E401" t="s">
        <v>200</v>
      </c>
      <c r="F401" s="52" t="s">
        <v>111</v>
      </c>
    </row>
    <row r="402" spans="1:6" x14ac:dyDescent="0.3">
      <c r="A402" s="104">
        <v>45945</v>
      </c>
      <c r="B402" t="s">
        <v>21</v>
      </c>
      <c r="C402" s="11"/>
      <c r="D402" s="11">
        <v>2000</v>
      </c>
      <c r="E402" t="s">
        <v>239</v>
      </c>
      <c r="F402" s="52" t="s">
        <v>111</v>
      </c>
    </row>
    <row r="403" spans="1:6" x14ac:dyDescent="0.3">
      <c r="A403" s="43">
        <v>45945</v>
      </c>
      <c r="B403" t="s">
        <v>54</v>
      </c>
      <c r="C403" s="47">
        <v>2000</v>
      </c>
      <c r="D403" s="47"/>
      <c r="E403" t="s">
        <v>239</v>
      </c>
      <c r="F403" s="52" t="s">
        <v>111</v>
      </c>
    </row>
    <row r="404" spans="1:6" x14ac:dyDescent="0.3">
      <c r="A404" s="104">
        <v>45945</v>
      </c>
      <c r="B404" t="s">
        <v>21</v>
      </c>
      <c r="C404" s="11"/>
      <c r="D404" s="11">
        <v>12000</v>
      </c>
      <c r="E404" t="s">
        <v>426</v>
      </c>
      <c r="F404" s="52" t="s">
        <v>111</v>
      </c>
    </row>
    <row r="405" spans="1:6" x14ac:dyDescent="0.3">
      <c r="A405" s="104">
        <v>45945</v>
      </c>
      <c r="B405" t="s">
        <v>54</v>
      </c>
      <c r="C405" s="11">
        <v>12000</v>
      </c>
      <c r="D405" s="11"/>
      <c r="E405" t="s">
        <v>427</v>
      </c>
      <c r="F405" s="52" t="s">
        <v>111</v>
      </c>
    </row>
    <row r="406" spans="1:6" x14ac:dyDescent="0.3">
      <c r="A406" s="43">
        <v>45945</v>
      </c>
      <c r="B406" t="s">
        <v>119</v>
      </c>
      <c r="C406" s="11">
        <v>1200</v>
      </c>
      <c r="D406" s="11"/>
      <c r="E406" t="s">
        <v>428</v>
      </c>
      <c r="F406" s="52" t="s">
        <v>112</v>
      </c>
    </row>
    <row r="407" spans="1:6" x14ac:dyDescent="0.3">
      <c r="A407" s="104">
        <v>45945</v>
      </c>
      <c r="B407" t="s">
        <v>119</v>
      </c>
      <c r="C407" s="11">
        <v>2900</v>
      </c>
      <c r="D407" s="11"/>
      <c r="E407" t="s">
        <v>429</v>
      </c>
      <c r="F407" s="52" t="s">
        <v>112</v>
      </c>
    </row>
    <row r="408" spans="1:6" x14ac:dyDescent="0.3">
      <c r="A408" s="104">
        <v>45946</v>
      </c>
      <c r="B408" t="s">
        <v>119</v>
      </c>
      <c r="C408" s="11">
        <v>8900</v>
      </c>
      <c r="D408" s="11"/>
      <c r="E408" t="s">
        <v>392</v>
      </c>
      <c r="F408" s="52" t="s">
        <v>112</v>
      </c>
    </row>
    <row r="409" spans="1:6" x14ac:dyDescent="0.3">
      <c r="A409" s="104">
        <v>45946</v>
      </c>
      <c r="B409" t="s">
        <v>52</v>
      </c>
      <c r="C409" s="11">
        <v>283668</v>
      </c>
      <c r="D409" s="11"/>
      <c r="E409" t="s">
        <v>409</v>
      </c>
      <c r="F409" s="52" t="s">
        <v>112</v>
      </c>
    </row>
    <row r="410" spans="1:6" x14ac:dyDescent="0.3">
      <c r="A410" s="104">
        <v>45946</v>
      </c>
      <c r="B410" t="s">
        <v>119</v>
      </c>
      <c r="C410" s="11">
        <f>290000-C409</f>
        <v>6332</v>
      </c>
      <c r="D410" s="11"/>
      <c r="E410" t="s">
        <v>444</v>
      </c>
      <c r="F410" s="52" t="s">
        <v>112</v>
      </c>
    </row>
    <row r="411" spans="1:6" x14ac:dyDescent="0.3">
      <c r="A411" s="104">
        <v>45946</v>
      </c>
      <c r="B411" t="s">
        <v>54</v>
      </c>
      <c r="C411" s="11">
        <v>5344</v>
      </c>
      <c r="D411" s="11"/>
      <c r="E411" t="s">
        <v>344</v>
      </c>
      <c r="F411" s="52" t="s">
        <v>111</v>
      </c>
    </row>
    <row r="412" spans="1:6" x14ac:dyDescent="0.3">
      <c r="A412" s="104">
        <v>45946</v>
      </c>
      <c r="B412" t="s">
        <v>21</v>
      </c>
      <c r="C412" s="11"/>
      <c r="D412" s="11">
        <v>300000</v>
      </c>
      <c r="E412" t="s">
        <v>430</v>
      </c>
      <c r="F412" s="52" t="s">
        <v>111</v>
      </c>
    </row>
    <row r="413" spans="1:6" x14ac:dyDescent="0.3">
      <c r="A413" s="104">
        <v>45946</v>
      </c>
      <c r="B413" t="s">
        <v>97</v>
      </c>
      <c r="C413" s="11">
        <v>250000</v>
      </c>
      <c r="D413" s="11"/>
      <c r="E413" t="s">
        <v>431</v>
      </c>
      <c r="F413" s="52" t="s">
        <v>111</v>
      </c>
    </row>
    <row r="414" spans="1:6" x14ac:dyDescent="0.3">
      <c r="A414" s="104">
        <v>45946</v>
      </c>
      <c r="B414" t="s">
        <v>97</v>
      </c>
      <c r="C414" s="11">
        <v>50000</v>
      </c>
      <c r="D414" s="11"/>
      <c r="E414" t="s">
        <v>432</v>
      </c>
      <c r="F414" s="52" t="s">
        <v>111</v>
      </c>
    </row>
    <row r="415" spans="1:6" x14ac:dyDescent="0.3">
      <c r="A415" s="104">
        <v>45946</v>
      </c>
      <c r="B415" t="s">
        <v>21</v>
      </c>
      <c r="C415" s="11"/>
      <c r="D415" s="11">
        <v>10000</v>
      </c>
      <c r="E415" t="s">
        <v>433</v>
      </c>
      <c r="F415" s="52" t="s">
        <v>111</v>
      </c>
    </row>
    <row r="416" spans="1:6" x14ac:dyDescent="0.3">
      <c r="A416" s="104">
        <v>45946</v>
      </c>
      <c r="B416" t="s">
        <v>119</v>
      </c>
      <c r="C416" s="47">
        <v>10000</v>
      </c>
      <c r="D416" s="47"/>
      <c r="E416" t="s">
        <v>434</v>
      </c>
      <c r="F416" s="52" t="s">
        <v>111</v>
      </c>
    </row>
    <row r="417" spans="1:6" x14ac:dyDescent="0.3">
      <c r="A417" s="104">
        <v>45946</v>
      </c>
      <c r="B417" t="s">
        <v>21</v>
      </c>
      <c r="C417" s="11"/>
      <c r="D417" s="11">
        <v>15000</v>
      </c>
      <c r="E417" t="s">
        <v>435</v>
      </c>
      <c r="F417" s="52" t="s">
        <v>111</v>
      </c>
    </row>
    <row r="418" spans="1:6" x14ac:dyDescent="0.3">
      <c r="A418" s="104">
        <v>45946</v>
      </c>
      <c r="B418" t="s">
        <v>52</v>
      </c>
      <c r="C418" s="11">
        <v>15000</v>
      </c>
      <c r="D418" s="11"/>
      <c r="E418" t="s">
        <v>435</v>
      </c>
      <c r="F418" s="52" t="s">
        <v>111</v>
      </c>
    </row>
    <row r="419" spans="1:6" x14ac:dyDescent="0.3">
      <c r="A419" s="104">
        <v>45946</v>
      </c>
      <c r="B419" t="s">
        <v>21</v>
      </c>
      <c r="C419" s="11"/>
      <c r="D419" s="11">
        <v>14000</v>
      </c>
      <c r="F419" s="52" t="s">
        <v>111</v>
      </c>
    </row>
    <row r="420" spans="1:6" x14ac:dyDescent="0.3">
      <c r="A420" s="104">
        <v>45946</v>
      </c>
      <c r="B420" t="s">
        <v>119</v>
      </c>
      <c r="C420" s="11">
        <v>1100</v>
      </c>
      <c r="D420" s="11"/>
      <c r="E420" t="s">
        <v>214</v>
      </c>
      <c r="F420" s="52" t="s">
        <v>111</v>
      </c>
    </row>
    <row r="421" spans="1:6" x14ac:dyDescent="0.3">
      <c r="A421" s="104">
        <v>45946</v>
      </c>
      <c r="B421" t="s">
        <v>119</v>
      </c>
      <c r="C421" s="11">
        <v>1850</v>
      </c>
      <c r="D421" s="11"/>
      <c r="E421" t="s">
        <v>436</v>
      </c>
      <c r="F421" s="52" t="s">
        <v>112</v>
      </c>
    </row>
    <row r="422" spans="1:6" x14ac:dyDescent="0.3">
      <c r="A422" s="104">
        <v>45946</v>
      </c>
      <c r="B422" t="s">
        <v>21</v>
      </c>
      <c r="C422" s="47"/>
      <c r="D422" s="47">
        <v>4060</v>
      </c>
      <c r="E422" t="s">
        <v>437</v>
      </c>
      <c r="F422" s="52" t="s">
        <v>111</v>
      </c>
    </row>
    <row r="423" spans="1:6" x14ac:dyDescent="0.3">
      <c r="A423" s="104">
        <v>45946</v>
      </c>
      <c r="B423" t="s">
        <v>54</v>
      </c>
      <c r="C423" s="11">
        <v>4060</v>
      </c>
      <c r="D423" s="11"/>
      <c r="E423" t="s">
        <v>200</v>
      </c>
      <c r="F423" s="52" t="s">
        <v>111</v>
      </c>
    </row>
    <row r="424" spans="1:6" x14ac:dyDescent="0.3">
      <c r="A424" s="104">
        <v>45946</v>
      </c>
      <c r="B424" t="s">
        <v>21</v>
      </c>
      <c r="C424" s="11"/>
      <c r="D424" s="11">
        <v>24500</v>
      </c>
      <c r="E424" t="s">
        <v>438</v>
      </c>
      <c r="F424" s="52" t="s">
        <v>111</v>
      </c>
    </row>
    <row r="425" spans="1:6" x14ac:dyDescent="0.3">
      <c r="A425" s="104">
        <v>45946</v>
      </c>
      <c r="B425" t="s">
        <v>52</v>
      </c>
      <c r="C425" s="11">
        <v>24500</v>
      </c>
      <c r="D425" s="11"/>
      <c r="E425" t="s">
        <v>207</v>
      </c>
      <c r="F425" s="52" t="s">
        <v>111</v>
      </c>
    </row>
    <row r="426" spans="1:6" x14ac:dyDescent="0.3">
      <c r="A426" s="104">
        <v>45946</v>
      </c>
      <c r="B426" t="s">
        <v>301</v>
      </c>
      <c r="C426" s="11"/>
      <c r="D426" s="11">
        <v>1100</v>
      </c>
      <c r="F426" s="52" t="s">
        <v>111</v>
      </c>
    </row>
    <row r="427" spans="1:6" x14ac:dyDescent="0.3">
      <c r="A427" s="43">
        <v>45946</v>
      </c>
      <c r="B427" t="s">
        <v>119</v>
      </c>
      <c r="C427" s="47">
        <v>1100</v>
      </c>
      <c r="D427" s="47"/>
      <c r="E427" t="s">
        <v>214</v>
      </c>
      <c r="F427" s="52" t="s">
        <v>111</v>
      </c>
    </row>
    <row r="428" spans="1:6" x14ac:dyDescent="0.3">
      <c r="A428" s="43">
        <v>45947</v>
      </c>
      <c r="B428" t="s">
        <v>21</v>
      </c>
      <c r="C428" s="47"/>
      <c r="D428" s="47">
        <v>43000</v>
      </c>
      <c r="F428" s="52" t="s">
        <v>111</v>
      </c>
    </row>
    <row r="429" spans="1:6" x14ac:dyDescent="0.3">
      <c r="A429" s="104">
        <v>45947</v>
      </c>
      <c r="B429" t="s">
        <v>21</v>
      </c>
      <c r="C429" s="11"/>
      <c r="D429" s="11">
        <v>57000</v>
      </c>
      <c r="F429" s="52" t="s">
        <v>111</v>
      </c>
    </row>
    <row r="430" spans="1:6" x14ac:dyDescent="0.3">
      <c r="A430" s="43">
        <v>45947</v>
      </c>
      <c r="B430" t="s">
        <v>50</v>
      </c>
      <c r="C430" s="11">
        <v>30000</v>
      </c>
      <c r="D430" s="11"/>
      <c r="E430" t="s">
        <v>439</v>
      </c>
      <c r="F430" s="52" t="s">
        <v>111</v>
      </c>
    </row>
    <row r="431" spans="1:6" x14ac:dyDescent="0.3">
      <c r="A431" s="104">
        <v>45947</v>
      </c>
      <c r="B431" t="s">
        <v>117</v>
      </c>
      <c r="C431" s="11">
        <v>20000</v>
      </c>
      <c r="D431" s="11"/>
      <c r="E431" t="s">
        <v>225</v>
      </c>
      <c r="F431" s="52" t="s">
        <v>111</v>
      </c>
    </row>
    <row r="432" spans="1:6" x14ac:dyDescent="0.3">
      <c r="A432" s="43">
        <v>45947</v>
      </c>
      <c r="B432" t="s">
        <v>406</v>
      </c>
      <c r="C432" s="11">
        <v>15300</v>
      </c>
      <c r="D432" s="11"/>
      <c r="E432" t="s">
        <v>382</v>
      </c>
      <c r="F432" s="52" t="s">
        <v>111</v>
      </c>
    </row>
    <row r="433" spans="1:7" x14ac:dyDescent="0.3">
      <c r="A433" s="104">
        <v>45947</v>
      </c>
      <c r="B433" t="s">
        <v>406</v>
      </c>
      <c r="C433" s="11">
        <v>20000</v>
      </c>
      <c r="D433" s="11"/>
      <c r="E433" t="s">
        <v>440</v>
      </c>
      <c r="F433" s="52" t="s">
        <v>111</v>
      </c>
    </row>
    <row r="434" spans="1:7" x14ac:dyDescent="0.3">
      <c r="A434" s="43">
        <v>45947</v>
      </c>
      <c r="B434" t="s">
        <v>406</v>
      </c>
      <c r="C434" s="11">
        <v>7000</v>
      </c>
      <c r="D434" s="11"/>
      <c r="E434" t="s">
        <v>410</v>
      </c>
      <c r="F434" s="52" t="s">
        <v>111</v>
      </c>
    </row>
    <row r="435" spans="1:7" x14ac:dyDescent="0.3">
      <c r="A435" s="104">
        <v>45947</v>
      </c>
      <c r="B435" t="s">
        <v>54</v>
      </c>
      <c r="C435" s="47">
        <v>4500</v>
      </c>
      <c r="D435" s="47"/>
      <c r="E435" t="s">
        <v>200</v>
      </c>
      <c r="F435" s="52" t="s">
        <v>111</v>
      </c>
    </row>
    <row r="436" spans="1:7" x14ac:dyDescent="0.3">
      <c r="A436" s="43">
        <v>45947</v>
      </c>
      <c r="B436" t="s">
        <v>21</v>
      </c>
      <c r="C436" s="11"/>
      <c r="D436" s="11">
        <v>4500</v>
      </c>
      <c r="E436" t="s">
        <v>200</v>
      </c>
      <c r="F436" s="52" t="s">
        <v>111</v>
      </c>
    </row>
    <row r="437" spans="1:7" x14ac:dyDescent="0.3">
      <c r="A437" s="104">
        <v>45947</v>
      </c>
      <c r="B437" t="s">
        <v>54</v>
      </c>
      <c r="C437" s="11">
        <v>500</v>
      </c>
      <c r="D437" s="11"/>
      <c r="E437" t="s">
        <v>239</v>
      </c>
      <c r="F437" s="52" t="s">
        <v>111</v>
      </c>
    </row>
    <row r="438" spans="1:7" x14ac:dyDescent="0.3">
      <c r="A438" s="43">
        <v>45947</v>
      </c>
      <c r="B438" t="s">
        <v>119</v>
      </c>
      <c r="C438" s="11">
        <f>1300+3300</f>
        <v>4600</v>
      </c>
      <c r="D438" s="11"/>
      <c r="E438" s="11" t="s">
        <v>441</v>
      </c>
      <c r="F438" s="52" t="s">
        <v>112</v>
      </c>
    </row>
    <row r="439" spans="1:7" x14ac:dyDescent="0.3">
      <c r="A439" s="104">
        <v>45947</v>
      </c>
      <c r="B439" t="s">
        <v>119</v>
      </c>
      <c r="C439" s="11"/>
      <c r="D439" s="11">
        <v>15000</v>
      </c>
      <c r="E439" t="s">
        <v>442</v>
      </c>
      <c r="F439" s="52" t="s">
        <v>111</v>
      </c>
    </row>
    <row r="440" spans="1:7" x14ac:dyDescent="0.3">
      <c r="A440" s="43">
        <v>45947</v>
      </c>
      <c r="B440" t="s">
        <v>119</v>
      </c>
      <c r="C440" s="11">
        <v>14500</v>
      </c>
      <c r="D440" s="11"/>
      <c r="E440" t="s">
        <v>442</v>
      </c>
      <c r="F440" s="52" t="s">
        <v>111</v>
      </c>
    </row>
    <row r="441" spans="1:7" x14ac:dyDescent="0.3">
      <c r="A441" s="104">
        <v>45947</v>
      </c>
      <c r="B441" t="s">
        <v>112</v>
      </c>
      <c r="C441" s="11"/>
      <c r="D441" s="11"/>
      <c r="F441" s="52" t="s">
        <v>266</v>
      </c>
      <c r="G441">
        <v>11000</v>
      </c>
    </row>
    <row r="442" spans="1:7" x14ac:dyDescent="0.3">
      <c r="A442" s="43">
        <v>45955</v>
      </c>
      <c r="B442" t="s">
        <v>406</v>
      </c>
      <c r="C442" s="11">
        <v>20000</v>
      </c>
      <c r="D442" s="11"/>
      <c r="E442" t="s">
        <v>450</v>
      </c>
      <c r="F442" s="52" t="s">
        <v>111</v>
      </c>
    </row>
    <row r="443" spans="1:7" x14ac:dyDescent="0.3">
      <c r="A443" s="104">
        <v>45956</v>
      </c>
      <c r="B443" t="s">
        <v>406</v>
      </c>
      <c r="C443" s="11">
        <v>5000</v>
      </c>
      <c r="D443" s="11"/>
      <c r="E443" t="s">
        <v>452</v>
      </c>
      <c r="F443" s="52" t="s">
        <v>111</v>
      </c>
    </row>
    <row r="444" spans="1:7" x14ac:dyDescent="0.3">
      <c r="A444" s="43"/>
      <c r="C444" s="14">
        <f>SUBTOTAL(109,Table14[Debit])</f>
        <v>16287118</v>
      </c>
      <c r="D444" s="14">
        <f>SUBTOTAL(109,Table14[Credit])</f>
        <v>16263896</v>
      </c>
      <c r="F444" s="62">
        <f>(Table14[[#Totals],[Credit]]-Table14[[#Totals],[Debit]])</f>
        <v>-23222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7"/>
  <sheetViews>
    <sheetView zoomScale="113" zoomScaleNormal="210" workbookViewId="0">
      <selection activeCell="G7" sqref="G7"/>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75</v>
      </c>
      <c r="B1" s="2" t="s">
        <v>126</v>
      </c>
      <c r="C1" s="2" t="s">
        <v>127</v>
      </c>
      <c r="D1" s="8" t="s">
        <v>4</v>
      </c>
      <c r="E1" s="8" t="s">
        <v>128</v>
      </c>
      <c r="F1" s="8" t="s">
        <v>113</v>
      </c>
      <c r="G1" s="8" t="s">
        <v>95</v>
      </c>
      <c r="H1" s="8" t="s">
        <v>18</v>
      </c>
      <c r="I1" s="8" t="s">
        <v>129</v>
      </c>
    </row>
    <row r="2" spans="1:14" x14ac:dyDescent="0.3">
      <c r="A2" s="93">
        <v>45916</v>
      </c>
      <c r="B2" s="90" t="s">
        <v>64</v>
      </c>
      <c r="C2" s="90"/>
      <c r="D2" s="90"/>
      <c r="E2" s="90"/>
      <c r="F2" s="90" t="s">
        <v>120</v>
      </c>
      <c r="G2" s="90"/>
      <c r="H2" s="90">
        <v>708000</v>
      </c>
      <c r="I2" s="90" t="s">
        <v>179</v>
      </c>
      <c r="K2" t="s">
        <v>75</v>
      </c>
      <c r="L2" t="s">
        <v>45</v>
      </c>
      <c r="M2" t="s">
        <v>36</v>
      </c>
      <c r="N2" t="s">
        <v>5</v>
      </c>
    </row>
    <row r="3" spans="1:14" hidden="1" x14ac:dyDescent="0.3">
      <c r="A3" s="1">
        <v>45919</v>
      </c>
      <c r="B3" t="s">
        <v>198</v>
      </c>
      <c r="E3">
        <v>121000</v>
      </c>
      <c r="G3">
        <v>121000</v>
      </c>
      <c r="H3">
        <f>Table8[[#This Row],[Price]]-Table8[[#This Row],[Paid]]</f>
        <v>0</v>
      </c>
      <c r="I3" t="s">
        <v>199</v>
      </c>
      <c r="K3" s="1"/>
      <c r="L3" t="s">
        <v>130</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120</v>
      </c>
      <c r="G5">
        <f>SUMIFS(Table14[Debit], Table14[Date], Table8[[#This Row],[Date]], Table14[Party], Table8[[#This Row],[Party]])</f>
        <v>500000</v>
      </c>
      <c r="H5">
        <f>Table8[[#This Row],[Price]]-Table8[[#This Row],[Paid]]</f>
        <v>-500000</v>
      </c>
      <c r="I5" t="s">
        <v>260</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131</v>
      </c>
      <c r="C7">
        <v>2</v>
      </c>
      <c r="D7">
        <v>1130</v>
      </c>
      <c r="E7">
        <f>Table8[[#This Row],[Boxes]]*Table8[[#This Row],[Rate]]*25</f>
        <v>56500</v>
      </c>
      <c r="F7" t="s">
        <v>120</v>
      </c>
      <c r="H7">
        <f>Table8[[#This Row],[Price]]-Table8[[#This Row],[Paid]]</f>
        <v>56500</v>
      </c>
      <c r="K7" s="3" t="s">
        <v>113</v>
      </c>
      <c r="L7" t="s">
        <v>88</v>
      </c>
    </row>
    <row r="8" spans="1:14" x14ac:dyDescent="0.3">
      <c r="A8" s="1">
        <v>45927</v>
      </c>
      <c r="B8" t="s">
        <v>132</v>
      </c>
      <c r="C8">
        <v>2</v>
      </c>
      <c r="D8">
        <v>1140</v>
      </c>
      <c r="E8">
        <f>Table8[[#This Row],[Boxes]]*Table8[[#This Row],[Rate]]*25</f>
        <v>57000</v>
      </c>
      <c r="F8" t="s">
        <v>120</v>
      </c>
      <c r="H8">
        <f>Table8[[#This Row],[Price]]-Table8[[#This Row],[Paid]]</f>
        <v>57000</v>
      </c>
    </row>
    <row r="9" spans="1:14" x14ac:dyDescent="0.3">
      <c r="A9" s="1">
        <v>45927</v>
      </c>
      <c r="B9" t="s">
        <v>153</v>
      </c>
      <c r="C9">
        <v>2</v>
      </c>
      <c r="D9">
        <v>1140</v>
      </c>
      <c r="E9">
        <f>Table8[[#This Row],[Boxes]]*Table8[[#This Row],[Rate]]*25</f>
        <v>57000</v>
      </c>
      <c r="F9" t="s">
        <v>120</v>
      </c>
      <c r="H9">
        <f>Table8[[#This Row],[Price]]-Table8[[#This Row],[Paid]]</f>
        <v>57000</v>
      </c>
      <c r="K9" s="3" t="s">
        <v>6</v>
      </c>
      <c r="L9" t="s">
        <v>133</v>
      </c>
      <c r="M9" t="s">
        <v>134</v>
      </c>
    </row>
    <row r="10" spans="1:14" x14ac:dyDescent="0.3">
      <c r="A10" s="1">
        <v>45927</v>
      </c>
      <c r="B10" t="s">
        <v>136</v>
      </c>
      <c r="C10">
        <v>2</v>
      </c>
      <c r="D10">
        <v>1650</v>
      </c>
      <c r="E10">
        <f>Table8[[#This Row],[Boxes]]*Table8[[#This Row],[Rate]]*25</f>
        <v>82500</v>
      </c>
      <c r="F10" t="s">
        <v>120</v>
      </c>
      <c r="H10">
        <f>Table8[[#This Row],[Price]]-Table8[[#This Row],[Paid]]</f>
        <v>82500</v>
      </c>
      <c r="K10" s="27">
        <v>45916</v>
      </c>
      <c r="M10">
        <v>708000</v>
      </c>
    </row>
    <row r="11" spans="1:14" x14ac:dyDescent="0.3">
      <c r="A11" s="1">
        <v>45927</v>
      </c>
      <c r="B11" t="s">
        <v>152</v>
      </c>
      <c r="C11">
        <v>2</v>
      </c>
      <c r="D11">
        <v>1300</v>
      </c>
      <c r="E11">
        <f>Table8[[#This Row],[Boxes]]*Table8[[#This Row],[Rate]]*25</f>
        <v>65000</v>
      </c>
      <c r="F11" t="s">
        <v>120</v>
      </c>
      <c r="H11">
        <f>Table8[[#This Row],[Price]]-Table8[[#This Row],[Paid]]</f>
        <v>65000</v>
      </c>
      <c r="K11" s="27">
        <v>45919</v>
      </c>
      <c r="L11">
        <v>121000</v>
      </c>
      <c r="M11">
        <v>0</v>
      </c>
    </row>
    <row r="12" spans="1:14" x14ac:dyDescent="0.3">
      <c r="A12" s="1">
        <v>45927</v>
      </c>
      <c r="B12" t="s">
        <v>139</v>
      </c>
      <c r="C12">
        <v>1</v>
      </c>
      <c r="D12">
        <v>1650</v>
      </c>
      <c r="E12">
        <f>Table8[[#This Row],[Boxes]]*Table8[[#This Row],[Rate]]*25</f>
        <v>41250</v>
      </c>
      <c r="F12" t="s">
        <v>120</v>
      </c>
      <c r="H12">
        <f>Table8[[#This Row],[Price]]-Table8[[#This Row],[Paid]]</f>
        <v>41250</v>
      </c>
      <c r="K12" s="27">
        <v>45922</v>
      </c>
      <c r="L12">
        <v>138000</v>
      </c>
      <c r="M12">
        <v>0</v>
      </c>
    </row>
    <row r="13" spans="1:14" x14ac:dyDescent="0.3">
      <c r="A13" s="1">
        <v>45927</v>
      </c>
      <c r="B13" t="s">
        <v>268</v>
      </c>
      <c r="C13">
        <v>1</v>
      </c>
      <c r="D13">
        <v>1140</v>
      </c>
      <c r="E13">
        <f>Table8[[#This Row],[Boxes]]*Table8[[#This Row],[Rate]]*25</f>
        <v>28500</v>
      </c>
      <c r="F13" t="s">
        <v>120</v>
      </c>
      <c r="H13">
        <f>Table8[[#This Row],[Price]]-Table8[[#This Row],[Paid]]</f>
        <v>28500</v>
      </c>
      <c r="K13" s="27">
        <v>45926</v>
      </c>
      <c r="L13">
        <v>87750</v>
      </c>
      <c r="M13">
        <v>-500000</v>
      </c>
    </row>
    <row r="14" spans="1:14" x14ac:dyDescent="0.3">
      <c r="A14" s="1">
        <v>45927</v>
      </c>
      <c r="B14" t="s">
        <v>177</v>
      </c>
      <c r="C14">
        <v>1</v>
      </c>
      <c r="D14">
        <v>1775</v>
      </c>
      <c r="E14">
        <f>Table8[[#This Row],[Boxes]]*Table8[[#This Row],[Rate]]*25</f>
        <v>44375</v>
      </c>
      <c r="F14" t="s">
        <v>120</v>
      </c>
      <c r="H14">
        <f>Table8[[#This Row],[Price]]-Table8[[#This Row],[Paid]]</f>
        <v>44375</v>
      </c>
      <c r="K14" s="27">
        <v>45927</v>
      </c>
      <c r="L14">
        <v>432125</v>
      </c>
      <c r="M14">
        <v>432125</v>
      </c>
    </row>
    <row r="15" spans="1:14" hidden="1" x14ac:dyDescent="0.3">
      <c r="A15" s="1">
        <v>45939</v>
      </c>
      <c r="B15" t="s">
        <v>174</v>
      </c>
      <c r="C15">
        <v>2</v>
      </c>
      <c r="D15">
        <f>23000/25</f>
        <v>920</v>
      </c>
      <c r="E15">
        <f>Table8[[#This Row],[Boxes]]*Table8[[#This Row],[Rate]]*25</f>
        <v>46000</v>
      </c>
      <c r="F15" t="s">
        <v>423</v>
      </c>
      <c r="G15">
        <v>46000</v>
      </c>
      <c r="H15">
        <f>Table8[[#This Row],[Price]]-Table8[[#This Row],[Paid]]</f>
        <v>0</v>
      </c>
      <c r="K15" s="27">
        <v>45939</v>
      </c>
      <c r="L15">
        <v>106500</v>
      </c>
      <c r="M15">
        <v>0</v>
      </c>
    </row>
    <row r="16" spans="1:14" hidden="1" x14ac:dyDescent="0.3">
      <c r="A16" s="1">
        <v>45939</v>
      </c>
      <c r="B16" t="s">
        <v>132</v>
      </c>
      <c r="C16">
        <v>1</v>
      </c>
      <c r="D16">
        <v>1120</v>
      </c>
      <c r="E16">
        <f>Table8[[#This Row],[Rate]]*25</f>
        <v>28000</v>
      </c>
      <c r="F16" t="s">
        <v>423</v>
      </c>
      <c r="G16">
        <v>28000</v>
      </c>
      <c r="H16">
        <f>Table8[[#This Row],[Price]]-Table8[[#This Row],[Paid]]</f>
        <v>0</v>
      </c>
      <c r="K16" s="27">
        <v>45944</v>
      </c>
      <c r="L16">
        <v>118250</v>
      </c>
      <c r="M16">
        <v>0</v>
      </c>
    </row>
    <row r="17" spans="1:13" hidden="1" x14ac:dyDescent="0.3">
      <c r="A17" s="1">
        <v>45939</v>
      </c>
      <c r="B17" t="s">
        <v>152</v>
      </c>
      <c r="C17">
        <v>1</v>
      </c>
      <c r="D17">
        <v>1300</v>
      </c>
      <c r="E17">
        <f>Table8[[#This Row],[Rate]]*25</f>
        <v>32500</v>
      </c>
      <c r="F17" t="s">
        <v>423</v>
      </c>
      <c r="G17">
        <v>32500</v>
      </c>
      <c r="H17">
        <f>Table8[[#This Row],[Price]]-Table8[[#This Row],[Paid]]</f>
        <v>0</v>
      </c>
      <c r="K17" s="4" t="s">
        <v>106</v>
      </c>
      <c r="M17">
        <v>0</v>
      </c>
    </row>
    <row r="18" spans="1:13" hidden="1" x14ac:dyDescent="0.3">
      <c r="A18" s="1">
        <v>45944</v>
      </c>
      <c r="B18" t="s">
        <v>132</v>
      </c>
      <c r="C18">
        <v>1</v>
      </c>
      <c r="D18">
        <f>28000/25</f>
        <v>1120</v>
      </c>
      <c r="E18">
        <f>Table8[[#This Row],[Rate]]*25</f>
        <v>28000</v>
      </c>
      <c r="F18" t="s">
        <v>423</v>
      </c>
      <c r="H18">
        <f>Table8[[#This Row],[Price]]-Table8[[#This Row],[Paid]]</f>
        <v>28000</v>
      </c>
      <c r="K18" s="4" t="s">
        <v>28</v>
      </c>
      <c r="L18">
        <v>1003625</v>
      </c>
      <c r="M18">
        <v>640125</v>
      </c>
    </row>
    <row r="19" spans="1:13" hidden="1" x14ac:dyDescent="0.3">
      <c r="A19" s="1">
        <v>45944</v>
      </c>
      <c r="B19" t="s">
        <v>268</v>
      </c>
      <c r="C19">
        <v>1</v>
      </c>
      <c r="D19">
        <v>1120</v>
      </c>
      <c r="E19">
        <f>Table8[[#This Row],[Rate]]*25</f>
        <v>28000</v>
      </c>
      <c r="F19" t="s">
        <v>423</v>
      </c>
      <c r="H19">
        <f>Table8[[#This Row],[Price]]-Table8[[#This Row],[Paid]]</f>
        <v>28000</v>
      </c>
    </row>
    <row r="20" spans="1:13" hidden="1" x14ac:dyDescent="0.3">
      <c r="A20" s="1">
        <v>45944</v>
      </c>
      <c r="B20" t="s">
        <v>131</v>
      </c>
      <c r="C20">
        <v>1</v>
      </c>
      <c r="D20">
        <v>1140</v>
      </c>
      <c r="E20">
        <f>Table8[[#This Row],[Rate]]*25</f>
        <v>28500</v>
      </c>
      <c r="F20" t="s">
        <v>423</v>
      </c>
      <c r="H20">
        <f>Table8[[#This Row],[Price]]-Table8[[#This Row],[Paid]]</f>
        <v>28500</v>
      </c>
    </row>
    <row r="21" spans="1:13" hidden="1" x14ac:dyDescent="0.3">
      <c r="A21" s="1">
        <v>45944</v>
      </c>
      <c r="B21" t="s">
        <v>135</v>
      </c>
      <c r="C21">
        <v>1</v>
      </c>
      <c r="D21">
        <v>1350</v>
      </c>
      <c r="E21">
        <f>Table8[[#This Row],[Rate]]*25</f>
        <v>33750</v>
      </c>
      <c r="F21" t="s">
        <v>423</v>
      </c>
      <c r="H21">
        <f>Table8[[#This Row],[Price]]-Table8[[#This Row],[Paid]]</f>
        <v>33750</v>
      </c>
    </row>
    <row r="22" spans="1:13" hidden="1" x14ac:dyDescent="0.3">
      <c r="A22" s="1">
        <v>45944</v>
      </c>
      <c r="F22" t="s">
        <v>423</v>
      </c>
      <c r="G22">
        <v>118250</v>
      </c>
      <c r="H22">
        <f>Table8[[#This Row],[Price]]-Table8[[#This Row],[Paid]]</f>
        <v>-118250</v>
      </c>
    </row>
    <row r="23" spans="1:13" hidden="1" x14ac:dyDescent="0.3">
      <c r="H23">
        <f>Table8[[#This Row],[Price]]-Table8[[#This Row],[Paid]]</f>
        <v>0</v>
      </c>
    </row>
    <row r="24" spans="1:13" x14ac:dyDescent="0.3">
      <c r="E24">
        <f>SUBTOTAL(109,Table8[Price])</f>
        <v>432125</v>
      </c>
      <c r="H24">
        <f>SUBTOTAL(109,Table8[Balance])</f>
        <v>640125</v>
      </c>
    </row>
    <row r="32" spans="1:13" x14ac:dyDescent="0.3">
      <c r="L32" t="s">
        <v>178</v>
      </c>
    </row>
    <row r="33" spans="1:16" x14ac:dyDescent="0.3">
      <c r="A33" t="s">
        <v>57</v>
      </c>
      <c r="B33" t="s">
        <v>171</v>
      </c>
      <c r="C33" t="s">
        <v>172</v>
      </c>
      <c r="D33" t="s">
        <v>4</v>
      </c>
      <c r="E33" t="s">
        <v>173</v>
      </c>
      <c r="L33" t="s">
        <v>57</v>
      </c>
      <c r="M33" t="s">
        <v>171</v>
      </c>
      <c r="N33" t="s">
        <v>172</v>
      </c>
      <c r="O33" t="s">
        <v>4</v>
      </c>
      <c r="P33" t="s">
        <v>173</v>
      </c>
    </row>
    <row r="34" spans="1:16" x14ac:dyDescent="0.3">
      <c r="A34" t="s">
        <v>137</v>
      </c>
      <c r="D34">
        <v>1400</v>
      </c>
      <c r="E34">
        <f>Table2325[[#This Row],[Rate]]*Table2325[[#This Row],[kgs]]</f>
        <v>0</v>
      </c>
      <c r="L34" t="s">
        <v>137</v>
      </c>
      <c r="M34">
        <v>1</v>
      </c>
      <c r="N34">
        <v>25</v>
      </c>
      <c r="O34">
        <v>1400</v>
      </c>
      <c r="P34">
        <v>35000</v>
      </c>
    </row>
    <row r="35" spans="1:16" x14ac:dyDescent="0.3">
      <c r="A35" t="s">
        <v>135</v>
      </c>
      <c r="D35">
        <v>1340</v>
      </c>
      <c r="E35">
        <f>Table2325[[#This Row],[Rate]]*Table2325[[#This Row],[kgs]]</f>
        <v>0</v>
      </c>
      <c r="L35" t="s">
        <v>135</v>
      </c>
      <c r="M35">
        <v>1</v>
      </c>
      <c r="N35">
        <v>25</v>
      </c>
      <c r="O35">
        <v>1340</v>
      </c>
      <c r="P35">
        <v>33500</v>
      </c>
    </row>
    <row r="36" spans="1:16" x14ac:dyDescent="0.3">
      <c r="A36" t="s">
        <v>153</v>
      </c>
      <c r="B36">
        <v>1</v>
      </c>
      <c r="C36">
        <v>25</v>
      </c>
      <c r="D36">
        <v>1140</v>
      </c>
      <c r="E36">
        <f>Table2325[[#This Row],[Rate]]*Table2325[[#This Row],[kgs]]</f>
        <v>28500</v>
      </c>
      <c r="L36" t="s">
        <v>153</v>
      </c>
      <c r="M36">
        <v>2</v>
      </c>
      <c r="N36">
        <v>50</v>
      </c>
      <c r="O36">
        <v>1140</v>
      </c>
      <c r="P36">
        <v>57000</v>
      </c>
    </row>
    <row r="37" spans="1:16" x14ac:dyDescent="0.3">
      <c r="A37" t="s">
        <v>132</v>
      </c>
      <c r="D37">
        <v>1140</v>
      </c>
      <c r="E37">
        <f>Table2325[[#This Row],[Rate]]*Table2325[[#This Row],[kgs]]</f>
        <v>0</v>
      </c>
      <c r="L37" t="s">
        <v>132</v>
      </c>
      <c r="M37">
        <v>1</v>
      </c>
      <c r="N37">
        <v>25</v>
      </c>
      <c r="O37">
        <v>1140</v>
      </c>
      <c r="P37">
        <v>28500</v>
      </c>
    </row>
    <row r="38" spans="1:16" x14ac:dyDescent="0.3">
      <c r="A38" t="s">
        <v>131</v>
      </c>
      <c r="D38">
        <v>1130</v>
      </c>
      <c r="E38">
        <f>Table2325[[#This Row],[Rate]]*Table2325[[#This Row],[kgs]]</f>
        <v>0</v>
      </c>
      <c r="L38" t="s">
        <v>131</v>
      </c>
      <c r="M38">
        <v>2</v>
      </c>
      <c r="N38">
        <v>50</v>
      </c>
      <c r="O38">
        <v>1130</v>
      </c>
      <c r="P38">
        <v>56500</v>
      </c>
    </row>
    <row r="39" spans="1:16" x14ac:dyDescent="0.3">
      <c r="A39" t="s">
        <v>152</v>
      </c>
      <c r="B39">
        <v>1</v>
      </c>
      <c r="C39">
        <v>25</v>
      </c>
      <c r="D39">
        <v>1300</v>
      </c>
      <c r="E39">
        <f>Table2325[[#This Row],[Rate]]*Table2325[[#This Row],[kgs]]</f>
        <v>32500</v>
      </c>
      <c r="L39" t="s">
        <v>152</v>
      </c>
      <c r="M39">
        <v>1</v>
      </c>
      <c r="N39">
        <v>25</v>
      </c>
      <c r="O39">
        <v>1300</v>
      </c>
      <c r="P39">
        <v>32500</v>
      </c>
    </row>
    <row r="40" spans="1:16" x14ac:dyDescent="0.3">
      <c r="A40" t="s">
        <v>138</v>
      </c>
      <c r="D40">
        <v>1450</v>
      </c>
      <c r="E40">
        <f>Table2325[[#This Row],[Rate]]*Table2325[[#This Row],[kgs]]</f>
        <v>0</v>
      </c>
      <c r="L40" t="s">
        <v>138</v>
      </c>
      <c r="M40">
        <v>1</v>
      </c>
      <c r="N40">
        <v>25</v>
      </c>
      <c r="O40">
        <v>1450</v>
      </c>
      <c r="P40">
        <v>36250</v>
      </c>
    </row>
    <row r="41" spans="1:16" x14ac:dyDescent="0.3">
      <c r="A41" t="s">
        <v>174</v>
      </c>
      <c r="C41">
        <v>10</v>
      </c>
      <c r="D41">
        <v>940</v>
      </c>
      <c r="E41">
        <f>Table2325[[#This Row],[Rate]]*Table2325[[#This Row],[kgs]]</f>
        <v>9400</v>
      </c>
      <c r="L41" t="s">
        <v>174</v>
      </c>
      <c r="N41">
        <v>6</v>
      </c>
      <c r="O41">
        <v>940</v>
      </c>
      <c r="P41">
        <v>5640</v>
      </c>
    </row>
    <row r="42" spans="1:16" x14ac:dyDescent="0.3">
      <c r="A42" t="s">
        <v>131</v>
      </c>
      <c r="C42">
        <v>28</v>
      </c>
      <c r="D42">
        <v>1130</v>
      </c>
      <c r="E42">
        <f>Table2325[[#This Row],[Rate]]*Table2325[[#This Row],[kgs]]</f>
        <v>31640</v>
      </c>
      <c r="L42" t="s">
        <v>131</v>
      </c>
      <c r="N42">
        <v>8</v>
      </c>
      <c r="O42">
        <v>1130</v>
      </c>
      <c r="P42">
        <v>9040</v>
      </c>
    </row>
    <row r="43" spans="1:16" x14ac:dyDescent="0.3">
      <c r="A43" t="s">
        <v>152</v>
      </c>
      <c r="C43">
        <v>15</v>
      </c>
      <c r="D43">
        <v>1300</v>
      </c>
      <c r="E43">
        <f>Table2325[[#This Row],[Rate]]*Table2325[[#This Row],[kgs]]</f>
        <v>19500</v>
      </c>
      <c r="L43" t="s">
        <v>152</v>
      </c>
      <c r="N43">
        <v>10</v>
      </c>
      <c r="O43">
        <v>1300</v>
      </c>
      <c r="P43">
        <v>13000</v>
      </c>
    </row>
    <row r="44" spans="1:16" x14ac:dyDescent="0.3">
      <c r="A44" t="s">
        <v>139</v>
      </c>
      <c r="B44">
        <v>1</v>
      </c>
      <c r="C44">
        <f>25+10</f>
        <v>35</v>
      </c>
      <c r="D44">
        <v>1650</v>
      </c>
      <c r="E44">
        <f>Table2325[[#This Row],[Rate]]*Table2325[[#This Row],[kgs]]</f>
        <v>57750</v>
      </c>
      <c r="L44" t="s">
        <v>139</v>
      </c>
      <c r="N44">
        <v>9</v>
      </c>
      <c r="O44">
        <v>1650</v>
      </c>
      <c r="P44">
        <v>14850</v>
      </c>
    </row>
    <row r="45" spans="1:16" x14ac:dyDescent="0.3">
      <c r="A45" t="s">
        <v>135</v>
      </c>
      <c r="C45">
        <v>23</v>
      </c>
      <c r="D45">
        <v>1340</v>
      </c>
      <c r="E45">
        <f>Table2325[[#This Row],[Rate]]*Table2325[[#This Row],[kgs]]</f>
        <v>30820</v>
      </c>
      <c r="L45" t="s">
        <v>135</v>
      </c>
      <c r="N45">
        <v>5</v>
      </c>
      <c r="O45">
        <v>1340</v>
      </c>
      <c r="P45">
        <v>6700</v>
      </c>
    </row>
    <row r="46" spans="1:16" x14ac:dyDescent="0.3">
      <c r="A46" t="s">
        <v>138</v>
      </c>
      <c r="B46">
        <v>1</v>
      </c>
      <c r="C46">
        <v>25</v>
      </c>
      <c r="D46">
        <v>1450</v>
      </c>
      <c r="E46">
        <f>Table2325[[#This Row],[Rate]]*Table2325[[#This Row],[kgs]]</f>
        <v>36250</v>
      </c>
      <c r="L46" t="s">
        <v>138</v>
      </c>
      <c r="N46">
        <v>20</v>
      </c>
      <c r="O46">
        <v>1450</v>
      </c>
      <c r="P46">
        <v>29000</v>
      </c>
    </row>
    <row r="47" spans="1:16" x14ac:dyDescent="0.3">
      <c r="A47" t="s">
        <v>137</v>
      </c>
      <c r="C47">
        <f>25+20</f>
        <v>45</v>
      </c>
      <c r="D47">
        <v>1400</v>
      </c>
      <c r="E47">
        <f>Table2325[[#This Row],[Rate]]*Table2325[[#This Row],[kgs]]</f>
        <v>63000</v>
      </c>
      <c r="L47" t="s">
        <v>137</v>
      </c>
      <c r="N47">
        <v>8</v>
      </c>
      <c r="O47">
        <v>1400</v>
      </c>
      <c r="P47">
        <v>11200</v>
      </c>
    </row>
    <row r="48" spans="1:16" x14ac:dyDescent="0.3">
      <c r="A48" t="s">
        <v>175</v>
      </c>
      <c r="D48">
        <v>1000</v>
      </c>
      <c r="E48">
        <f>Table2325[[#This Row],[Rate]]*Table2325[[#This Row],[kgs]]</f>
        <v>0</v>
      </c>
      <c r="L48" t="s">
        <v>175</v>
      </c>
      <c r="N48">
        <v>2</v>
      </c>
      <c r="O48">
        <v>1000</v>
      </c>
      <c r="P48">
        <v>2000</v>
      </c>
    </row>
    <row r="49" spans="1:16" x14ac:dyDescent="0.3">
      <c r="A49" t="s">
        <v>136</v>
      </c>
      <c r="B49">
        <v>1</v>
      </c>
      <c r="C49">
        <f>25+6</f>
        <v>31</v>
      </c>
      <c r="D49">
        <v>1650</v>
      </c>
      <c r="E49">
        <f>Table2325[[#This Row],[Rate]]*Table2325[[#This Row],[kgs]]</f>
        <v>51150</v>
      </c>
      <c r="L49" t="s">
        <v>136</v>
      </c>
      <c r="N49">
        <v>20</v>
      </c>
      <c r="O49">
        <v>1650</v>
      </c>
      <c r="P49">
        <v>33000</v>
      </c>
    </row>
    <row r="50" spans="1:16" x14ac:dyDescent="0.3">
      <c r="A50" t="s">
        <v>118</v>
      </c>
      <c r="C50">
        <v>24</v>
      </c>
      <c r="D50">
        <v>1130</v>
      </c>
      <c r="E50">
        <f>Table2325[[#This Row],[Rate]]*Table2325[[#This Row],[kgs]]</f>
        <v>27120</v>
      </c>
      <c r="L50" t="s">
        <v>118</v>
      </c>
      <c r="N50">
        <v>15</v>
      </c>
      <c r="O50">
        <v>1130</v>
      </c>
      <c r="P50">
        <v>16950</v>
      </c>
    </row>
    <row r="51" spans="1:16" x14ac:dyDescent="0.3">
      <c r="A51" t="s">
        <v>160</v>
      </c>
      <c r="C51">
        <v>22</v>
      </c>
      <c r="D51">
        <v>3100</v>
      </c>
      <c r="E51">
        <f>Table2325[[#This Row],[Rate]]*Table2325[[#This Row],[kgs]]</f>
        <v>68200</v>
      </c>
      <c r="L51" t="s">
        <v>160</v>
      </c>
      <c r="N51">
        <v>25</v>
      </c>
      <c r="O51">
        <v>3100</v>
      </c>
      <c r="P51">
        <v>77500</v>
      </c>
    </row>
    <row r="52" spans="1:16" x14ac:dyDescent="0.3">
      <c r="A52" t="s">
        <v>132</v>
      </c>
      <c r="C52">
        <v>15</v>
      </c>
      <c r="D52">
        <v>1140</v>
      </c>
      <c r="E52">
        <f>Table2325[[#This Row],[Rate]]*Table2325[[#This Row],[kgs]]</f>
        <v>17100</v>
      </c>
      <c r="L52" t="s">
        <v>132</v>
      </c>
      <c r="N52">
        <v>10</v>
      </c>
      <c r="O52">
        <v>1140</v>
      </c>
      <c r="P52">
        <v>11400</v>
      </c>
    </row>
    <row r="53" spans="1:16" x14ac:dyDescent="0.3">
      <c r="A53" t="s">
        <v>153</v>
      </c>
      <c r="C53">
        <v>20</v>
      </c>
      <c r="D53">
        <v>1140</v>
      </c>
      <c r="E53">
        <f>Table2325[[#This Row],[Rate]]*Table2325[[#This Row],[kgs]]</f>
        <v>22800</v>
      </c>
      <c r="L53" t="s">
        <v>153</v>
      </c>
      <c r="N53">
        <v>5</v>
      </c>
      <c r="O53">
        <v>1140</v>
      </c>
      <c r="P53">
        <v>5700</v>
      </c>
    </row>
    <row r="54" spans="1:16" x14ac:dyDescent="0.3">
      <c r="A54" t="s">
        <v>176</v>
      </c>
      <c r="D54">
        <v>1000</v>
      </c>
      <c r="E54">
        <f>Table2325[[#This Row],[Rate]]*Table2325[[#This Row],[kgs]]</f>
        <v>0</v>
      </c>
      <c r="L54" t="s">
        <v>176</v>
      </c>
      <c r="N54">
        <v>9</v>
      </c>
      <c r="O54">
        <v>1000</v>
      </c>
      <c r="P54">
        <v>9000</v>
      </c>
    </row>
    <row r="55" spans="1:16" x14ac:dyDescent="0.3">
      <c r="A55" t="s">
        <v>177</v>
      </c>
      <c r="C55">
        <v>10</v>
      </c>
      <c r="D55">
        <v>1000</v>
      </c>
      <c r="E55">
        <f>Table2325[[#This Row],[Rate]]*Table2325[[#This Row],[kgs]]</f>
        <v>10000</v>
      </c>
      <c r="L55" t="s">
        <v>177</v>
      </c>
      <c r="N55">
        <v>10</v>
      </c>
      <c r="O55">
        <v>1000</v>
      </c>
      <c r="P55">
        <v>10000</v>
      </c>
    </row>
    <row r="56" spans="1:16" x14ac:dyDescent="0.3">
      <c r="P56">
        <v>534230</v>
      </c>
    </row>
    <row r="57" spans="1:16" x14ac:dyDescent="0.3">
      <c r="E57">
        <f>SUM(Table2325[total])</f>
        <v>505730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29"/>
  <sheetViews>
    <sheetView zoomScale="79" workbookViewId="0">
      <selection activeCell="F23" sqref="F23"/>
    </sheetView>
  </sheetViews>
  <sheetFormatPr defaultRowHeight="14.4" x14ac:dyDescent="0.3"/>
  <cols>
    <col min="1" max="1" width="25.109375" customWidth="1"/>
    <col min="2" max="2" width="18"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75</v>
      </c>
      <c r="B4" s="8" t="s">
        <v>2</v>
      </c>
      <c r="C4" s="2" t="s">
        <v>140</v>
      </c>
      <c r="D4" s="2" t="s">
        <v>127</v>
      </c>
      <c r="E4" s="8" t="s">
        <v>141</v>
      </c>
      <c r="F4" s="8" t="s">
        <v>128</v>
      </c>
      <c r="G4" s="8" t="s">
        <v>95</v>
      </c>
      <c r="H4" s="8" t="s">
        <v>18</v>
      </c>
      <c r="J4" s="3" t="s">
        <v>6</v>
      </c>
      <c r="K4" t="s">
        <v>133</v>
      </c>
      <c r="L4" t="s">
        <v>104</v>
      </c>
      <c r="M4" t="s">
        <v>134</v>
      </c>
    </row>
    <row r="5" spans="1:13" x14ac:dyDescent="0.3">
      <c r="A5" s="93">
        <v>45916</v>
      </c>
      <c r="B5" s="93" t="s">
        <v>123</v>
      </c>
      <c r="C5" s="90" t="s">
        <v>161</v>
      </c>
      <c r="D5" s="90"/>
      <c r="E5" s="90"/>
      <c r="F5" s="90">
        <f>Table2[[#This Row],[Quantity]]*250</f>
        <v>0</v>
      </c>
      <c r="G5" s="90">
        <f>SUMIFS(Table14[Debit], Table14[Date], Table2[[#This Row],[Date]], Table14[Party], Table2[[#This Row],[Party Name]],Table14[Description],Table2[[#This Row],[Item]])</f>
        <v>0</v>
      </c>
      <c r="H5" s="90">
        <v>310500</v>
      </c>
      <c r="J5" s="4" t="s">
        <v>122</v>
      </c>
      <c r="K5">
        <v>0</v>
      </c>
      <c r="L5">
        <v>0</v>
      </c>
      <c r="M5">
        <v>-5000</v>
      </c>
    </row>
    <row r="6" spans="1:13" x14ac:dyDescent="0.3">
      <c r="A6" s="93">
        <v>45916</v>
      </c>
      <c r="B6" s="93" t="s">
        <v>122</v>
      </c>
      <c r="C6" s="90" t="s">
        <v>161</v>
      </c>
      <c r="D6" s="90"/>
      <c r="E6" s="90"/>
      <c r="F6" s="90">
        <f>Table2[[#This Row],[Quantity]]*250</f>
        <v>0</v>
      </c>
      <c r="G6" s="90">
        <f>SUMIFS(Table14[Debit], Table14[Date], Table2[[#This Row],[Date]], Table14[Party], Table2[[#This Row],[Party Name]],Table14[Description],Table2[[#This Row],[Item]])</f>
        <v>0</v>
      </c>
      <c r="H6" s="90">
        <v>-5000</v>
      </c>
      <c r="J6" s="4" t="s">
        <v>123</v>
      </c>
      <c r="K6">
        <v>1082250</v>
      </c>
      <c r="L6">
        <v>1082250</v>
      </c>
      <c r="M6">
        <v>310500</v>
      </c>
    </row>
    <row r="7" spans="1:13" x14ac:dyDescent="0.3">
      <c r="A7" s="1">
        <v>45920</v>
      </c>
      <c r="B7" s="1" t="s">
        <v>209</v>
      </c>
      <c r="C7" t="s">
        <v>210</v>
      </c>
      <c r="E7">
        <v>250</v>
      </c>
      <c r="F7">
        <f>Table2[[#This Row],[Quantity]]*250</f>
        <v>62500</v>
      </c>
      <c r="G7">
        <v>60000</v>
      </c>
      <c r="H7">
        <f>Table2[[#This Row],[Price]]-Table2[[#This Row],[Paid]]-2500</f>
        <v>0</v>
      </c>
      <c r="J7" s="4" t="s">
        <v>209</v>
      </c>
      <c r="K7">
        <v>62500</v>
      </c>
      <c r="L7">
        <v>60000</v>
      </c>
      <c r="M7">
        <v>0</v>
      </c>
    </row>
    <row r="8" spans="1:13" x14ac:dyDescent="0.3">
      <c r="A8" s="1">
        <v>45922</v>
      </c>
      <c r="B8" s="1" t="s">
        <v>123</v>
      </c>
      <c r="C8" t="s">
        <v>61</v>
      </c>
      <c r="G8">
        <f>SUMIFS(Table14[Debit], Table14[Date], Table2[[#This Row],[Date]], Table14[Party], Table2[[#This Row],[Party Name]],Table14[Description],Table2[[#This Row],[Item]])</f>
        <v>310500</v>
      </c>
      <c r="H8">
        <f>Table2[[#This Row],[Price]]-Table2[[#This Row],[Paid]]</f>
        <v>-310500</v>
      </c>
      <c r="J8" s="4" t="s">
        <v>28</v>
      </c>
      <c r="K8">
        <v>1144750</v>
      </c>
      <c r="L8">
        <v>1142250</v>
      </c>
      <c r="M8">
        <v>305500</v>
      </c>
    </row>
    <row r="9" spans="1:13" x14ac:dyDescent="0.3">
      <c r="A9" s="1">
        <v>45925</v>
      </c>
      <c r="B9" s="1" t="s">
        <v>123</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123</v>
      </c>
      <c r="C10" t="s">
        <v>261</v>
      </c>
      <c r="D10">
        <v>45</v>
      </c>
      <c r="F10">
        <v>353250</v>
      </c>
      <c r="G10">
        <v>353250</v>
      </c>
      <c r="H10">
        <f>Table2[[#This Row],[Price]]-Table2[[#This Row],[Paid]]</f>
        <v>0</v>
      </c>
    </row>
    <row r="11" spans="1:13" x14ac:dyDescent="0.3">
      <c r="A11" s="1">
        <v>45930</v>
      </c>
      <c r="B11" s="1" t="s">
        <v>123</v>
      </c>
      <c r="C11" t="s">
        <v>191</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123</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123</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123</v>
      </c>
      <c r="C14" t="s">
        <v>191</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123</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v>45945</v>
      </c>
      <c r="B16" s="1" t="s">
        <v>123</v>
      </c>
      <c r="C16" t="s">
        <v>61</v>
      </c>
      <c r="D16">
        <v>45</v>
      </c>
      <c r="F16">
        <v>353250</v>
      </c>
      <c r="G16">
        <f>SUMIFS(Table14[Debit], Table14[Date], Table2[[#This Row],[Date]], Table14[Party], Table2[[#This Row],[Party Name]],Table14[Description],Table2[[#This Row],[Item]])</f>
        <v>0</v>
      </c>
      <c r="H16">
        <f>Table2[[#This Row],[Price]]-Table2[[#This Row],[Paid]]</f>
        <v>353250</v>
      </c>
    </row>
    <row r="17" spans="1:8" x14ac:dyDescent="0.3">
      <c r="A17" s="1"/>
      <c r="F17">
        <f>SUBTOTAL(109,Table2[Price])</f>
        <v>1187500</v>
      </c>
      <c r="G17">
        <f>SUBTOTAL(109,Table2[Paid])</f>
        <v>1142250</v>
      </c>
      <c r="H17">
        <f>SUBTOTAL(109,Table2[Balance])</f>
        <v>348250</v>
      </c>
    </row>
    <row r="22" spans="1:8" x14ac:dyDescent="0.3">
      <c r="A22" t="s">
        <v>57</v>
      </c>
    </row>
    <row r="23" spans="1:8" x14ac:dyDescent="0.3">
      <c r="A23" t="s">
        <v>61</v>
      </c>
      <c r="B23">
        <f>7750*16</f>
        <v>124000</v>
      </c>
    </row>
    <row r="24" spans="1:8" x14ac:dyDescent="0.3">
      <c r="A24" t="s">
        <v>61</v>
      </c>
      <c r="B24">
        <f>353250</f>
        <v>353250</v>
      </c>
    </row>
    <row r="25" spans="1:8" x14ac:dyDescent="0.3">
      <c r="A25" t="s">
        <v>191</v>
      </c>
      <c r="B25">
        <f>(82000/3)*2</f>
        <v>54666.666666666664</v>
      </c>
    </row>
    <row r="28" spans="1:8" ht="21" x14ac:dyDescent="0.4">
      <c r="A28" s="120" t="s">
        <v>448</v>
      </c>
      <c r="B28" s="121">
        <f>SUM(B23:B25)</f>
        <v>531916.66666666663</v>
      </c>
    </row>
    <row r="29" spans="1:8" ht="21" x14ac:dyDescent="0.4">
      <c r="A29" s="120" t="s">
        <v>449</v>
      </c>
      <c r="B29" s="121">
        <v>247000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142</v>
      </c>
      <c r="D2" t="s">
        <v>143</v>
      </c>
      <c r="E2" t="s">
        <v>5</v>
      </c>
    </row>
    <row r="3" spans="2:5" x14ac:dyDescent="0.3">
      <c r="B3" s="19" t="s">
        <v>420</v>
      </c>
      <c r="C3" s="19" t="s">
        <v>100</v>
      </c>
      <c r="D3" s="19" t="s">
        <v>100</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abSelected="1" topLeftCell="A22" zoomScale="118" workbookViewId="0">
      <selection activeCell="B36" sqref="B3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144</v>
      </c>
      <c r="J2" t="s">
        <v>145</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180</v>
      </c>
      <c r="M3" t="s">
        <v>321</v>
      </c>
      <c r="N3" t="s">
        <v>322</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181</v>
      </c>
      <c r="N4" t="s">
        <v>323</v>
      </c>
    </row>
    <row r="5" spans="2:15" x14ac:dyDescent="0.3">
      <c r="B5" s="1">
        <v>45918</v>
      </c>
      <c r="C5" s="20">
        <f>SUMIFS(Table14[Debit], Table14[Date], Table11[[#This Row],[Date]], Table14[Party],"Salary ", Table14[Description],Table11[[#This Row],[Column1]])</f>
        <v>0</v>
      </c>
      <c r="H5" s="1">
        <v>45917</v>
      </c>
      <c r="I5">
        <f>SUMIFS(Table14[Debit], Table14[Date], Table16[[#This Row],[Date]], Table14[Party], "Advance Salary", Table14[Description], Table16[[#This Row],[Person]] )</f>
        <v>2000</v>
      </c>
      <c r="J5" t="s">
        <v>180</v>
      </c>
      <c r="N5" t="s">
        <v>324</v>
      </c>
      <c r="O5" t="s">
        <v>325</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203</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207</v>
      </c>
    </row>
    <row r="9" spans="2:15" x14ac:dyDescent="0.3">
      <c r="B9" s="1">
        <v>45922</v>
      </c>
      <c r="C9" s="20">
        <f>SUMIFS(Table14[Debit], Table14[Date], Table11[[#This Row],[Date]], Table14[Party],"Salary", Table14[Description],Table11[[#This Row],[Column1]])</f>
        <v>10000</v>
      </c>
      <c r="D9" t="s">
        <v>223</v>
      </c>
      <c r="H9" s="1">
        <v>45922</v>
      </c>
      <c r="I9">
        <f>SUMIFS(Table14[Debit], Table14[Date], Table16[[#This Row],[Date]], Table14[Party], "Advance Salary", Table14[Description], Table16[[#This Row],[Person]] )</f>
        <v>2000</v>
      </c>
      <c r="J9" t="s">
        <v>224</v>
      </c>
    </row>
    <row r="10" spans="2:15" x14ac:dyDescent="0.3">
      <c r="B10" s="1">
        <v>45923</v>
      </c>
      <c r="C10" s="20">
        <f>SUMIFS(Table14[Debit], Table14[Date], Table11[[#This Row],[Date]], Table14[Party],"Salary", Table14[Description],Table11[[#This Row],[Column1]])</f>
        <v>14000</v>
      </c>
      <c r="D10" t="s">
        <v>234</v>
      </c>
      <c r="H10" s="1">
        <v>45923</v>
      </c>
      <c r="I10">
        <f>SUMIFS(Table14[Debit], Table14[Date], Table16[[#This Row],[Date]], Table14[Party], "Advance Salary", Table14[Description], Table16[[#This Row],[Person]] )</f>
        <v>1000</v>
      </c>
      <c r="J10" t="s">
        <v>235</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180</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181</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316</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383</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203</v>
      </c>
    </row>
    <row r="25" spans="2:10" x14ac:dyDescent="0.3">
      <c r="B25" s="1">
        <v>45944</v>
      </c>
      <c r="C25" s="20">
        <f>SUMIFS(Table14[Debit], Table14[Date], Table11[[#This Row],[Date]], Table14[Party],"Salary", Table14[Description],Table11[[#This Row],[Column1]])</f>
        <v>511272</v>
      </c>
      <c r="D25" t="s">
        <v>256</v>
      </c>
      <c r="H25" s="1">
        <v>45937</v>
      </c>
      <c r="I25">
        <f>SUMIFS(Table14[Debit], Table14[Date], Table16[[#This Row],[Date]], Table14[Party], "Advance Salary", Table14[Description], Table16[[#This Row],[Person]] )</f>
        <v>4000</v>
      </c>
      <c r="J25" t="s">
        <v>286</v>
      </c>
    </row>
    <row r="26" spans="2:10" x14ac:dyDescent="0.3">
      <c r="B26" s="1">
        <v>45944</v>
      </c>
      <c r="C26" s="20">
        <f>SUMIFS(Table14[Debit], Table14[Date], Table11[[#This Row],[Date]], Table14[Party],"Salary", Table14[Description],Table11[[#This Row],[Column1]])</f>
        <v>40000</v>
      </c>
      <c r="D26" t="s">
        <v>207</v>
      </c>
      <c r="H26" s="1">
        <v>45938</v>
      </c>
      <c r="I26">
        <f>SUMIFS(Table14[Debit], Table14[Date], Table16[[#This Row],[Date]], Table14[Party], "Advance Salary", Table14[Description], Table16[[#This Row],[Person]] )</f>
        <v>1500</v>
      </c>
      <c r="J26" t="s">
        <v>383</v>
      </c>
    </row>
    <row r="27" spans="2:10" x14ac:dyDescent="0.3">
      <c r="B27" s="1">
        <v>45944</v>
      </c>
      <c r="C27" s="20">
        <f>SUMIFS(Table14[Debit], Table14[Date], Table11[[#This Row],[Date]], Table14[Party],"Salary", Table14[Description],Table11[[#This Row],[Column1]])</f>
        <v>13000</v>
      </c>
      <c r="D27" t="s">
        <v>421</v>
      </c>
      <c r="H27" s="1">
        <v>45938</v>
      </c>
      <c r="I27">
        <f>SUMIFS(Table14[Debit], Table14[Date], Table16[[#This Row],[Date]], Table14[Party], "Advance Salary", Table14[Description], Table16[[#This Row],[Person]] )</f>
        <v>500</v>
      </c>
      <c r="J27" t="s">
        <v>390</v>
      </c>
    </row>
    <row r="28" spans="2:10" x14ac:dyDescent="0.3">
      <c r="B28" s="1">
        <v>45944</v>
      </c>
      <c r="C28" s="20">
        <f>SUMIFS(Table14[Debit], Table14[Date], Table11[[#This Row],[Date]], Table14[Party],"Salary", Table14[Description],Table11[[#This Row],[Column1]])</f>
        <v>2000</v>
      </c>
      <c r="D28" t="s">
        <v>422</v>
      </c>
      <c r="H28" s="1">
        <v>45939</v>
      </c>
      <c r="I28">
        <f>SUMIFS(Table14[Debit], Table14[Date], Table16[[#This Row],[Date]], Table14[Party], "Advance Salary", Table14[Description], Table16[[#This Row],[Person]] )</f>
        <v>1500</v>
      </c>
      <c r="J28" t="s">
        <v>381</v>
      </c>
    </row>
    <row r="29" spans="2:10" x14ac:dyDescent="0.3">
      <c r="B29" s="1">
        <v>45944</v>
      </c>
      <c r="C29" s="20">
        <f>SUMIFS(Table14[Debit], Table14[Date], Table11[[#This Row],[Date]], Table14[Party],"Salary", Table14[Description],Table11[[#This Row],[Column1]])</f>
        <v>10000</v>
      </c>
      <c r="D29" t="s">
        <v>407</v>
      </c>
      <c r="H29" s="1">
        <v>45939</v>
      </c>
      <c r="I29">
        <f>SUMIFS(Table14[Debit], Table14[Date], Table16[[#This Row],[Date]], Table14[Party], "Advance Salary", Table14[Description], Table16[[#This Row],[Person]] )</f>
        <v>500</v>
      </c>
      <c r="J29" t="s">
        <v>382</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207</v>
      </c>
    </row>
    <row r="31" spans="2:10" x14ac:dyDescent="0.3">
      <c r="B31" s="1">
        <v>45945</v>
      </c>
      <c r="C31" s="20">
        <f>SUMIFS(Table14[Debit], Table14[Date], Table11[[#This Row],[Date]], Table14[Party],"Salary", Table14[Description],Table11[[#This Row],[Column1]])</f>
        <v>50000</v>
      </c>
      <c r="D31" t="s">
        <v>207</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40000</v>
      </c>
      <c r="D32" t="s">
        <v>203</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283668</v>
      </c>
      <c r="D33" t="s">
        <v>256</v>
      </c>
      <c r="H33" s="1">
        <v>45946</v>
      </c>
      <c r="I33">
        <f>SUMIFS(Table14[Debit], Table14[Date], Table16[[#This Row],[Date]], Table14[Party], "Advance Salary", Table14[Description], Table16[[#This Row],[Person]] )</f>
        <v>0</v>
      </c>
    </row>
    <row r="34" spans="2:9" x14ac:dyDescent="0.3">
      <c r="B34" s="1">
        <v>45955</v>
      </c>
      <c r="C34" s="20">
        <f>SUMIFS(Table14[Debit], Table14[Date], Table11[[#This Row],[Date]], Table14[Party],"Salary", Table14[Description],Table11[[#This Row],[Column1]])</f>
        <v>20000</v>
      </c>
      <c r="D34" t="s">
        <v>451</v>
      </c>
      <c r="H34" s="1">
        <v>45947</v>
      </c>
      <c r="I34">
        <f>SUMIFS(Table14[Debit], Table14[Date], Table16[[#This Row],[Date]], Table14[Party], "Advance Salary", Table14[Description], Table16[[#This Row],[Person]] )</f>
        <v>0</v>
      </c>
    </row>
    <row r="35" spans="2:9" x14ac:dyDescent="0.3">
      <c r="B35" s="1">
        <v>45956</v>
      </c>
      <c r="C35" s="20">
        <f>SUMIFS(Table14[Debit], Table14[Date], Table11[[#This Row],[Date]], Table14[Party],"Salary", Table14[Description],Table11[[#This Row],[Column1]])</f>
        <v>5000</v>
      </c>
      <c r="D35" t="s">
        <v>453</v>
      </c>
      <c r="H35" s="1"/>
      <c r="I35">
        <f>SUBTOTAL(109,Table16[Advance])</f>
        <v>76000</v>
      </c>
    </row>
    <row r="36" spans="2:9" x14ac:dyDescent="0.3">
      <c r="B36" s="1">
        <v>45949</v>
      </c>
      <c r="C36" s="20">
        <f>SUMIFS(Table14[Debit], Table14[Date], Table11[[#This Row],[Date]], Table14[Party],"Salary", Table14[Description],Table11[[#This Row],[Column1]])</f>
        <v>0</v>
      </c>
    </row>
    <row r="37" spans="2:9" x14ac:dyDescent="0.3">
      <c r="B37" s="1"/>
      <c r="C37" s="26">
        <f>SUM(Table11[Amount])</f>
        <v>998940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88</v>
      </c>
      <c r="C1" s="14"/>
    </row>
    <row r="2" spans="1:12" x14ac:dyDescent="0.3">
      <c r="A2" s="36" t="s">
        <v>28</v>
      </c>
      <c r="B2" s="38">
        <f>SUM(B4:INDEX(B:B, MATCH(1E+100, B:B)-1))</f>
        <v>1902618.0197512801</v>
      </c>
      <c r="C2" s="37">
        <f>GETPIVOTDATA("Sum of Tiyaar/gaz",$A$3)</f>
        <v>2023088</v>
      </c>
      <c r="D2" s="36">
        <f>((B2*48)+((C2/1.0936)*10))/C2</f>
        <v>54.285827691161025</v>
      </c>
      <c r="J2">
        <v>48</v>
      </c>
    </row>
    <row r="3" spans="1:12" x14ac:dyDescent="0.3">
      <c r="A3" s="39" t="s">
        <v>146</v>
      </c>
      <c r="B3" s="40" t="s">
        <v>147</v>
      </c>
      <c r="C3" s="41" t="s">
        <v>89</v>
      </c>
      <c r="D3" s="37" t="s">
        <v>148</v>
      </c>
      <c r="E3" s="11" t="s">
        <v>149</v>
      </c>
      <c r="F3" s="11" t="str">
        <f t="shared" ref="F3:F38" si="0">C3</f>
        <v>Sum of Tiyaar/gaz</v>
      </c>
      <c r="G3" s="85" t="s">
        <v>82</v>
      </c>
      <c r="H3" s="11" t="s">
        <v>150</v>
      </c>
      <c r="I3" s="34" t="s">
        <v>151</v>
      </c>
    </row>
    <row r="4" spans="1:12" x14ac:dyDescent="0.3">
      <c r="A4" s="16" t="s">
        <v>106</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226</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246</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247</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248</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249</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278</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52914</v>
      </c>
      <c r="D59" s="33">
        <f t="shared" ref="D59:D73" si="25">I59</f>
        <v>54.974250663987519</v>
      </c>
      <c r="E59" s="11">
        <f t="shared" ref="E59:E73" si="26">B59 * 1.0936</f>
        <v>55250.859199999992</v>
      </c>
      <c r="F59" s="11">
        <f t="shared" ref="F59:F73" si="27">C59</f>
        <v>52914</v>
      </c>
      <c r="G59" s="86">
        <f t="shared" ref="G59:G73" si="28">100- (F59/E59 *100)</f>
        <v>4.2295436375765689</v>
      </c>
      <c r="H59" s="33">
        <f t="shared" ref="H59:H73" si="29">F59/1.0936</f>
        <v>48385.149963423559</v>
      </c>
      <c r="I59" s="33">
        <f t="shared" ref="I59:I73" si="30">((B59*48)+(H59*10))/C59</f>
        <v>54.974250663987519</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391</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416</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417</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418</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419</v>
      </c>
      <c r="B85" s="14">
        <v>19457</v>
      </c>
      <c r="C85" s="14">
        <v>21115</v>
      </c>
      <c r="D85" s="33">
        <f t="shared" ref="D85:D119" si="37">I85</f>
        <v>53.375037074466455</v>
      </c>
      <c r="E85" s="11">
        <f t="shared" ref="E85:E119" si="38">B85 * 1.0936</f>
        <v>21278.175199999998</v>
      </c>
      <c r="F85" s="11">
        <f t="shared" ref="F85:F119" si="39">C85</f>
        <v>21115</v>
      </c>
      <c r="G85" s="86">
        <f t="shared" ref="G85:G119" si="40">100- (F85/E85 *100)</f>
        <v>0.76686651212457946</v>
      </c>
      <c r="H85" s="33">
        <f t="shared" ref="H85:H119" si="41">F85/1.0936</f>
        <v>19307.790782735919</v>
      </c>
      <c r="I85" s="33">
        <f t="shared" ref="I85:I119" si="42">((B85*48)+(H85*10))/C85</f>
        <v>53.375037074466455</v>
      </c>
    </row>
    <row r="86" spans="1:9" x14ac:dyDescent="0.3">
      <c r="A86" s="16">
        <v>1783</v>
      </c>
      <c r="B86" s="14">
        <v>16027</v>
      </c>
      <c r="C86" s="14">
        <v>17079</v>
      </c>
      <c r="D86" s="33">
        <f t="shared" si="37"/>
        <v>54.187497807533504</v>
      </c>
      <c r="E86" s="11">
        <f t="shared" si="38"/>
        <v>17527.127199999999</v>
      </c>
      <c r="F86" s="11">
        <f t="shared" si="39"/>
        <v>17079</v>
      </c>
      <c r="G86" s="86">
        <f t="shared" si="40"/>
        <v>2.5567635522152159</v>
      </c>
      <c r="H86" s="33">
        <f t="shared" si="41"/>
        <v>15617.227505486468</v>
      </c>
      <c r="I86" s="33">
        <f t="shared" si="42"/>
        <v>54.187497807533504</v>
      </c>
    </row>
    <row r="87" spans="1:9" x14ac:dyDescent="0.3">
      <c r="A87" s="16">
        <v>1790</v>
      </c>
      <c r="B87" s="14">
        <v>15060</v>
      </c>
      <c r="C87" s="14">
        <v>16263</v>
      </c>
      <c r="D87" s="33">
        <f t="shared" si="37"/>
        <v>53.593474778446335</v>
      </c>
      <c r="E87" s="11">
        <f t="shared" si="38"/>
        <v>16469.615999999998</v>
      </c>
      <c r="F87" s="11">
        <f t="shared" si="39"/>
        <v>16263</v>
      </c>
      <c r="G87" s="86">
        <f t="shared" si="40"/>
        <v>1.2545283387299264</v>
      </c>
      <c r="H87" s="33">
        <f t="shared" si="41"/>
        <v>14871.068032187273</v>
      </c>
      <c r="I87" s="33">
        <f t="shared" si="42"/>
        <v>53.593474778446335</v>
      </c>
    </row>
    <row r="88" spans="1:9" x14ac:dyDescent="0.3">
      <c r="A88" s="16">
        <v>1794</v>
      </c>
      <c r="B88" s="14">
        <v>7501</v>
      </c>
      <c r="C88" s="14">
        <v>8052</v>
      </c>
      <c r="D88" s="33">
        <f t="shared" si="37"/>
        <v>53.859461415939045</v>
      </c>
      <c r="E88" s="11">
        <f t="shared" si="38"/>
        <v>8203.0936000000002</v>
      </c>
      <c r="F88" s="11">
        <f t="shared" si="39"/>
        <v>8052</v>
      </c>
      <c r="G88" s="86">
        <f t="shared" si="40"/>
        <v>1.8419099838139203</v>
      </c>
      <c r="H88" s="33">
        <f t="shared" si="41"/>
        <v>7362.8383321141191</v>
      </c>
      <c r="I88" s="33">
        <f t="shared" si="42"/>
        <v>53.859461415939045</v>
      </c>
    </row>
    <row r="89" spans="1:9" x14ac:dyDescent="0.3">
      <c r="A89" s="16">
        <v>1802</v>
      </c>
      <c r="B89" s="14">
        <v>6006</v>
      </c>
      <c r="C89" s="14">
        <v>6589</v>
      </c>
      <c r="D89" s="33">
        <f t="shared" si="37"/>
        <v>52.897032728285261</v>
      </c>
      <c r="E89" s="11">
        <f t="shared" si="38"/>
        <v>6568.1615999999995</v>
      </c>
      <c r="F89" s="11">
        <f t="shared" si="39"/>
        <v>6589</v>
      </c>
      <c r="G89" s="86">
        <f t="shared" si="40"/>
        <v>-0.31726381397194814</v>
      </c>
      <c r="H89" s="33">
        <f t="shared" si="41"/>
        <v>6025.054864667155</v>
      </c>
      <c r="I89" s="33">
        <f t="shared" si="42"/>
        <v>52.897032728285261</v>
      </c>
    </row>
    <row r="90" spans="1:9" x14ac:dyDescent="0.3">
      <c r="A90" s="16">
        <v>1789</v>
      </c>
      <c r="B90" s="14">
        <v>9081</v>
      </c>
      <c r="C90" s="14">
        <v>9720</v>
      </c>
      <c r="D90" s="33">
        <f t="shared" si="37"/>
        <v>53.988555636836544</v>
      </c>
      <c r="E90" s="11">
        <f t="shared" si="38"/>
        <v>9930.9815999999992</v>
      </c>
      <c r="F90" s="11">
        <f t="shared" si="39"/>
        <v>9720</v>
      </c>
      <c r="G90" s="86">
        <f t="shared" si="40"/>
        <v>2.1244788128496737</v>
      </c>
      <c r="H90" s="33">
        <f t="shared" si="41"/>
        <v>8888.0760790051208</v>
      </c>
      <c r="I90" s="33">
        <f t="shared" si="42"/>
        <v>53.988555636836544</v>
      </c>
    </row>
    <row r="91" spans="1:9" x14ac:dyDescent="0.3">
      <c r="A91" s="16">
        <v>1778</v>
      </c>
      <c r="B91" s="14">
        <v>4384</v>
      </c>
      <c r="C91" s="14">
        <v>4695</v>
      </c>
      <c r="D91" s="33">
        <f t="shared" si="37"/>
        <v>53.964558476737146</v>
      </c>
      <c r="E91" s="11">
        <f t="shared" si="38"/>
        <v>4794.3423999999995</v>
      </c>
      <c r="F91" s="11">
        <f t="shared" si="39"/>
        <v>4695</v>
      </c>
      <c r="G91" s="86">
        <f t="shared" si="40"/>
        <v>2.0720756197971895</v>
      </c>
      <c r="H91" s="33">
        <f t="shared" si="41"/>
        <v>4293.1602048280911</v>
      </c>
      <c r="I91" s="33">
        <f t="shared" si="42"/>
        <v>53.964558476737146</v>
      </c>
    </row>
    <row r="92" spans="1:9" x14ac:dyDescent="0.3">
      <c r="A92" s="16">
        <v>1808</v>
      </c>
      <c r="B92" s="14">
        <v>8737</v>
      </c>
      <c r="C92" s="14">
        <v>9441</v>
      </c>
      <c r="D92" s="33">
        <f t="shared" si="37"/>
        <v>53.564829336656473</v>
      </c>
      <c r="E92" s="11">
        <f t="shared" si="38"/>
        <v>9554.7831999999999</v>
      </c>
      <c r="F92" s="11">
        <f t="shared" si="39"/>
        <v>9441</v>
      </c>
      <c r="G92" s="86">
        <f t="shared" si="40"/>
        <v>1.1908506725720258</v>
      </c>
      <c r="H92" s="33">
        <f t="shared" si="41"/>
        <v>8632.9553767373818</v>
      </c>
      <c r="I92" s="33">
        <f t="shared" si="42"/>
        <v>53.564829336656473</v>
      </c>
    </row>
    <row r="93" spans="1:9" x14ac:dyDescent="0.3">
      <c r="A93" s="16">
        <v>1795</v>
      </c>
      <c r="B93" s="14">
        <v>15015</v>
      </c>
      <c r="C93" s="14">
        <v>16399</v>
      </c>
      <c r="D93" s="33">
        <f t="shared" si="37"/>
        <v>53.093132474177573</v>
      </c>
      <c r="E93" s="11">
        <f t="shared" si="38"/>
        <v>16420.403999999999</v>
      </c>
      <c r="F93" s="11">
        <f t="shared" si="39"/>
        <v>16399</v>
      </c>
      <c r="G93" s="86">
        <f t="shared" si="40"/>
        <v>0.13035002062066781</v>
      </c>
      <c r="H93" s="33">
        <f t="shared" si="41"/>
        <v>14995.427944403806</v>
      </c>
      <c r="I93" s="33">
        <f t="shared" si="42"/>
        <v>53.093132474177573</v>
      </c>
    </row>
    <row r="94" spans="1:9" x14ac:dyDescent="0.3">
      <c r="A94" s="16">
        <v>1799</v>
      </c>
      <c r="B94" s="14">
        <v>1600</v>
      </c>
      <c r="C94" s="14">
        <v>1723</v>
      </c>
      <c r="D94" s="33">
        <f t="shared" si="37"/>
        <v>53.717529648573176</v>
      </c>
      <c r="E94" s="11">
        <f t="shared" si="38"/>
        <v>1749.7599999999998</v>
      </c>
      <c r="F94" s="11">
        <f t="shared" si="39"/>
        <v>1723</v>
      </c>
      <c r="G94" s="86">
        <f t="shared" si="40"/>
        <v>1.5293525969275663</v>
      </c>
      <c r="H94" s="33">
        <f t="shared" si="41"/>
        <v>1575.5303584491589</v>
      </c>
      <c r="I94" s="33">
        <f t="shared" si="42"/>
        <v>53.717529648573176</v>
      </c>
    </row>
    <row r="95" spans="1:9" x14ac:dyDescent="0.3">
      <c r="A95" s="16">
        <v>1792</v>
      </c>
      <c r="B95" s="14">
        <v>19649</v>
      </c>
      <c r="C95" s="14">
        <v>20762</v>
      </c>
      <c r="D95" s="33">
        <f t="shared" si="37"/>
        <v>54.570948683963238</v>
      </c>
      <c r="E95" s="11">
        <f t="shared" si="38"/>
        <v>21488.146399999998</v>
      </c>
      <c r="F95" s="11">
        <f t="shared" si="39"/>
        <v>20762</v>
      </c>
      <c r="G95" s="86">
        <f t="shared" si="40"/>
        <v>3.3792882200392995</v>
      </c>
      <c r="H95" s="33">
        <f t="shared" si="41"/>
        <v>18985.00365764448</v>
      </c>
      <c r="I95" s="33">
        <f t="shared" si="42"/>
        <v>54.570948683963238</v>
      </c>
    </row>
    <row r="96" spans="1:9" x14ac:dyDescent="0.3">
      <c r="A96" s="16">
        <v>1817</v>
      </c>
      <c r="B96" s="14">
        <v>10021</v>
      </c>
      <c r="C96" s="14">
        <v>8277</v>
      </c>
      <c r="D96" s="33">
        <f t="shared" si="37"/>
        <v>67.257920543606318</v>
      </c>
      <c r="E96" s="11">
        <f t="shared" si="38"/>
        <v>10958.9656</v>
      </c>
      <c r="F96" s="11">
        <f t="shared" si="39"/>
        <v>8277</v>
      </c>
      <c r="G96" s="86">
        <f t="shared" si="40"/>
        <v>24.472798783126024</v>
      </c>
      <c r="H96" s="33">
        <f t="shared" si="41"/>
        <v>7568.5808339429414</v>
      </c>
      <c r="I96" s="33">
        <f t="shared" si="42"/>
        <v>67.257920543606318</v>
      </c>
    </row>
    <row r="97" spans="1:9" x14ac:dyDescent="0.3">
      <c r="A97" s="16">
        <v>1818</v>
      </c>
      <c r="B97" s="14">
        <v>15182</v>
      </c>
      <c r="C97" s="14">
        <v>8613</v>
      </c>
      <c r="D97" s="33">
        <f t="shared" si="37"/>
        <v>93.752958283997813</v>
      </c>
      <c r="E97" s="11">
        <f t="shared" si="38"/>
        <v>16603.035199999998</v>
      </c>
      <c r="F97" s="11">
        <f t="shared" si="39"/>
        <v>8613</v>
      </c>
      <c r="G97" s="86">
        <f t="shared" si="40"/>
        <v>48.123943024586247</v>
      </c>
      <c r="H97" s="33">
        <f t="shared" si="41"/>
        <v>7875.8229700073161</v>
      </c>
      <c r="I97" s="33">
        <f t="shared" si="42"/>
        <v>93.752958283997813</v>
      </c>
    </row>
    <row r="98" spans="1:9" x14ac:dyDescent="0.3">
      <c r="A98" s="16" t="s">
        <v>28</v>
      </c>
      <c r="B98" s="35">
        <v>100795</v>
      </c>
      <c r="C98" s="35">
        <v>2023088</v>
      </c>
      <c r="D98" s="33">
        <f t="shared" si="37"/>
        <v>11.53558402995527</v>
      </c>
      <c r="E98" s="11">
        <f t="shared" si="38"/>
        <v>110229.412</v>
      </c>
      <c r="F98" s="11">
        <f t="shared" si="39"/>
        <v>2023088</v>
      </c>
      <c r="G98" s="86">
        <f t="shared" si="40"/>
        <v>-1735.3431840859316</v>
      </c>
      <c r="H98" s="33">
        <f t="shared" si="41"/>
        <v>1849934.1623994149</v>
      </c>
      <c r="I98" s="33">
        <f t="shared" si="42"/>
        <v>11.53558402995527</v>
      </c>
    </row>
    <row r="99" spans="1:9" x14ac:dyDescent="0.3">
      <c r="D99" s="33" t="e">
        <f t="shared" si="37"/>
        <v>#DIV/0!</v>
      </c>
      <c r="E99" s="11">
        <f t="shared" si="38"/>
        <v>0</v>
      </c>
      <c r="F99" s="11">
        <f t="shared" si="39"/>
        <v>0</v>
      </c>
      <c r="G99" s="86" t="e">
        <f t="shared" si="40"/>
        <v>#DIV/0!</v>
      </c>
      <c r="H99" s="33">
        <f t="shared" si="41"/>
        <v>0</v>
      </c>
      <c r="I99" s="33" t="e">
        <f t="shared" si="42"/>
        <v>#DIV/0!</v>
      </c>
    </row>
    <row r="100" spans="1:9" x14ac:dyDescent="0.3">
      <c r="D100" s="33" t="e">
        <f t="shared" si="37"/>
        <v>#DIV/0!</v>
      </c>
      <c r="E100" s="11">
        <f t="shared" si="38"/>
        <v>0</v>
      </c>
      <c r="F100" s="11">
        <f t="shared" si="39"/>
        <v>0</v>
      </c>
      <c r="G100" s="86" t="e">
        <f t="shared" si="40"/>
        <v>#DIV/0!</v>
      </c>
      <c r="H100" s="33">
        <f t="shared" si="41"/>
        <v>0</v>
      </c>
      <c r="I100" s="33" t="e">
        <f t="shared" si="42"/>
        <v>#DIV/0!</v>
      </c>
    </row>
    <row r="101" spans="1:9" x14ac:dyDescent="0.3">
      <c r="D101" s="33" t="e">
        <f t="shared" si="37"/>
        <v>#DIV/0!</v>
      </c>
      <c r="E101" s="11">
        <f t="shared" si="38"/>
        <v>0</v>
      </c>
      <c r="F101" s="11">
        <f t="shared" si="39"/>
        <v>0</v>
      </c>
      <c r="G101" s="86" t="e">
        <f t="shared" si="40"/>
        <v>#DIV/0!</v>
      </c>
      <c r="H101" s="33">
        <f t="shared" si="41"/>
        <v>0</v>
      </c>
      <c r="I101" s="33" t="e">
        <f t="shared" si="42"/>
        <v>#DIV/0!</v>
      </c>
    </row>
    <row r="102" spans="1:9" x14ac:dyDescent="0.3">
      <c r="D102" s="33" t="e">
        <f t="shared" si="37"/>
        <v>#DIV/0!</v>
      </c>
      <c r="E102" s="11">
        <f t="shared" si="38"/>
        <v>0</v>
      </c>
      <c r="F102" s="11">
        <f t="shared" si="39"/>
        <v>0</v>
      </c>
      <c r="G102" s="86" t="e">
        <f t="shared" si="40"/>
        <v>#DIV/0!</v>
      </c>
      <c r="H102" s="33">
        <f t="shared" si="41"/>
        <v>0</v>
      </c>
      <c r="I102" s="33" t="e">
        <f t="shared" si="42"/>
        <v>#DIV/0!</v>
      </c>
    </row>
    <row r="103" spans="1:9" x14ac:dyDescent="0.3">
      <c r="D103" s="33" t="e">
        <f t="shared" si="37"/>
        <v>#DIV/0!</v>
      </c>
      <c r="E103" s="11">
        <f t="shared" si="38"/>
        <v>0</v>
      </c>
      <c r="F103" s="11">
        <f t="shared" si="39"/>
        <v>0</v>
      </c>
      <c r="G103" s="86" t="e">
        <f t="shared" si="40"/>
        <v>#DIV/0!</v>
      </c>
      <c r="H103" s="33">
        <f t="shared" si="41"/>
        <v>0</v>
      </c>
      <c r="I103" s="33" t="e">
        <f t="shared" si="42"/>
        <v>#DIV/0!</v>
      </c>
    </row>
    <row r="104" spans="1:9" x14ac:dyDescent="0.3">
      <c r="D104" s="33" t="e">
        <f t="shared" si="37"/>
        <v>#DIV/0!</v>
      </c>
      <c r="E104" s="11">
        <f t="shared" si="38"/>
        <v>0</v>
      </c>
      <c r="F104" s="11">
        <f t="shared" si="39"/>
        <v>0</v>
      </c>
      <c r="G104" s="86" t="e">
        <f t="shared" si="40"/>
        <v>#DIV/0!</v>
      </c>
      <c r="H104" s="33">
        <f t="shared" si="41"/>
        <v>0</v>
      </c>
      <c r="I104" s="33" t="e">
        <f t="shared" si="42"/>
        <v>#DIV/0!</v>
      </c>
    </row>
    <row r="105" spans="1:9" x14ac:dyDescent="0.3">
      <c r="D105" s="33" t="e">
        <f t="shared" si="37"/>
        <v>#DIV/0!</v>
      </c>
      <c r="E105" s="11">
        <f t="shared" si="38"/>
        <v>0</v>
      </c>
      <c r="F105" s="11">
        <f t="shared" si="39"/>
        <v>0</v>
      </c>
      <c r="G105" s="86" t="e">
        <f t="shared" si="40"/>
        <v>#DIV/0!</v>
      </c>
      <c r="H105" s="33">
        <f t="shared" si="41"/>
        <v>0</v>
      </c>
      <c r="I105" s="33" t="e">
        <f t="shared" si="42"/>
        <v>#DIV/0!</v>
      </c>
    </row>
    <row r="106" spans="1:9" x14ac:dyDescent="0.3">
      <c r="D106" s="33" t="e">
        <f t="shared" si="37"/>
        <v>#DIV/0!</v>
      </c>
      <c r="E106" s="11">
        <f t="shared" si="38"/>
        <v>0</v>
      </c>
      <c r="F106" s="11">
        <f t="shared" si="39"/>
        <v>0</v>
      </c>
      <c r="G106" s="86" t="e">
        <f t="shared" si="40"/>
        <v>#DIV/0!</v>
      </c>
      <c r="H106" s="33">
        <f t="shared" si="41"/>
        <v>0</v>
      </c>
      <c r="I106" s="33" t="e">
        <f t="shared" si="42"/>
        <v>#DIV/0!</v>
      </c>
    </row>
    <row r="107" spans="1:9" x14ac:dyDescent="0.3">
      <c r="D107" s="33" t="e">
        <f t="shared" si="37"/>
        <v>#DIV/0!</v>
      </c>
      <c r="E107" s="11">
        <f t="shared" si="38"/>
        <v>0</v>
      </c>
      <c r="F107" s="11">
        <f t="shared" si="39"/>
        <v>0</v>
      </c>
      <c r="G107" s="86" t="e">
        <f t="shared" si="40"/>
        <v>#DIV/0!</v>
      </c>
      <c r="H107" s="33">
        <f t="shared" si="41"/>
        <v>0</v>
      </c>
      <c r="I107" s="33" t="e">
        <f t="shared" si="42"/>
        <v>#DIV/0!</v>
      </c>
    </row>
    <row r="108" spans="1:9" x14ac:dyDescent="0.3">
      <c r="D108" s="33" t="e">
        <f t="shared" si="37"/>
        <v>#DIV/0!</v>
      </c>
      <c r="E108" s="11">
        <f t="shared" si="38"/>
        <v>0</v>
      </c>
      <c r="F108" s="11">
        <f t="shared" si="39"/>
        <v>0</v>
      </c>
      <c r="G108" s="86" t="e">
        <f t="shared" si="40"/>
        <v>#DIV/0!</v>
      </c>
      <c r="H108" s="33">
        <f t="shared" si="41"/>
        <v>0</v>
      </c>
      <c r="I108" s="33" t="e">
        <f t="shared" si="42"/>
        <v>#DIV/0!</v>
      </c>
    </row>
    <row r="109" spans="1:9" x14ac:dyDescent="0.3">
      <c r="D109" s="33" t="e">
        <f t="shared" si="37"/>
        <v>#DIV/0!</v>
      </c>
      <c r="E109" s="11">
        <f t="shared" si="38"/>
        <v>0</v>
      </c>
      <c r="F109" s="11">
        <f t="shared" si="39"/>
        <v>0</v>
      </c>
      <c r="G109" s="86" t="e">
        <f t="shared" si="40"/>
        <v>#DIV/0!</v>
      </c>
      <c r="H109" s="33">
        <f t="shared" si="41"/>
        <v>0</v>
      </c>
      <c r="I109" s="33" t="e">
        <f t="shared" si="42"/>
        <v>#DIV/0!</v>
      </c>
    </row>
    <row r="110" spans="1:9" x14ac:dyDescent="0.3">
      <c r="D110" s="33" t="e">
        <f t="shared" si="37"/>
        <v>#DIV/0!</v>
      </c>
      <c r="E110" s="11">
        <f t="shared" si="38"/>
        <v>0</v>
      </c>
      <c r="F110" s="11">
        <f t="shared" si="39"/>
        <v>0</v>
      </c>
      <c r="G110" s="86" t="e">
        <f t="shared" si="40"/>
        <v>#DIV/0!</v>
      </c>
      <c r="H110" s="33">
        <f t="shared" si="41"/>
        <v>0</v>
      </c>
      <c r="I110" s="33" t="e">
        <f t="shared" si="42"/>
        <v>#DIV/0!</v>
      </c>
    </row>
    <row r="111" spans="1:9" x14ac:dyDescent="0.3">
      <c r="D111" s="33" t="e">
        <f t="shared" si="37"/>
        <v>#DIV/0!</v>
      </c>
      <c r="E111" s="11">
        <f t="shared" si="38"/>
        <v>0</v>
      </c>
      <c r="F111" s="11">
        <f t="shared" si="39"/>
        <v>0</v>
      </c>
      <c r="G111" s="86" t="e">
        <f t="shared" si="40"/>
        <v>#DIV/0!</v>
      </c>
      <c r="H111" s="33">
        <f t="shared" si="41"/>
        <v>0</v>
      </c>
      <c r="I111" s="33" t="e">
        <f t="shared" si="42"/>
        <v>#DIV/0!</v>
      </c>
    </row>
    <row r="112" spans="1: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45916</v>
      </c>
      <c r="C3" t="s">
        <v>117</v>
      </c>
      <c r="D3">
        <f>SUMIFS(Table14[Debit], Table14[Date], Table5[[#This Row],[Date]], Table14[Party], "Rashan")</f>
        <v>0</v>
      </c>
      <c r="H3" s="1">
        <v>45916</v>
      </c>
      <c r="J3">
        <f>SUMIFS(Table14[Debit], Table14[Date], Table15[[#This Row],[Date]], Table14[Party], "Parts")</f>
        <v>5800</v>
      </c>
    </row>
    <row r="4" spans="2:10" x14ac:dyDescent="0.3">
      <c r="B4" s="1">
        <v>45917</v>
      </c>
      <c r="C4" t="s">
        <v>117</v>
      </c>
      <c r="D4">
        <f>SUMIFS(Table14[Debit], Table14[Date], Table5[[#This Row],[Date]], Table14[Party], "Rashan")</f>
        <v>0</v>
      </c>
      <c r="H4" s="1">
        <v>45917</v>
      </c>
      <c r="I4" t="s">
        <v>55</v>
      </c>
      <c r="J4">
        <f>SUMIFS(Table14[Debit], Table14[Date], Table15[[#This Row],[Date]], Table14[Party], "Parts")</f>
        <v>1200</v>
      </c>
    </row>
    <row r="5" spans="2:10" x14ac:dyDescent="0.3">
      <c r="B5" s="1">
        <v>45918</v>
      </c>
      <c r="C5" t="s">
        <v>117</v>
      </c>
      <c r="D5">
        <f>SUMIFS(Table14[Debit], Table14[Date], Table5[[#This Row],[Date]], Table14[Party], "Rashan")</f>
        <v>0</v>
      </c>
      <c r="H5" s="1">
        <v>45918</v>
      </c>
      <c r="I5" t="s">
        <v>55</v>
      </c>
      <c r="J5">
        <f>SUMIFS(Table14[Debit], Table14[Date], Table15[[#This Row],[Date]], Table14[Party], "Parts")</f>
        <v>5350</v>
      </c>
    </row>
    <row r="6" spans="2:10" x14ac:dyDescent="0.3">
      <c r="B6" s="1">
        <v>45919</v>
      </c>
      <c r="C6" t="s">
        <v>117</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117</v>
      </c>
      <c r="D7">
        <f>SUMIFS(Table14[Debit], Table14[Date], Table5[[#This Row],[Date]], Table14[Party], "Rashan")</f>
        <v>0</v>
      </c>
      <c r="H7" s="1">
        <v>45920</v>
      </c>
      <c r="I7" t="s">
        <v>55</v>
      </c>
      <c r="J7">
        <f>SUMIFS(Table14[Debit], Table14[Date], Table15[[#This Row],[Date]], Table14[Party], "Parts")</f>
        <v>8140</v>
      </c>
    </row>
    <row r="8" spans="2:10" x14ac:dyDescent="0.3">
      <c r="B8" s="1">
        <v>45921</v>
      </c>
      <c r="C8" t="s">
        <v>117</v>
      </c>
      <c r="D8">
        <f>SUMIFS(Table14[Debit], Table14[Date], Table5[[#This Row],[Date]], Table14[Party], "Rashan")</f>
        <v>0</v>
      </c>
      <c r="H8" s="1">
        <v>45921</v>
      </c>
      <c r="J8">
        <f>SUMIFS(Table14[Debit], Table14[Date], Table15[[#This Row],[Date]], Table14[Party], "Parts")</f>
        <v>14780</v>
      </c>
    </row>
    <row r="9" spans="2:10" x14ac:dyDescent="0.3">
      <c r="B9" s="1">
        <v>45922</v>
      </c>
      <c r="C9" t="s">
        <v>117</v>
      </c>
      <c r="D9">
        <f>SUMIFS(Table14[Debit], Table14[Date], Table5[[#This Row],[Date]], Table14[Party], "Rashan")</f>
        <v>18000</v>
      </c>
      <c r="H9" s="1">
        <v>45922</v>
      </c>
      <c r="J9">
        <f>SUMIFS(Table14[Debit], Table14[Date], Table15[[#This Row],[Date]], Table14[Party], "Parts")</f>
        <v>11600</v>
      </c>
    </row>
    <row r="10" spans="2:10" x14ac:dyDescent="0.3">
      <c r="B10" s="1">
        <v>45923</v>
      </c>
      <c r="C10" t="s">
        <v>117</v>
      </c>
      <c r="D10">
        <f>SUMIFS(Table14[Debit], Table14[Date], Table5[[#This Row],[Date]], Table14[Party], "Rashan")</f>
        <v>0</v>
      </c>
      <c r="H10" s="1">
        <v>45923</v>
      </c>
      <c r="J10">
        <f>SUMIFS(Table14[Debit], Table14[Date], Table15[[#This Row],[Date]], Table14[Party], "Parts")</f>
        <v>93530</v>
      </c>
    </row>
    <row r="11" spans="2:10" x14ac:dyDescent="0.3">
      <c r="B11" s="1">
        <v>45924</v>
      </c>
      <c r="C11" t="s">
        <v>117</v>
      </c>
      <c r="D11">
        <f>SUMIFS(Table14[Debit], Table14[Date], Table5[[#This Row],[Date]], Table14[Party], "Rashan")</f>
        <v>0</v>
      </c>
      <c r="H11" s="1">
        <v>45924</v>
      </c>
      <c r="J11">
        <f>SUMIFS(Table14[Debit], Table14[Date], Table15[[#This Row],[Date]], Table14[Party], "Parts")</f>
        <v>5440</v>
      </c>
    </row>
    <row r="12" spans="2:10" x14ac:dyDescent="0.3">
      <c r="B12" s="1">
        <v>45925</v>
      </c>
      <c r="C12" t="s">
        <v>117</v>
      </c>
      <c r="D12">
        <f>SUMIFS(Table14[Debit], Table14[Date], Table5[[#This Row],[Date]], Table14[Party], "Rashan")</f>
        <v>15995</v>
      </c>
      <c r="H12" s="1">
        <v>45925</v>
      </c>
      <c r="J12">
        <f>SUMIFS(Table14[Debit], Table14[Date], Table15[[#This Row],[Date]], Table14[Party], "Parts")</f>
        <v>0</v>
      </c>
    </row>
    <row r="13" spans="2:10" x14ac:dyDescent="0.3">
      <c r="B13" s="1">
        <v>45926</v>
      </c>
      <c r="C13" t="s">
        <v>117</v>
      </c>
      <c r="D13">
        <f>SUMIFS(Table14[Debit], Table14[Date], Table5[[#This Row],[Date]], Table14[Party], "Rashan")</f>
        <v>0</v>
      </c>
      <c r="H13" s="1">
        <v>45926</v>
      </c>
      <c r="J13">
        <f>SUMIFS(Table14[Debit], Table14[Date], Table15[[#This Row],[Date]], Table14[Party], "Parts")</f>
        <v>0</v>
      </c>
    </row>
    <row r="14" spans="2:10" x14ac:dyDescent="0.3">
      <c r="B14" s="1">
        <v>45927</v>
      </c>
      <c r="C14" t="s">
        <v>117</v>
      </c>
      <c r="D14">
        <f>SUMIFS(Table14[Debit], Table14[Date], Table5[[#This Row],[Date]], Table14[Party], "Rashan")</f>
        <v>0</v>
      </c>
      <c r="H14" s="1">
        <v>45927</v>
      </c>
      <c r="J14">
        <f>SUMIFS(Table14[Debit], Table14[Date], Table15[[#This Row],[Date]], Table14[Party], "Parts")</f>
        <v>1250</v>
      </c>
    </row>
    <row r="15" spans="2:10" x14ac:dyDescent="0.3">
      <c r="B15" s="1">
        <v>45928</v>
      </c>
      <c r="C15" t="s">
        <v>117</v>
      </c>
      <c r="D15">
        <f>SUMIFS(Table14[Debit], Table14[Date], Table5[[#This Row],[Date]], Table14[Party], "Rashan")</f>
        <v>0</v>
      </c>
      <c r="H15" s="1">
        <v>45928</v>
      </c>
      <c r="J15">
        <f>SUMIFS(Table14[Debit], Table14[Date], Table15[[#This Row],[Date]], Table14[Party], "Parts")</f>
        <v>0</v>
      </c>
    </row>
    <row r="16" spans="2:10" x14ac:dyDescent="0.3">
      <c r="B16" s="1">
        <v>45929</v>
      </c>
      <c r="C16" t="s">
        <v>117</v>
      </c>
      <c r="D16">
        <f>SUMIFS(Table14[Debit], Table14[Date], Table5[[#This Row],[Date]], Table14[Party], "Rashan")</f>
        <v>0</v>
      </c>
      <c r="H16" s="1">
        <v>45929</v>
      </c>
      <c r="J16">
        <f>SUMIFS(Table14[Debit], Table14[Date], Table15[[#This Row],[Date]], Table14[Party], "Parts")</f>
        <v>8227</v>
      </c>
    </row>
    <row r="17" spans="2:10" x14ac:dyDescent="0.3">
      <c r="B17" s="1">
        <v>45930</v>
      </c>
      <c r="C17" t="s">
        <v>117</v>
      </c>
      <c r="D17">
        <f>SUMIFS(Table14[Debit], Table14[Date], Table5[[#This Row],[Date]], Table14[Party], "Rashan")</f>
        <v>4000</v>
      </c>
      <c r="H17" s="1">
        <v>45930</v>
      </c>
      <c r="J17">
        <f>SUMIFS(Table14[Debit], Table14[Date], Table15[[#This Row],[Date]], Table14[Party], "Parts")</f>
        <v>0</v>
      </c>
    </row>
    <row r="18" spans="2:10" x14ac:dyDescent="0.3">
      <c r="B18" s="1">
        <v>45931</v>
      </c>
      <c r="C18" t="s">
        <v>117</v>
      </c>
      <c r="D18">
        <f>SUMIFS(Table14[Debit], Table14[Date], Table5[[#This Row],[Date]], Table14[Party], "Rashan")</f>
        <v>0</v>
      </c>
      <c r="H18" s="1">
        <v>45931</v>
      </c>
      <c r="J18">
        <f>SUMIFS(Table14[Debit], Table14[Date], Table15[[#This Row],[Date]], Table14[Party], "Parts")</f>
        <v>15039</v>
      </c>
    </row>
    <row r="19" spans="2:10" x14ac:dyDescent="0.3">
      <c r="B19" s="1">
        <v>45932</v>
      </c>
      <c r="C19" t="s">
        <v>117</v>
      </c>
      <c r="D19">
        <f>SUMIFS(Table14[Debit], Table14[Date], Table5[[#This Row],[Date]], Table14[Party], "Rashan")</f>
        <v>18000</v>
      </c>
      <c r="H19" s="1">
        <v>45932</v>
      </c>
      <c r="J19">
        <f>SUMIFS(Table14[Debit], Table14[Date], Table15[[#This Row],[Date]], Table14[Party], "Parts")</f>
        <v>15000</v>
      </c>
    </row>
    <row r="20" spans="2:10" x14ac:dyDescent="0.3">
      <c r="B20" s="1">
        <v>45933</v>
      </c>
      <c r="C20" t="s">
        <v>117</v>
      </c>
      <c r="D20">
        <f>SUMIFS(Table14[Debit], Table14[Date], Table5[[#This Row],[Date]], Table14[Party], "Rashan")</f>
        <v>16370</v>
      </c>
      <c r="H20" s="1">
        <v>45933</v>
      </c>
      <c r="J20">
        <f>SUMIFS(Table14[Debit], Table14[Date], Table15[[#This Row],[Date]], Table14[Party], "Parts")</f>
        <v>0</v>
      </c>
    </row>
    <row r="21" spans="2:10" x14ac:dyDescent="0.3">
      <c r="B21" s="1">
        <v>45934</v>
      </c>
      <c r="C21" t="s">
        <v>117</v>
      </c>
      <c r="D21">
        <f>SUMIFS(Table14[Debit], Table14[Date], Table5[[#This Row],[Date]], Table14[Party], "Rashan")</f>
        <v>0</v>
      </c>
      <c r="H21" s="1">
        <v>45934</v>
      </c>
      <c r="J21">
        <f>SUMIFS(Table14[Debit], Table14[Date], Table15[[#This Row],[Date]], Table14[Party], "Parts")</f>
        <v>50000</v>
      </c>
    </row>
    <row r="22" spans="2:10" x14ac:dyDescent="0.3">
      <c r="B22" s="1">
        <v>45935</v>
      </c>
      <c r="C22" t="s">
        <v>117</v>
      </c>
      <c r="D22">
        <f>SUMIFS(Table14[Debit], Table14[Date], Table5[[#This Row],[Date]], Table14[Party], "Rashan")</f>
        <v>0</v>
      </c>
      <c r="H22" s="1">
        <v>45935</v>
      </c>
      <c r="J22">
        <f>SUMIFS(Table14[Debit], Table14[Date], Table15[[#This Row],[Date]], Table14[Party], "Parts")</f>
        <v>0</v>
      </c>
    </row>
    <row r="23" spans="2:10" x14ac:dyDescent="0.3">
      <c r="B23" s="1">
        <v>45936</v>
      </c>
      <c r="C23" t="s">
        <v>117</v>
      </c>
      <c r="D23">
        <f>SUMIFS(Table14[Debit], Table14[Date], Table5[[#This Row],[Date]], Table14[Party], "Rashan")</f>
        <v>0</v>
      </c>
      <c r="H23" s="1">
        <v>45936</v>
      </c>
      <c r="J23">
        <f>SUMIFS(Table14[Debit], Table14[Date], Table15[[#This Row],[Date]], Table14[Party], "Parts")</f>
        <v>0</v>
      </c>
    </row>
    <row r="24" spans="2:10" x14ac:dyDescent="0.3">
      <c r="B24" s="1">
        <v>45937</v>
      </c>
      <c r="C24" t="s">
        <v>117</v>
      </c>
      <c r="D24">
        <f>SUMIFS(Table14[Debit], Table14[Date], Table5[[#This Row],[Date]], Table14[Party], "Rashan")</f>
        <v>10120</v>
      </c>
      <c r="H24" s="1">
        <v>45937</v>
      </c>
      <c r="J24">
        <f>SUMIFS(Table14[Debit], Table14[Date], Table15[[#This Row],[Date]], Table14[Party], "Parts")</f>
        <v>0</v>
      </c>
    </row>
    <row r="25" spans="2:10" x14ac:dyDescent="0.3">
      <c r="B25" s="1">
        <v>45938</v>
      </c>
      <c r="C25" t="s">
        <v>117</v>
      </c>
      <c r="D25">
        <f>SUMIFS(Table14[Debit], Table14[Date], Table5[[#This Row],[Date]], Table14[Party], "Rashan")</f>
        <v>0</v>
      </c>
      <c r="H25" s="1">
        <v>45938</v>
      </c>
      <c r="J25">
        <f>SUMIFS(Table14[Debit], Table14[Date], Table15[[#This Row],[Date]], Table14[Party], "Parts")</f>
        <v>53749</v>
      </c>
    </row>
    <row r="26" spans="2:10" x14ac:dyDescent="0.3">
      <c r="B26" s="1">
        <v>45939</v>
      </c>
      <c r="C26" t="s">
        <v>117</v>
      </c>
      <c r="D26">
        <f>SUMIFS(Table14[Debit], Table14[Date], Table5[[#This Row],[Date]], Table14[Party], "Rashan")</f>
        <v>20000</v>
      </c>
      <c r="H26" s="1">
        <v>45939</v>
      </c>
      <c r="J26">
        <f>SUMIFS(Table14[Debit], Table14[Date], Table15[[#This Row],[Date]], Table14[Party], "Parts")</f>
        <v>14940</v>
      </c>
    </row>
    <row r="27" spans="2:10" x14ac:dyDescent="0.3">
      <c r="B27" s="1">
        <v>45940</v>
      </c>
      <c r="C27" t="s">
        <v>117</v>
      </c>
      <c r="D27">
        <f>SUMIFS(Table14[Debit], Table14[Date], Table5[[#This Row],[Date]], Table14[Party], "Rashan")</f>
        <v>0</v>
      </c>
      <c r="H27" s="1">
        <v>45940</v>
      </c>
      <c r="J27">
        <f>SUMIFS(Table14[Debit], Table14[Date], Table15[[#This Row],[Date]], Table14[Party], "Parts")</f>
        <v>0</v>
      </c>
    </row>
    <row r="28" spans="2:10" x14ac:dyDescent="0.3">
      <c r="B28" s="1">
        <v>45941</v>
      </c>
      <c r="C28" t="s">
        <v>117</v>
      </c>
      <c r="D28">
        <f>SUMIFS(Table14[Debit], Table14[Date], Table5[[#This Row],[Date]], Table14[Party], "Rashan")</f>
        <v>0</v>
      </c>
      <c r="H28" s="1">
        <v>45941</v>
      </c>
      <c r="J28">
        <f>SUMIFS(Table14[Debit], Table14[Date], Table15[[#This Row],[Date]], Table14[Party], "Parts")</f>
        <v>0</v>
      </c>
    </row>
    <row r="29" spans="2:10" x14ac:dyDescent="0.3">
      <c r="B29" s="1">
        <v>45942</v>
      </c>
      <c r="C29" t="s">
        <v>117</v>
      </c>
      <c r="D29">
        <f>SUMIFS(Table14[Debit], Table14[Date], Table5[[#This Row],[Date]], Table14[Party], "Rashan")</f>
        <v>0</v>
      </c>
      <c r="H29" s="1">
        <v>45942</v>
      </c>
      <c r="J29">
        <f>SUMIFS(Table14[Debit], Table14[Date], Table15[[#This Row],[Date]], Table14[Party], "Parts")</f>
        <v>0</v>
      </c>
    </row>
    <row r="30" spans="2:10" x14ac:dyDescent="0.3">
      <c r="B30" s="1">
        <v>45943</v>
      </c>
      <c r="C30" t="s">
        <v>117</v>
      </c>
      <c r="D30">
        <f>SUMIFS(Table14[Debit], Table14[Date], Table5[[#This Row],[Date]], Table14[Party], "Rashan")</f>
        <v>0</v>
      </c>
      <c r="H30" s="1">
        <v>45943</v>
      </c>
      <c r="J30">
        <f>SUMIFS(Table14[Debit], Table14[Date], Table15[[#This Row],[Date]], Table14[Party], "Parts")</f>
        <v>0</v>
      </c>
    </row>
    <row r="31" spans="2:10" x14ac:dyDescent="0.3">
      <c r="B31" s="1">
        <v>45944</v>
      </c>
      <c r="C31" t="s">
        <v>117</v>
      </c>
      <c r="D31">
        <f>SUMIFS(Table14[Debit], Table14[Date], Table5[[#This Row],[Date]], Table14[Party], "Rashan")</f>
        <v>0</v>
      </c>
      <c r="H31" s="1">
        <v>45944</v>
      </c>
      <c r="J31">
        <f>SUMIFS(Table14[Debit], Table14[Date], Table15[[#This Row],[Date]], Table14[Party], "Parts")</f>
        <v>0</v>
      </c>
    </row>
    <row r="32" spans="2:10" x14ac:dyDescent="0.3">
      <c r="B32" s="1">
        <v>45945</v>
      </c>
      <c r="C32" t="s">
        <v>117</v>
      </c>
      <c r="D32">
        <f>SUMIFS(Table14[Debit], Table14[Date], Table5[[#This Row],[Date]], Table14[Party], "Rashan")</f>
        <v>18450</v>
      </c>
      <c r="H32" s="1">
        <v>45945</v>
      </c>
      <c r="J32">
        <f>SUMIFS(Table14[Debit], Table14[Date], Table15[[#This Row],[Date]], Table14[Party], "Parts")</f>
        <v>0</v>
      </c>
    </row>
    <row r="33" spans="2:10" x14ac:dyDescent="0.3">
      <c r="B33" s="1">
        <v>45946</v>
      </c>
      <c r="C33" t="s">
        <v>117</v>
      </c>
      <c r="D33">
        <f>SUMIFS(Table14[Debit], Table14[Date], Table5[[#This Row],[Date]], Table14[Party], "Rashan")</f>
        <v>0</v>
      </c>
      <c r="H33" s="1">
        <v>45946</v>
      </c>
      <c r="J33">
        <f>SUMIFS(Table14[Debit], Table14[Date], Table15[[#This Row],[Date]], Table14[Party], "Parts")</f>
        <v>0</v>
      </c>
    </row>
    <row r="34" spans="2:10" x14ac:dyDescent="0.3">
      <c r="B34" s="1">
        <v>45947</v>
      </c>
      <c r="C34" t="s">
        <v>117</v>
      </c>
      <c r="D34">
        <f>SUMIFS(Table14[Debit], Table14[Date], Table5[[#This Row],[Date]], Table14[Party], "Rashan")</f>
        <v>20000</v>
      </c>
      <c r="H34" s="1">
        <v>45947</v>
      </c>
      <c r="J34">
        <f>SUMIFS(Table14[Debit], Table14[Date], Table15[[#This Row],[Date]], Table14[Party], "Parts")</f>
        <v>0</v>
      </c>
    </row>
    <row r="35" spans="2:10" x14ac:dyDescent="0.3">
      <c r="B35" s="1"/>
      <c r="D35">
        <f>SUM(Table5[Amount])</f>
        <v>152120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12854653</v>
      </c>
      <c r="C2" s="109">
        <f>Billing!X5</f>
        <v>2439163.7520117071</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2594762.4725676663</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1617620</v>
      </c>
      <c r="C9" s="109">
        <f>Billing!X12</f>
        <v>467.05193855194375</v>
      </c>
    </row>
    <row r="10" spans="1:3" ht="18" x14ac:dyDescent="0.35">
      <c r="A10" s="89" t="str">
        <f>Billing!O13</f>
        <v>Ubaidullah</v>
      </c>
      <c r="B10" s="14">
        <f>Billing!W13</f>
        <v>451150</v>
      </c>
      <c r="C10" s="110">
        <f>Billing!X13</f>
        <v>180084.45501097303</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1285543.1602048283</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483851.49963423557</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293</v>
      </c>
      <c r="B1" t="s">
        <v>69</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2025-10-17T19:31:08Z</cp:lastPrinted>
  <dcterms:created xsi:type="dcterms:W3CDTF">2025-06-24T04:42:48Z</dcterms:created>
  <dcterms:modified xsi:type="dcterms:W3CDTF">2025-10-26T20:00:30Z</dcterms:modified>
  <cp:category/>
  <cp:contentStatus/>
</cp:coreProperties>
</file>