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047" documentId="8_{04F26ED9-7C3F-46BE-B42F-003E2A3A444E}" xr6:coauthVersionLast="47" xr6:coauthVersionMax="47" xr10:uidLastSave="{03BD7412-61D6-420E-BA35-52D48E6AEC4B}"/>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3" r:id="rId20"/>
    <pivotCache cacheId="18" r:id="rId21"/>
    <pivotCache cacheId="24"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6" i="17" l="1"/>
  <c r="J89" i="1" a="1"/>
  <c r="J89" i="1" s="1"/>
  <c r="H53" i="6"/>
  <c r="H49" i="6"/>
  <c r="I49" i="6" s="1"/>
  <c r="G49" i="6"/>
  <c r="G50" i="6"/>
  <c r="G51" i="6"/>
  <c r="G52" i="6"/>
  <c r="G53" i="6"/>
  <c r="G54" i="6"/>
  <c r="G55" i="6"/>
  <c r="G56" i="6"/>
  <c r="G57" i="6"/>
  <c r="I50" i="6"/>
  <c r="I51" i="6"/>
  <c r="I52" i="6"/>
  <c r="I53" i="6"/>
  <c r="I54" i="6"/>
  <c r="I55" i="6"/>
  <c r="I56" i="6"/>
  <c r="I57" i="6"/>
  <c r="I81" i="1"/>
  <c r="J81" i="1" a="1"/>
  <c r="J81" i="1" s="1"/>
  <c r="I82" i="1"/>
  <c r="J82" i="1" a="1"/>
  <c r="J82" i="1"/>
  <c r="I83" i="1"/>
  <c r="J83" i="1" s="1" a="1"/>
  <c r="J83" i="1" s="1"/>
  <c r="I84" i="1"/>
  <c r="J84" i="1" a="1"/>
  <c r="J84" i="1" s="1"/>
  <c r="I85" i="1"/>
  <c r="J85" i="1" s="1" a="1"/>
  <c r="J85" i="1" s="1"/>
  <c r="I86" i="1"/>
  <c r="J86" i="1" a="1"/>
  <c r="J86" i="1"/>
  <c r="I87" i="1"/>
  <c r="J87" i="1" s="1" a="1"/>
  <c r="J87" i="1" s="1"/>
  <c r="I88" i="1"/>
  <c r="J88" i="1" s="1" a="1"/>
  <c r="J88" i="1" s="1"/>
  <c r="I89" i="1"/>
  <c r="I90" i="1"/>
  <c r="J90" i="1" a="1"/>
  <c r="J90" i="1"/>
  <c r="I91" i="1"/>
  <c r="J91" i="1" a="1"/>
  <c r="J91" i="1" s="1"/>
  <c r="I92" i="1"/>
  <c r="J92" i="1" a="1"/>
  <c r="J92" i="1" s="1"/>
  <c r="I93" i="1"/>
  <c r="J93" i="1" a="1"/>
  <c r="J93" i="1" s="1"/>
  <c r="I94" i="1"/>
  <c r="J94" i="1" s="1" a="1"/>
  <c r="J94" i="1" s="1"/>
  <c r="I95" i="1"/>
  <c r="J95" i="1" a="1"/>
  <c r="J95" i="1"/>
  <c r="I96" i="1"/>
  <c r="J96" i="1" s="1" a="1"/>
  <c r="J96" i="1" s="1"/>
  <c r="I97" i="1"/>
  <c r="J97" i="1" a="1"/>
  <c r="J97" i="1" s="1"/>
  <c r="G48" i="6"/>
  <c r="I48" i="6"/>
  <c r="H47" i="6"/>
  <c r="I47" i="6" s="1"/>
  <c r="G47" i="6"/>
  <c r="B44" i="9" a="1"/>
  <c r="B44" i="9" s="1"/>
  <c r="I71" i="1"/>
  <c r="J71" i="1" a="1"/>
  <c r="J71" i="1" s="1"/>
  <c r="I72" i="1"/>
  <c r="J72" i="1" s="1" a="1"/>
  <c r="J72" i="1" s="1"/>
  <c r="I73" i="1"/>
  <c r="J73" i="1" a="1"/>
  <c r="J73" i="1" s="1"/>
  <c r="I74" i="1"/>
  <c r="J74" i="1" s="1" a="1"/>
  <c r="J74" i="1" s="1"/>
  <c r="I75" i="1"/>
  <c r="J75" i="1" s="1" a="1"/>
  <c r="J75" i="1" s="1"/>
  <c r="I76" i="1"/>
  <c r="J76" i="1" s="1" a="1"/>
  <c r="J76" i="1" s="1"/>
  <c r="I77" i="1"/>
  <c r="J77" i="1" a="1"/>
  <c r="J77" i="1" s="1"/>
  <c r="I78" i="1"/>
  <c r="J78" i="1" a="1"/>
  <c r="J78" i="1" s="1"/>
  <c r="I79" i="1"/>
  <c r="J79" i="1" s="1" a="1"/>
  <c r="J79" i="1" s="1"/>
  <c r="I80" i="1"/>
  <c r="J80" i="1" s="1" a="1"/>
  <c r="J80" i="1" s="1"/>
  <c r="H46" i="6"/>
  <c r="I46" i="6" s="1"/>
  <c r="G46" i="6"/>
  <c r="I63" i="1"/>
  <c r="J63" i="1" s="1" a="1"/>
  <c r="J63" i="1" s="1"/>
  <c r="I64" i="1"/>
  <c r="J64" i="1" a="1"/>
  <c r="J64" i="1" s="1"/>
  <c r="I65" i="1"/>
  <c r="J65" i="1" s="1" a="1"/>
  <c r="J65" i="1" s="1"/>
  <c r="I66" i="1"/>
  <c r="J66" i="1" s="1" a="1"/>
  <c r="J66" i="1" s="1"/>
  <c r="I67" i="1"/>
  <c r="J67" i="1" s="1" a="1"/>
  <c r="J67" i="1" s="1"/>
  <c r="I68" i="1"/>
  <c r="J68" i="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a="1"/>
  <c r="J57" i="1" s="1"/>
  <c r="I58" i="1"/>
  <c r="J58" i="1" s="1" a="1"/>
  <c r="J58" i="1" s="1"/>
  <c r="I59" i="1"/>
  <c r="J59" i="1" a="1"/>
  <c r="J59" i="1" s="1"/>
  <c r="I60" i="1"/>
  <c r="J60" i="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a="1"/>
  <c r="J55" i="1" s="1"/>
  <c r="I56" i="1"/>
  <c r="J56" i="1" s="1" a="1"/>
  <c r="J56" i="1" s="1"/>
  <c r="H35" i="6"/>
  <c r="I35" i="6" s="1"/>
  <c r="G35" i="6"/>
  <c r="G5" i="7"/>
  <c r="H5" i="7" s="1"/>
  <c r="H15" i="7" s="1"/>
  <c r="H3" i="7"/>
  <c r="H4" i="7"/>
  <c r="D145" i="17"/>
  <c r="I51" i="1"/>
  <c r="J51" i="1" s="1" a="1"/>
  <c r="J51" i="1" s="1"/>
  <c r="H33" i="6"/>
  <c r="I33" i="6" s="1"/>
  <c r="H32" i="6"/>
  <c r="I32" i="6" s="1"/>
  <c r="G32" i="6"/>
  <c r="G33" i="6"/>
  <c r="I42" i="1"/>
  <c r="J42" i="1" s="1" a="1"/>
  <c r="J42" i="1" s="1"/>
  <c r="I43" i="1"/>
  <c r="J43" i="1" a="1"/>
  <c r="J43" i="1" s="1"/>
  <c r="I44" i="1"/>
  <c r="J44" i="1" s="1" a="1"/>
  <c r="J44" i="1" s="1"/>
  <c r="I45" i="1"/>
  <c r="J45" i="1" s="1" a="1"/>
  <c r="J45" i="1" s="1"/>
  <c r="I46" i="1"/>
  <c r="J46" i="1" s="1" a="1"/>
  <c r="J46" i="1" s="1"/>
  <c r="I47" i="1"/>
  <c r="J47" i="1" a="1"/>
  <c r="J47" i="1" s="1"/>
  <c r="I48" i="1"/>
  <c r="J48" i="1" s="1" a="1"/>
  <c r="J48" i="1" s="1"/>
  <c r="I49" i="1"/>
  <c r="J49" i="1" a="1"/>
  <c r="J49" i="1" s="1"/>
  <c r="I50" i="1"/>
  <c r="J50" i="1" a="1"/>
  <c r="J50" i="1" s="1"/>
  <c r="C10" i="12"/>
  <c r="C11" i="12"/>
  <c r="C9" i="12"/>
  <c r="D98" i="17"/>
  <c r="I39" i="1"/>
  <c r="J39" i="1" s="1" a="1"/>
  <c r="J39" i="1" s="1"/>
  <c r="I40" i="1"/>
  <c r="J40" i="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a="1"/>
  <c r="J29" i="1" s="1"/>
  <c r="I30" i="1"/>
  <c r="J30" i="1" s="1" a="1"/>
  <c r="J30" i="1" s="1"/>
  <c r="I31" i="1"/>
  <c r="J31" i="1" s="1" a="1"/>
  <c r="J31" i="1" s="1"/>
  <c r="I32" i="1"/>
  <c r="J32" i="1" s="1" a="1"/>
  <c r="J32" i="1" s="1"/>
  <c r="I33" i="1"/>
  <c r="J33" i="1" s="1" a="1"/>
  <c r="J33" i="1" s="1"/>
  <c r="I34" i="1"/>
  <c r="J34" i="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a="1"/>
  <c r="J18" i="1" s="1"/>
  <c r="I19" i="1"/>
  <c r="J19" i="1" a="1"/>
  <c r="J19" i="1" s="1"/>
  <c r="I20" i="1"/>
  <c r="J20" i="1" s="1" a="1"/>
  <c r="J20" i="1" s="1"/>
  <c r="I21" i="1"/>
  <c r="J21" i="1" s="1" a="1"/>
  <c r="J21" i="1" s="1"/>
  <c r="I22" i="1"/>
  <c r="J22" i="1" a="1"/>
  <c r="J22" i="1" s="1"/>
  <c r="I23" i="1"/>
  <c r="J23" i="1" s="1" a="1"/>
  <c r="J23" i="1" s="1"/>
  <c r="I24" i="1"/>
  <c r="J24" i="1" a="1"/>
  <c r="J24" i="1" s="1"/>
  <c r="I15" i="1"/>
  <c r="J15" i="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A14" i="21" s="1"/>
  <c r="E56" i="2"/>
  <c r="F56" i="2"/>
  <c r="H56" i="2" s="1"/>
  <c r="I56" i="2" s="1"/>
  <c r="D56" i="2" s="1"/>
  <c r="E57" i="2"/>
  <c r="F57" i="2"/>
  <c r="G57" i="2" s="1"/>
  <c r="E58" i="2"/>
  <c r="F58" i="2"/>
  <c r="H58" i="2" s="1"/>
  <c r="I58" i="2" s="1"/>
  <c r="D58" i="2" s="1"/>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H84" i="1" s="1"/>
  <c r="E46" i="2"/>
  <c r="F46" i="2"/>
  <c r="H46" i="2" s="1"/>
  <c r="I46" i="2" s="1"/>
  <c r="D46" i="2" s="1"/>
  <c r="E47" i="2"/>
  <c r="F47" i="2"/>
  <c r="H47" i="2" s="1"/>
  <c r="I47" i="2" s="1"/>
  <c r="D47" i="2" s="1"/>
  <c r="E48" i="2"/>
  <c r="F48" i="2"/>
  <c r="H48" i="2" s="1"/>
  <c r="I48" i="2" s="1"/>
  <c r="D48" i="2" s="1"/>
  <c r="E49" i="2"/>
  <c r="F49" i="2"/>
  <c r="G49" i="2" s="1"/>
  <c r="H49" i="2"/>
  <c r="I49" i="2" s="1"/>
  <c r="D49" i="2" s="1"/>
  <c r="E50" i="2"/>
  <c r="F50" i="2"/>
  <c r="G50" i="2" s="1"/>
  <c r="H91" i="1" s="1"/>
  <c r="E51" i="2"/>
  <c r="F51" i="2"/>
  <c r="H51" i="2" s="1"/>
  <c r="I51" i="2" s="1"/>
  <c r="D51" i="2" s="1"/>
  <c r="E52" i="2"/>
  <c r="F52" i="2"/>
  <c r="G52" i="2" s="1"/>
  <c r="H93" i="1" s="1"/>
  <c r="E53" i="2"/>
  <c r="F53" i="2"/>
  <c r="G53" i="2" s="1"/>
  <c r="H97" i="1" s="1"/>
  <c r="E54" i="2"/>
  <c r="F54" i="2"/>
  <c r="E55" i="2"/>
  <c r="F55" i="2"/>
  <c r="G55" i="2" s="1"/>
  <c r="H55" i="2"/>
  <c r="I55" i="2"/>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R16" i="9" s="1" a="1"/>
  <c r="R16" i="9" s="1"/>
  <c r="P19" i="9" a="1"/>
  <c r="P19" i="9" s="1"/>
  <c r="W19" i="9"/>
  <c r="S19" i="9" a="1"/>
  <c r="S19" i="9" s="1"/>
  <c r="T19" i="9" a="1"/>
  <c r="T19" i="9" s="1"/>
  <c r="U19" i="9" a="1"/>
  <c r="U19" i="9" s="1"/>
  <c r="R19" i="9" a="1"/>
  <c r="R19"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H34" i="2" s="1"/>
  <c r="I34" i="2" s="1"/>
  <c r="D34" i="2" s="1"/>
  <c r="G34" i="2"/>
  <c r="H63" i="1" s="1"/>
  <c r="E35" i="2"/>
  <c r="F35" i="2"/>
  <c r="H35" i="2" s="1"/>
  <c r="I35" i="2" s="1"/>
  <c r="D35" i="2" s="1"/>
  <c r="E36" i="2"/>
  <c r="F36" i="2"/>
  <c r="E37" i="2"/>
  <c r="F37" i="2"/>
  <c r="H37" i="2" s="1"/>
  <c r="I37" i="2" s="1"/>
  <c r="D37" i="2" s="1"/>
  <c r="E39" i="2"/>
  <c r="F39" i="2"/>
  <c r="H39" i="2" s="1"/>
  <c r="I39" i="2" s="1"/>
  <c r="D39" i="2" s="1"/>
  <c r="G39" i="2"/>
  <c r="H71" i="1" s="1"/>
  <c r="E40" i="2"/>
  <c r="F40" i="2"/>
  <c r="H40" i="2"/>
  <c r="I40" i="2" s="1"/>
  <c r="D40" i="2" s="1"/>
  <c r="E41" i="2"/>
  <c r="F41" i="2"/>
  <c r="H41" i="2" s="1"/>
  <c r="I41" i="2" s="1"/>
  <c r="D41" i="2" s="1"/>
  <c r="G41" i="2"/>
  <c r="H80" i="1" s="1"/>
  <c r="E42" i="2"/>
  <c r="F42" i="2"/>
  <c r="H42" i="2" s="1"/>
  <c r="I42" i="2" s="1"/>
  <c r="D42" i="2" s="1"/>
  <c r="E43" i="2"/>
  <c r="F43" i="2"/>
  <c r="G43" i="2" s="1"/>
  <c r="E44" i="2"/>
  <c r="F44" i="2"/>
  <c r="H44" i="2" s="1"/>
  <c r="I44" i="2" s="1"/>
  <c r="D44" i="2" s="1"/>
  <c r="F38" i="2"/>
  <c r="H38" i="2" s="1"/>
  <c r="I38" i="2" s="1"/>
  <c r="D38" i="2" s="1"/>
  <c r="E38" i="2"/>
  <c r="G38" i="2"/>
  <c r="H69" i="1"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c r="I22" i="2" s="1"/>
  <c r="D22" i="2" s="1"/>
  <c r="F23" i="2"/>
  <c r="H23" i="2" s="1"/>
  <c r="I23" i="2" s="1"/>
  <c r="D23" i="2" s="1"/>
  <c r="F24" i="2"/>
  <c r="H24" i="2"/>
  <c r="I24" i="2" s="1"/>
  <c r="D24" i="2" s="1"/>
  <c r="F25" i="2"/>
  <c r="F26" i="2"/>
  <c r="H26" i="2" s="1"/>
  <c r="I26" i="2" s="1"/>
  <c r="D26" i="2" s="1"/>
  <c r="F27" i="2"/>
  <c r="H27" i="2" s="1"/>
  <c r="I27" i="2" s="1"/>
  <c r="D27" i="2" s="1"/>
  <c r="F28" i="2"/>
  <c r="H28" i="2" s="1"/>
  <c r="I28" i="2" s="1"/>
  <c r="D28" i="2" s="1"/>
  <c r="F29" i="2"/>
  <c r="F30" i="2"/>
  <c r="H30" i="2" s="1"/>
  <c r="I30" i="2" s="1"/>
  <c r="D30" i="2" s="1"/>
  <c r="F31" i="2"/>
  <c r="H31" i="2"/>
  <c r="I31" i="2" s="1"/>
  <c r="D31" i="2" s="1"/>
  <c r="F32" i="2"/>
  <c r="H32" i="2" s="1"/>
  <c r="I32" i="2" s="1"/>
  <c r="D32" i="2" s="1"/>
  <c r="E22" i="2"/>
  <c r="E23" i="2"/>
  <c r="E24" i="2"/>
  <c r="E25" i="2"/>
  <c r="E26" i="2"/>
  <c r="E27" i="2"/>
  <c r="E28" i="2"/>
  <c r="E29" i="2"/>
  <c r="E30" i="2"/>
  <c r="E31" i="2"/>
  <c r="G31" i="2"/>
  <c r="H56" i="1" s="1"/>
  <c r="E32" i="2"/>
  <c r="E20" i="2"/>
  <c r="E21" i="2"/>
  <c r="G21" i="2" s="1"/>
  <c r="H44" i="1" s="1"/>
  <c r="N4" i="17"/>
  <c r="F20" i="2"/>
  <c r="H20" i="2" s="1"/>
  <c r="I20" i="2" s="1"/>
  <c r="D20" i="2" s="1"/>
  <c r="E15" i="2"/>
  <c r="E16" i="2"/>
  <c r="E17" i="2"/>
  <c r="E18" i="2"/>
  <c r="E19" i="2"/>
  <c r="G19" i="2" s="1"/>
  <c r="H40" i="1" s="1"/>
  <c r="E7" i="2"/>
  <c r="E8" i="2"/>
  <c r="E9" i="2"/>
  <c r="E10" i="2"/>
  <c r="E11" i="2"/>
  <c r="E12" i="2"/>
  <c r="E13" i="2"/>
  <c r="E14" i="2"/>
  <c r="E5" i="2"/>
  <c r="E6" i="2"/>
  <c r="E4" i="2"/>
  <c r="F13" i="2"/>
  <c r="H13" i="2" s="1"/>
  <c r="I13" i="2" s="1"/>
  <c r="D13" i="2" s="1"/>
  <c r="F14" i="2"/>
  <c r="G14" i="2" s="1"/>
  <c r="H26" i="1" s="1"/>
  <c r="F15" i="2"/>
  <c r="G15" i="2"/>
  <c r="H27" i="1" s="1"/>
  <c r="H15" i="2"/>
  <c r="I15" i="2"/>
  <c r="D15" i="2" s="1"/>
  <c r="F16" i="2"/>
  <c r="G16" i="2" s="1"/>
  <c r="H36" i="1" s="1"/>
  <c r="F17" i="2"/>
  <c r="F18" i="2"/>
  <c r="H18" i="2" s="1"/>
  <c r="I18" i="2" s="1"/>
  <c r="D18" i="2" s="1"/>
  <c r="F19" i="2"/>
  <c r="H19" i="2"/>
  <c r="I19" i="2"/>
  <c r="D19" i="2" s="1"/>
  <c r="C8" i="8"/>
  <c r="F11" i="2"/>
  <c r="H11" i="2"/>
  <c r="I11" i="2"/>
  <c r="F10" i="2"/>
  <c r="G10" i="2" s="1"/>
  <c r="H21" i="1" s="1"/>
  <c r="F6" i="2"/>
  <c r="H6" i="2" s="1"/>
  <c r="I6" i="2" s="1"/>
  <c r="D6" i="2" s="1"/>
  <c r="F7" i="2"/>
  <c r="H7" i="2" s="1"/>
  <c r="I7" i="2" s="1"/>
  <c r="D7" i="2" s="1"/>
  <c r="F8" i="2"/>
  <c r="H8" i="2" s="1"/>
  <c r="I8" i="2" s="1"/>
  <c r="D8" i="2" s="1"/>
  <c r="F9" i="2"/>
  <c r="H9" i="2" s="1"/>
  <c r="I9" i="2" s="1"/>
  <c r="D9" i="2" s="1"/>
  <c r="N3" i="7"/>
  <c r="N5" i="7"/>
  <c r="E6" i="11"/>
  <c r="D6" i="11"/>
  <c r="F12" i="2"/>
  <c r="F5" i="2"/>
  <c r="G5" i="2" s="1"/>
  <c r="H5" i="2"/>
  <c r="I5" i="2"/>
  <c r="D5" i="2" s="1"/>
  <c r="F3" i="2"/>
  <c r="F4" i="2"/>
  <c r="F13" i="15"/>
  <c r="C7" i="8"/>
  <c r="G54" i="2"/>
  <c r="C16" i="12"/>
  <c r="H54" i="2"/>
  <c r="I54" i="2"/>
  <c r="D54" i="2" s="1"/>
  <c r="J15" i="14"/>
  <c r="H61" i="2"/>
  <c r="I61" i="2"/>
  <c r="D61" i="2"/>
  <c r="H59" i="2"/>
  <c r="I59" i="2"/>
  <c r="D59" i="2"/>
  <c r="C245" i="17"/>
  <c r="K4" i="17" s="1"/>
  <c r="C16" i="10"/>
  <c r="H62" i="2"/>
  <c r="I62" i="2"/>
  <c r="D62" i="2"/>
  <c r="H60" i="2"/>
  <c r="I60" i="2"/>
  <c r="D60" i="2"/>
  <c r="B2" i="2"/>
  <c r="I9" i="1"/>
  <c r="J9" i="1" s="1" a="1"/>
  <c r="J9" i="1" s="1"/>
  <c r="I11" i="1"/>
  <c r="J11" i="1" a="1"/>
  <c r="J11" i="1" s="1"/>
  <c r="E15" i="7"/>
  <c r="C5" i="8"/>
  <c r="N6" i="17"/>
  <c r="I8" i="1"/>
  <c r="J8" i="1" s="1" a="1"/>
  <c r="J8" i="1" s="1"/>
  <c r="I2" i="1"/>
  <c r="J2" i="1" s="1" a="1"/>
  <c r="J2" i="1" s="1"/>
  <c r="I10" i="1"/>
  <c r="J10" i="1" a="1"/>
  <c r="J10" i="1" s="1"/>
  <c r="I4" i="1"/>
  <c r="J4" i="1" a="1"/>
  <c r="J4" i="1" s="1"/>
  <c r="I6" i="1"/>
  <c r="J6" i="1" a="1"/>
  <c r="J6" i="1" s="1"/>
  <c r="I3" i="1"/>
  <c r="J3" i="1" s="1" a="1"/>
  <c r="J3" i="1" s="1"/>
  <c r="I5" i="1"/>
  <c r="J5" i="1" s="1" a="1"/>
  <c r="J5" i="1" s="1"/>
  <c r="I7" i="1"/>
  <c r="J7" i="1" s="1" a="1"/>
  <c r="J7" i="1" s="1"/>
  <c r="I14" i="1"/>
  <c r="J14" i="1" s="1" a="1"/>
  <c r="J14" i="1" s="1"/>
  <c r="I12" i="1"/>
  <c r="J12" i="1" s="1" a="1"/>
  <c r="J12" i="1" s="1"/>
  <c r="D2" i="17"/>
  <c r="G8" i="2"/>
  <c r="H19" i="1" s="1"/>
  <c r="U17" i="9" a="1"/>
  <c r="U17" i="9" s="1"/>
  <c r="C2" i="2"/>
  <c r="N5" i="17" l="1"/>
  <c r="H8" i="1"/>
  <c r="H12" i="1"/>
  <c r="H6" i="1"/>
  <c r="H13" i="1"/>
  <c r="H2" i="1"/>
  <c r="H85" i="1"/>
  <c r="H5" i="1"/>
  <c r="H4" i="1"/>
  <c r="H14" i="1"/>
  <c r="H9" i="1"/>
  <c r="H7" i="1"/>
  <c r="H3" i="1"/>
  <c r="H10" i="1"/>
  <c r="H11" i="1"/>
  <c r="G24" i="2"/>
  <c r="G46" i="2"/>
  <c r="G22" i="2"/>
  <c r="H45" i="1" s="1"/>
  <c r="H57" i="2"/>
  <c r="I57" i="2" s="1"/>
  <c r="D57" i="2" s="1"/>
  <c r="G7" i="2"/>
  <c r="H18" i="1" s="1"/>
  <c r="G32" i="2"/>
  <c r="H58" i="1" s="1"/>
  <c r="G40" i="2"/>
  <c r="H45" i="2"/>
  <c r="I45" i="2" s="1"/>
  <c r="D45" i="2" s="1"/>
  <c r="G56" i="2"/>
  <c r="G29" i="2"/>
  <c r="H54" i="1" s="1"/>
  <c r="G4" i="2"/>
  <c r="G13" i="2"/>
  <c r="G20" i="2"/>
  <c r="H41" i="1" s="1"/>
  <c r="G27" i="2"/>
  <c r="G42" i="2"/>
  <c r="G36" i="2"/>
  <c r="H66" i="1" s="1"/>
  <c r="H49" i="1"/>
  <c r="H47" i="1"/>
  <c r="H86" i="1"/>
  <c r="H87" i="1"/>
  <c r="H79" i="1"/>
  <c r="H76" i="1"/>
  <c r="H50" i="2"/>
  <c r="I50" i="2" s="1"/>
  <c r="D50" i="2" s="1"/>
  <c r="G6" i="2"/>
  <c r="G37" i="2"/>
  <c r="H68" i="1" s="1"/>
  <c r="G17" i="2"/>
  <c r="H37" i="1" s="1"/>
  <c r="G12" i="2"/>
  <c r="H23" i="1" s="1"/>
  <c r="H16" i="2"/>
  <c r="I16" i="2" s="1"/>
  <c r="D16" i="2" s="1"/>
  <c r="G35" i="2"/>
  <c r="H65" i="1" s="1"/>
  <c r="H52" i="2"/>
  <c r="I52" i="2" s="1"/>
  <c r="D52" i="2" s="1"/>
  <c r="G44" i="2"/>
  <c r="H78" i="1" s="1"/>
  <c r="G47" i="2"/>
  <c r="H88" i="1" s="1"/>
  <c r="G51" i="2"/>
  <c r="H92" i="1" s="1"/>
  <c r="H14" i="2"/>
  <c r="I14" i="2" s="1"/>
  <c r="D14" i="2" s="1"/>
  <c r="H62" i="1"/>
  <c r="H75" i="1"/>
  <c r="H4" i="2"/>
  <c r="I4" i="2" s="1"/>
  <c r="D4" i="2" s="1"/>
  <c r="G11" i="2"/>
  <c r="H35" i="1" s="1"/>
  <c r="G9" i="2"/>
  <c r="H20" i="1" s="1"/>
  <c r="G25" i="2"/>
  <c r="H48" i="1" s="1"/>
  <c r="G23" i="2"/>
  <c r="H46" i="1" s="1"/>
  <c r="N14" i="6"/>
  <c r="C4" i="8" s="1"/>
  <c r="G58" i="6"/>
  <c r="H53" i="1"/>
  <c r="H51" i="1"/>
  <c r="H67" i="1"/>
  <c r="H24" i="1"/>
  <c r="H32" i="1"/>
  <c r="H33" i="1"/>
  <c r="H77" i="1"/>
  <c r="H81" i="1"/>
  <c r="H82" i="1"/>
  <c r="H73" i="1"/>
  <c r="H74" i="1"/>
  <c r="H28" i="1"/>
  <c r="H90" i="1"/>
  <c r="H94" i="1"/>
  <c r="G18" i="2"/>
  <c r="H70" i="1"/>
  <c r="H33" i="2"/>
  <c r="I33" i="2" s="1"/>
  <c r="D33" i="2" s="1"/>
  <c r="H53" i="2"/>
  <c r="I53" i="2" s="1"/>
  <c r="D53" i="2" s="1"/>
  <c r="G28" i="2"/>
  <c r="H52" i="1" s="1"/>
  <c r="G30" i="2"/>
  <c r="H17" i="2"/>
  <c r="I17" i="2" s="1"/>
  <c r="D17" i="2" s="1"/>
  <c r="H25" i="2"/>
  <c r="I25" i="2" s="1"/>
  <c r="D25" i="2" s="1"/>
  <c r="H43" i="2"/>
  <c r="I43" i="2" s="1"/>
  <c r="D43" i="2" s="1"/>
  <c r="H36" i="2"/>
  <c r="I36" i="2" s="1"/>
  <c r="D36" i="2" s="1"/>
  <c r="H96" i="1"/>
  <c r="H72" i="1"/>
  <c r="H61" i="1"/>
  <c r="H59" i="1"/>
  <c r="H12" i="2"/>
  <c r="I12" i="2" s="1"/>
  <c r="D12" i="2" s="1"/>
  <c r="H34" i="1"/>
  <c r="G26" i="2"/>
  <c r="H50" i="1" s="1"/>
  <c r="H10" i="2"/>
  <c r="I10" i="2" s="1"/>
  <c r="D10" i="2" s="1"/>
  <c r="H57" i="1"/>
  <c r="G48" i="2"/>
  <c r="H89" i="1" s="1"/>
  <c r="H29" i="1"/>
  <c r="H29" i="2"/>
  <c r="I29" i="2" s="1"/>
  <c r="D29" i="2" s="1"/>
  <c r="H38" i="9" a="1"/>
  <c r="H38" i="9" s="1"/>
  <c r="D48" i="9"/>
  <c r="C52" i="9"/>
  <c r="P13" i="9" s="1" a="1"/>
  <c r="P13" i="9" s="1"/>
  <c r="F52" i="9"/>
  <c r="S13" i="9" s="1" a="1"/>
  <c r="S13" i="9" s="1"/>
  <c r="J51" i="9"/>
  <c r="W12" i="9" s="1"/>
  <c r="B9" i="20" s="1"/>
  <c r="J31" i="9"/>
  <c r="B15" i="9"/>
  <c r="E15" i="9" s="1"/>
  <c r="A13" i="20"/>
  <c r="A10" i="20"/>
  <c r="A3" i="20"/>
  <c r="A11" i="20"/>
  <c r="A14" i="20"/>
  <c r="G38" i="9" a="1"/>
  <c r="G38" i="9" s="1"/>
  <c r="I38" i="9" s="1"/>
  <c r="D52" i="9"/>
  <c r="Q13" i="9" s="1" a="1"/>
  <c r="Q13" i="9" s="1"/>
  <c r="S17" i="9" a="1"/>
  <c r="S17" i="9" s="1"/>
  <c r="P18" i="9" a="1"/>
  <c r="P18" i="9" s="1"/>
  <c r="S18" i="9" a="1"/>
  <c r="S18" i="9" s="1"/>
  <c r="H51" i="9"/>
  <c r="U12" i="9" s="1" a="1"/>
  <c r="U12" i="9" s="1"/>
  <c r="U18" i="9" a="1"/>
  <c r="U18" i="9" s="1"/>
  <c r="G29" i="9" a="1"/>
  <c r="G29" i="9" s="1"/>
  <c r="R18" i="9" a="1"/>
  <c r="R18" i="9" s="1"/>
  <c r="C50" i="9"/>
  <c r="P11" i="9" s="1" a="1"/>
  <c r="P11" i="9" s="1"/>
  <c r="T18" i="9" a="1"/>
  <c r="T18" i="9" s="1"/>
  <c r="H47" i="9"/>
  <c r="J47" i="9"/>
  <c r="W8" i="9" s="1"/>
  <c r="B5" i="20" s="1"/>
  <c r="Q18" i="9" a="1"/>
  <c r="Q18" i="9" s="1"/>
  <c r="A7" i="20"/>
  <c r="W17" i="9"/>
  <c r="B14" i="20" s="1"/>
  <c r="A12" i="21"/>
  <c r="B12" i="21" s="1"/>
  <c r="W18" i="9"/>
  <c r="A12" i="20"/>
  <c r="A6" i="20"/>
  <c r="A11" i="21"/>
  <c r="B11" i="21" s="1"/>
  <c r="R17" i="9" a="1"/>
  <c r="R17" i="9" s="1"/>
  <c r="H50" i="9"/>
  <c r="U11" i="9" s="1" a="1"/>
  <c r="U11" i="9" s="1"/>
  <c r="U8" i="9" a="1"/>
  <c r="U8" i="9" s="1"/>
  <c r="Q9" i="9" a="1"/>
  <c r="Q9" i="9" s="1"/>
  <c r="Q17" i="9" a="1"/>
  <c r="Q17" i="9" s="1"/>
  <c r="G47" i="9"/>
  <c r="T8" i="9" s="1" a="1"/>
  <c r="T8" i="9" s="1"/>
  <c r="E54" i="9"/>
  <c r="R15" i="9" s="1" a="1"/>
  <c r="R15" i="9" s="1"/>
  <c r="E47" i="9"/>
  <c r="R8" i="9" s="1" a="1"/>
  <c r="R8" i="9" s="1"/>
  <c r="P17" i="9" a="1"/>
  <c r="P17" i="9" s="1"/>
  <c r="D54" i="9"/>
  <c r="Q15" i="9" s="1" a="1"/>
  <c r="Q15" i="9" s="1"/>
  <c r="S16" i="9" a="1"/>
  <c r="S16" i="9" s="1"/>
  <c r="F50" i="9"/>
  <c r="S11" i="9" s="1" a="1"/>
  <c r="S11" i="9" s="1"/>
  <c r="D49" i="9"/>
  <c r="Q10" i="9" s="1" a="1"/>
  <c r="Q10" i="9" s="1"/>
  <c r="B5" i="9"/>
  <c r="E5" i="9" s="1"/>
  <c r="B16" i="9"/>
  <c r="C46" i="9"/>
  <c r="P7" i="9" s="1" a="1"/>
  <c r="P7" i="9" s="1"/>
  <c r="F51" i="9"/>
  <c r="S12" i="9" s="1" a="1"/>
  <c r="S12" i="9" s="1"/>
  <c r="B10" i="9"/>
  <c r="C10" i="9" s="1"/>
  <c r="J38" i="9"/>
  <c r="G27" i="9" a="1"/>
  <c r="G27" i="9" s="1"/>
  <c r="E48" i="9"/>
  <c r="R9" i="9" s="1" a="1"/>
  <c r="R9" i="9" s="1"/>
  <c r="T17" i="9" a="1"/>
  <c r="T17" i="9" s="1"/>
  <c r="V17" i="9" s="1"/>
  <c r="H36" i="9" a="1"/>
  <c r="H36" i="9" s="1"/>
  <c r="G50" i="9"/>
  <c r="T11" i="9" s="1" a="1"/>
  <c r="T11" i="9" s="1"/>
  <c r="W16" i="9"/>
  <c r="B13" i="20" s="1"/>
  <c r="A10" i="21"/>
  <c r="B10" i="21" s="1"/>
  <c r="A9" i="20"/>
  <c r="A7" i="21"/>
  <c r="B7" i="21" s="1"/>
  <c r="V19" i="9"/>
  <c r="X19" i="9" s="1"/>
  <c r="A6" i="21"/>
  <c r="B6" i="21" s="1"/>
  <c r="A5" i="20"/>
  <c r="A5" i="21"/>
  <c r="B5" i="21" s="1"/>
  <c r="A4" i="20"/>
  <c r="A8" i="20"/>
  <c r="A3" i="21"/>
  <c r="B3" i="21" s="1"/>
  <c r="A4" i="21"/>
  <c r="B4" i="21" s="1"/>
  <c r="A13" i="21"/>
  <c r="B13" i="21" s="1"/>
  <c r="O5" i="9"/>
  <c r="A2" i="21" s="1"/>
  <c r="B2" i="21" s="1"/>
  <c r="A8" i="21"/>
  <c r="B8" i="21" s="1"/>
  <c r="J46" i="9"/>
  <c r="W7" i="9" s="1"/>
  <c r="B4" i="20" s="1"/>
  <c r="H32" i="9" a="1"/>
  <c r="H32" i="9" s="1"/>
  <c r="G36" i="9" a="1"/>
  <c r="G36" i="9" s="1"/>
  <c r="B7" i="9"/>
  <c r="E7" i="9" s="1"/>
  <c r="G33" i="9" a="1"/>
  <c r="G33" i="9" s="1"/>
  <c r="H34" i="9" a="1"/>
  <c r="H34" i="9" s="1"/>
  <c r="F49" i="9"/>
  <c r="S10" i="9" s="1" a="1"/>
  <c r="S10" i="9" s="1"/>
  <c r="J28" i="9"/>
  <c r="G54" i="9"/>
  <c r="T15" i="9" s="1" a="1"/>
  <c r="T15" i="9" s="1"/>
  <c r="H45" i="9"/>
  <c r="U6" i="9" s="1" a="1"/>
  <c r="U6" i="9" s="1"/>
  <c r="C45" i="9"/>
  <c r="P6" i="9" s="1" a="1"/>
  <c r="P6" i="9" s="1"/>
  <c r="J30" i="9"/>
  <c r="T16" i="9" a="1"/>
  <c r="T16" i="9" s="1"/>
  <c r="D50" i="9"/>
  <c r="Q11" i="9" s="1" a="1"/>
  <c r="Q11" i="9" s="1"/>
  <c r="C53" i="9"/>
  <c r="P14" i="9" s="1" a="1"/>
  <c r="P14" i="9" s="1"/>
  <c r="H52" i="9"/>
  <c r="U13" i="9" s="1" a="1"/>
  <c r="U13" i="9" s="1"/>
  <c r="J53" i="9"/>
  <c r="W14" i="9" s="1"/>
  <c r="B11" i="20" s="1"/>
  <c r="G35" i="9" a="1"/>
  <c r="G35" i="9" s="1"/>
  <c r="Q16" i="9" a="1"/>
  <c r="Q16" i="9" s="1"/>
  <c r="G31" i="9" a="1"/>
  <c r="G31" i="9" s="1"/>
  <c r="E45" i="9"/>
  <c r="R6" i="9" s="1" a="1"/>
  <c r="R6" i="9" s="1"/>
  <c r="J54" i="9"/>
  <c r="W15" i="9" s="1"/>
  <c r="B12" i="20" s="1"/>
  <c r="H31" i="9" a="1"/>
  <c r="H31" i="9" s="1"/>
  <c r="H37" i="9" a="1"/>
  <c r="H37" i="9" s="1"/>
  <c r="J50" i="9"/>
  <c r="W11" i="9" s="1"/>
  <c r="B8" i="20" s="1"/>
  <c r="D53" i="9"/>
  <c r="Q14" i="9" s="1" a="1"/>
  <c r="Q14" i="9" s="1"/>
  <c r="J34" i="9"/>
  <c r="B26" i="9"/>
  <c r="C44" i="9" s="1"/>
  <c r="P5" i="9" s="1" a="1"/>
  <c r="P5" i="9" s="1"/>
  <c r="F46" i="9"/>
  <c r="S7" i="9" s="1" a="1"/>
  <c r="S7" i="9" s="1"/>
  <c r="H35" i="9" a="1"/>
  <c r="H35" i="9" s="1"/>
  <c r="J49" i="9"/>
  <c r="W10" i="9" s="1"/>
  <c r="B7" i="20" s="1"/>
  <c r="E52" i="9"/>
  <c r="R13" i="9" s="1" a="1"/>
  <c r="R13" i="9" s="1"/>
  <c r="P16" i="9" a="1"/>
  <c r="P16" i="9" s="1"/>
  <c r="G32" i="9" a="1"/>
  <c r="G32" i="9" s="1"/>
  <c r="D45" i="9"/>
  <c r="Q6" i="9" s="1" a="1"/>
  <c r="Q6" i="9" s="1"/>
  <c r="G28" i="9" a="1"/>
  <c r="G28" i="9" s="1"/>
  <c r="H28" i="9" a="1"/>
  <c r="H28" i="9" s="1"/>
  <c r="H46" i="9"/>
  <c r="U7" i="9" s="1" a="1"/>
  <c r="U7" i="9" s="1"/>
  <c r="F45" i="9"/>
  <c r="S6" i="9" s="1" a="1"/>
  <c r="S6" i="9" s="1"/>
  <c r="D51" i="9"/>
  <c r="Q12" i="9" s="1" a="1"/>
  <c r="Q12" i="9" s="1"/>
  <c r="B8" i="9"/>
  <c r="E8" i="9" s="1"/>
  <c r="E53" i="9"/>
  <c r="R14" i="9" s="1" a="1"/>
  <c r="R14" i="9" s="1"/>
  <c r="B11" i="9"/>
  <c r="E50" i="9"/>
  <c r="R11" i="9" s="1" a="1"/>
  <c r="R11" i="9" s="1"/>
  <c r="C49" i="9"/>
  <c r="P10" i="9" s="1" a="1"/>
  <c r="P10" i="9" s="1"/>
  <c r="B9" i="9"/>
  <c r="J32" i="9"/>
  <c r="F54" i="9"/>
  <c r="S15" i="9" s="1" a="1"/>
  <c r="S15" i="9" s="1"/>
  <c r="J36" i="9"/>
  <c r="H54" i="9"/>
  <c r="U15" i="9" s="1" a="1"/>
  <c r="U15" i="9" s="1"/>
  <c r="H48" i="9"/>
  <c r="U9" i="9" s="1" a="1"/>
  <c r="U9" i="9" s="1"/>
  <c r="B13" i="9"/>
  <c r="H33" i="9" a="1"/>
  <c r="H33" i="9" s="1"/>
  <c r="J35" i="9"/>
  <c r="F47" i="9"/>
  <c r="S8" i="9" s="1" a="1"/>
  <c r="S8" i="9" s="1"/>
  <c r="F53" i="9"/>
  <c r="S14" i="9" s="1" a="1"/>
  <c r="S14" i="9" s="1"/>
  <c r="J27" i="9"/>
  <c r="E49" i="9"/>
  <c r="R10" i="9" s="1" a="1"/>
  <c r="R10" i="9" s="1"/>
  <c r="B6" i="9"/>
  <c r="E6" i="9" s="1"/>
  <c r="C48" i="9"/>
  <c r="P9" i="9" s="1" a="1"/>
  <c r="P9" i="9" s="1"/>
  <c r="G46" i="9"/>
  <c r="G30" i="9" a="1"/>
  <c r="G30" i="9" s="1"/>
  <c r="H30" i="9" a="1"/>
  <c r="H30" i="9" s="1"/>
  <c r="G34" i="9" a="1"/>
  <c r="G34" i="9" s="1"/>
  <c r="J33" i="9"/>
  <c r="J48" i="9"/>
  <c r="W9" i="9" s="1"/>
  <c r="B6" i="20" s="1"/>
  <c r="B14" i="9"/>
  <c r="J52" i="9"/>
  <c r="W13" i="9" s="1"/>
  <c r="B10" i="20" s="1"/>
  <c r="G53" i="9"/>
  <c r="T14" i="9" s="1" a="1"/>
  <c r="T14" i="9" s="1"/>
  <c r="E51" i="9"/>
  <c r="R12" i="9" s="1" a="1"/>
  <c r="R12" i="9" s="1"/>
  <c r="J29" i="9"/>
  <c r="H53" i="9"/>
  <c r="U14" i="9" s="1" a="1"/>
  <c r="U14" i="9" s="1"/>
  <c r="T7" i="9" a="1"/>
  <c r="T7" i="9" s="1"/>
  <c r="C51" i="9"/>
  <c r="P12" i="9" s="1" a="1"/>
  <c r="P12" i="9" s="1"/>
  <c r="G48" i="9"/>
  <c r="I48" i="9" s="1"/>
  <c r="G37" i="9" a="1"/>
  <c r="G37" i="9" s="1"/>
  <c r="G51" i="9"/>
  <c r="J45" i="9"/>
  <c r="W6" i="9" s="1"/>
  <c r="B3" i="20" s="1"/>
  <c r="H29" i="9" a="1"/>
  <c r="H29" i="9" s="1"/>
  <c r="U16" i="9" a="1"/>
  <c r="U16" i="9" s="1"/>
  <c r="F48" i="9"/>
  <c r="S9" i="9" s="1" a="1"/>
  <c r="S9" i="9" s="1"/>
  <c r="D46" i="9"/>
  <c r="Q7" i="9" s="1" a="1"/>
  <c r="Q7" i="9" s="1"/>
  <c r="C47" i="9"/>
  <c r="P8" i="9" s="1" a="1"/>
  <c r="P8" i="9" s="1"/>
  <c r="E46" i="9"/>
  <c r="R7" i="9" s="1" a="1"/>
  <c r="R7" i="9" s="1"/>
  <c r="G52" i="9"/>
  <c r="T13" i="9" s="1" a="1"/>
  <c r="T13" i="9" s="1"/>
  <c r="H49" i="9"/>
  <c r="U10" i="9" s="1" a="1"/>
  <c r="U10" i="9" s="1"/>
  <c r="G49" i="9"/>
  <c r="T10" i="9" s="1" a="1"/>
  <c r="T10" i="9" s="1"/>
  <c r="B12" i="9"/>
  <c r="D47" i="9"/>
  <c r="Q8" i="9" s="1" a="1"/>
  <c r="Q8" i="9" s="1"/>
  <c r="H27" i="9" a="1"/>
  <c r="H27" i="9" s="1"/>
  <c r="J37" i="9"/>
  <c r="I98" i="1" a="1"/>
  <c r="I98" i="1" s="1"/>
  <c r="J98" i="1" a="1"/>
  <c r="J98" i="1" s="1"/>
  <c r="C54" i="9"/>
  <c r="P15" i="9" s="1" a="1"/>
  <c r="P15" i="9" s="1"/>
  <c r="G45" i="9"/>
  <c r="A9" i="21"/>
  <c r="B9" i="21" s="1"/>
  <c r="N7" i="17"/>
  <c r="C19" i="10" s="1"/>
  <c r="J35" i="14"/>
  <c r="C12" i="8" s="1"/>
  <c r="D35" i="18"/>
  <c r="C11" i="8" s="1"/>
  <c r="I35" i="12"/>
  <c r="G13" i="15"/>
  <c r="D35" i="14"/>
  <c r="C10" i="8" s="1"/>
  <c r="C37" i="12"/>
  <c r="E35" i="18"/>
  <c r="H13" i="15"/>
  <c r="I58" i="6"/>
  <c r="L41" i="6" s="1"/>
  <c r="D245" i="17"/>
  <c r="C12" i="10"/>
  <c r="H58" i="6"/>
  <c r="D2" i="2"/>
  <c r="K98" i="1"/>
  <c r="H83" i="1" l="1"/>
  <c r="H42" i="1"/>
  <c r="H25" i="1"/>
  <c r="H22" i="1"/>
  <c r="H30" i="1"/>
  <c r="H31" i="1"/>
  <c r="H17" i="1"/>
  <c r="H16" i="1"/>
  <c r="H95" i="1"/>
  <c r="H64" i="1"/>
  <c r="H55" i="1"/>
  <c r="H43" i="1"/>
  <c r="H39" i="1"/>
  <c r="H38" i="1"/>
  <c r="C15" i="9"/>
  <c r="D10" i="19" a="1"/>
  <c r="D10" i="19" s="1"/>
  <c r="I29" i="9"/>
  <c r="K29" i="9" s="1"/>
  <c r="I35" i="9"/>
  <c r="K35" i="9" s="1"/>
  <c r="V7" i="9"/>
  <c r="X7" i="9" s="1"/>
  <c r="V18" i="9"/>
  <c r="X18" i="9" s="1"/>
  <c r="K48" i="9"/>
  <c r="A2" i="20"/>
  <c r="D12" i="19" a="1"/>
  <c r="D12" i="19" s="1"/>
  <c r="V15" i="9"/>
  <c r="X15" i="9" s="1"/>
  <c r="C12" i="20" s="1"/>
  <c r="I46" i="9"/>
  <c r="K46" i="9" s="1"/>
  <c r="D14" i="19" a="1"/>
  <c r="D14" i="19" s="1"/>
  <c r="I54" i="9"/>
  <c r="K54" i="9" s="1"/>
  <c r="X17" i="9"/>
  <c r="C14" i="19" a="1"/>
  <c r="C14" i="19" s="1"/>
  <c r="K38" i="9"/>
  <c r="I32" i="9"/>
  <c r="K32" i="9" s="1"/>
  <c r="V14" i="9"/>
  <c r="X14" i="9" s="1"/>
  <c r="C11" i="20" s="1"/>
  <c r="V8" i="9"/>
  <c r="V13" i="9"/>
  <c r="X13" i="9" s="1"/>
  <c r="C10" i="20" s="1"/>
  <c r="I30" i="9"/>
  <c r="K30" i="9" s="1"/>
  <c r="I27" i="9"/>
  <c r="K27" i="9" s="1"/>
  <c r="H26" i="9" a="1"/>
  <c r="H26" i="9" s="1"/>
  <c r="D8" i="19" a="1"/>
  <c r="D8" i="19" s="1"/>
  <c r="D26" i="9" a="1"/>
  <c r="D26" i="9" s="1"/>
  <c r="I47" i="9"/>
  <c r="K47" i="9" s="1"/>
  <c r="V11" i="9"/>
  <c r="X11" i="9" s="1"/>
  <c r="C8" i="20" s="1"/>
  <c r="J26" i="9"/>
  <c r="I52" i="9"/>
  <c r="K52" i="9" s="1"/>
  <c r="I31" i="9"/>
  <c r="K31" i="9" s="1"/>
  <c r="C26" i="9" a="1"/>
  <c r="C26" i="9" s="1"/>
  <c r="I53" i="9"/>
  <c r="K53" i="9" s="1"/>
  <c r="B4" i="9"/>
  <c r="E4" i="9" s="1"/>
  <c r="C8" i="9"/>
  <c r="C5" i="9"/>
  <c r="I50" i="9"/>
  <c r="G26" i="9" a="1"/>
  <c r="G26" i="9" s="1"/>
  <c r="D44" i="9"/>
  <c r="Q5" i="9" s="1" a="1"/>
  <c r="Q5" i="9" s="1"/>
  <c r="E16" i="9"/>
  <c r="C16" i="9"/>
  <c r="G44" i="9"/>
  <c r="T5" i="9" s="1" a="1"/>
  <c r="T5" i="9" s="1"/>
  <c r="F44" i="9"/>
  <c r="S5" i="9" s="1" a="1"/>
  <c r="S5" i="9" s="1"/>
  <c r="E26" i="9" a="1"/>
  <c r="E26" i="9" s="1"/>
  <c r="E10" i="9"/>
  <c r="I28" i="9"/>
  <c r="K28" i="9" s="1"/>
  <c r="I36" i="9"/>
  <c r="K36" i="9" s="1"/>
  <c r="V16" i="9"/>
  <c r="X16" i="9" s="1"/>
  <c r="C13" i="20" s="1"/>
  <c r="I49" i="9"/>
  <c r="K49" i="9" s="1"/>
  <c r="E9" i="9" a="1"/>
  <c r="E9" i="9" s="1"/>
  <c r="C9" i="9"/>
  <c r="T9" i="9" a="1"/>
  <c r="T9" i="9" s="1"/>
  <c r="V9" i="9" s="1"/>
  <c r="X9" i="9" s="1"/>
  <c r="C6" i="20" s="1"/>
  <c r="V10" i="9"/>
  <c r="X10" i="9" s="1"/>
  <c r="C7" i="20" s="1"/>
  <c r="I37" i="9"/>
  <c r="K37" i="9" s="1"/>
  <c r="E12" i="9"/>
  <c r="C12" i="9"/>
  <c r="I51" i="9"/>
  <c r="K51" i="9" s="1"/>
  <c r="T12" i="9" a="1"/>
  <c r="T12" i="9" s="1"/>
  <c r="V12" i="9" s="1"/>
  <c r="X12" i="9" s="1"/>
  <c r="C9" i="20" s="1"/>
  <c r="C14" i="9"/>
  <c r="E14" i="9"/>
  <c r="K50" i="9"/>
  <c r="E18" i="19" a="1"/>
  <c r="E18" i="19" s="1"/>
  <c r="C13" i="9"/>
  <c r="E13" i="9"/>
  <c r="C7" i="9"/>
  <c r="C11" i="9"/>
  <c r="E11" i="9"/>
  <c r="J44" i="9"/>
  <c r="W5" i="9" s="1"/>
  <c r="B2" i="20" s="1"/>
  <c r="E44" i="9"/>
  <c r="R5" i="9" s="1" a="1"/>
  <c r="R5" i="9" s="1"/>
  <c r="C12" i="19" a="1"/>
  <c r="C12" i="19" s="1"/>
  <c r="F26" i="9" a="1"/>
  <c r="F26" i="9" s="1"/>
  <c r="H44" i="9"/>
  <c r="U5" i="9" s="1" a="1"/>
  <c r="U5" i="9" s="1"/>
  <c r="C6" i="9"/>
  <c r="I34" i="9"/>
  <c r="K34" i="9" s="1"/>
  <c r="I33" i="9"/>
  <c r="K33" i="9" s="1"/>
  <c r="I45" i="9"/>
  <c r="K45" i="9" s="1"/>
  <c r="T6" i="9" a="1"/>
  <c r="T6" i="9" s="1"/>
  <c r="V6" i="9" s="1"/>
  <c r="X6" i="9" s="1"/>
  <c r="C3" i="20" s="1"/>
  <c r="P7" i="17"/>
  <c r="F35" i="18"/>
  <c r="C9" i="8"/>
  <c r="C14" i="8" s="1"/>
  <c r="C4" i="10" s="1"/>
  <c r="C15" i="10" s="1"/>
  <c r="C17" i="10" s="1"/>
  <c r="F245" i="17"/>
  <c r="K5" i="17"/>
  <c r="K6" i="17" s="1"/>
  <c r="X8" i="9" l="1"/>
  <c r="C5" i="20" s="1"/>
  <c r="E20" i="19" a="1"/>
  <c r="E20" i="19" s="1"/>
  <c r="E12" i="19"/>
  <c r="E14" i="19"/>
  <c r="I26" i="9"/>
  <c r="K26" i="9" s="1"/>
  <c r="C4" i="20"/>
  <c r="V5" i="9"/>
  <c r="X5" i="9" s="1"/>
  <c r="C2" i="20" s="1"/>
  <c r="C20" i="9"/>
  <c r="C4" i="9"/>
  <c r="I44" i="9"/>
  <c r="K44" i="9" s="1"/>
  <c r="C22" i="9"/>
  <c r="C3" i="10" s="1"/>
  <c r="C11" i="10" s="1"/>
  <c r="C13" i="10" s="1"/>
  <c r="C21" i="10" s="1"/>
  <c r="E16" i="19" l="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<sst xmlns="http://schemas.openxmlformats.org/spreadsheetml/2006/main" count="1390" uniqueCount="320">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</sst>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6">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1021847</xdr:colOff>
      <xdr:row>110</xdr:row>
      <xdr:rowOff>2672</xdr:rowOff>
    </xdr:from>
    <xdr:to>
      <xdr:col>16</xdr:col>
      <xdr:colOff>77250</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3333332" createdVersion="8" refreshedVersion="8" minRefreshableVersion="3" recordCount="242" xr:uid="{B5BDFB73-D93A-4A7A-8149-666BC190B09B}">
  <cacheSource type="worksheet">
    <worksheetSource name="Table14"/>
  </cacheSource>
  <cacheFields count="7">
    <cacheField name="Date" numFmtId="14">
      <sharedItems containsSemiMixedTypes="0" containsNonDate="0" containsDate="1" containsString="0" minDate="2025-09-16T00:00:00" maxDate="2025-10-03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3000" maxValue="5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3796294"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36223.48207754211"/>
    </cacheField>
    <cacheField name="Rate" numFmtId="0">
      <sharedItems containsString="0" containsBlank="1" containsNumber="1" minValue="10" maxValue="12"/>
    </cacheField>
    <cacheField name="Total" numFmtId="164">
      <sharedItems containsSemiMixedTypes="0" containsString="0" containsNumber="1" minValue="0" maxValue="3632658.193123628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4143517"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4375001" createdVersion="8" refreshedVersion="8" minRefreshableVersion="3" recordCount="47" xr:uid="{3E5C2981-ACF5-44A9-8567-B1D65DB3A8D2}">
  <cacheSource type="worksheet">
    <worksheetSource name="Table3"/>
  </cacheSource>
  <cacheFields count="9">
    <cacheField name="Date" numFmtId="14">
      <sharedItems containsSemiMixedTypes="0" containsNonDate="0" containsDate="1" containsString="0" minDate="2025-05-02T00:00:00" maxDate="2025-10-02T00:00:00" count="67">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8">
        <s v="Closing Balance CF"/>
        <n v="112"/>
        <n v="1435"/>
        <m/>
        <n v="4646"/>
        <n v="1196"/>
        <n v="4366"/>
        <n v="442"/>
        <n v="6613"/>
        <n v="4095"/>
        <n v="3229"/>
        <n v="162"/>
        <n v="8141"/>
        <n v="5560"/>
        <n v="685"/>
        <n v="571"/>
        <n v="160"/>
        <s v="KBI 112"/>
        <s v="LES 5974"/>
        <s v="LES 8168"/>
        <s v="TAD 0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76"/>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62410"/>
    </cacheField>
    <cacheField name="Total" numFmtId="164">
      <sharedItems containsSemiMixedTypes="0" containsString="0" containsNumber="1" containsInteger="1" minValue="0" maxValue="304560"/>
    </cacheField>
    <cacheField name="Paid" numFmtId="164">
      <sharedItems containsString="0" containsBlank="1" containsNumber="1" containsInteger="1" minValue="0" maxValue="40256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4722225" createdVersion="8" refreshedVersion="8" minRefreshableVersion="3" recordCount="96"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u="1"/>
        <s v="YING" u="1"/>
        <s v="Meow" u="1"/>
        <s v="Umer Sb" u="1"/>
        <s v="-" u="1"/>
        <s v="Sajjad" u="1"/>
        <s v="Haji Ejaz" u="1"/>
      </sharedItems>
    </cacheField>
    <cacheField name="Bill Number" numFmtId="0">
      <sharedItems containsMixedTypes="1" containsNumber="1" containsInteger="1" minValue="604" maxValue="914" count="30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6">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MixedTypes="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3.099335763887"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2">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5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38800"/>
    <s v="2 pali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2T00:00:00"/>
    <x v="28"/>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83627.46891002197"/>
    <n v="10"/>
    <n v="1836658.7417703001"/>
  </r>
  <r>
    <x v="1"/>
    <n v="42778.895391367965"/>
    <n v="10"/>
    <n v="457584.12582297006"/>
  </r>
  <r>
    <x v="2"/>
    <n v="44059.985369422095"/>
    <n v="10"/>
    <n v="470188.36869056337"/>
  </r>
  <r>
    <x v="3"/>
    <n v="13635.6986100951"/>
    <n v="10.5"/>
    <n v="143174.83540599854"/>
  </r>
  <r>
    <x v="4"/>
    <n v="336223.48207754211"/>
    <n v="10"/>
    <n v="3632658.1931236284"/>
  </r>
  <r>
    <x v="5"/>
    <n v="75033.833211411853"/>
    <n v="10"/>
    <n v="750338.3321141185"/>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810"/>
    <n v="40000"/>
    <n v="238950"/>
    <n v="402560"/>
    <n v="-163610"/>
  </r>
  <r>
    <x v="15"/>
    <x v="0"/>
    <x v="20"/>
    <n v="376"/>
    <n v="810"/>
    <n v="62410"/>
    <n v="304560"/>
    <m/>
    <n v="30456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s v="NF"/>
    <n v="14051.755669348941"/>
    <n v="168621.06803218729"/>
    <m/>
  </r>
  <r>
    <x v="13"/>
    <x v="12"/>
    <x v="71"/>
    <m/>
    <x v="0"/>
    <m/>
    <m/>
    <e v="#DIV/0!"/>
    <n v="0"/>
    <e v="#N/A"/>
    <m/>
  </r>
  <r>
    <x v="13"/>
    <x v="1"/>
    <x v="72"/>
    <s v="Silky"/>
    <x v="42"/>
    <n v="15029"/>
    <n v="8722"/>
    <s v="NF"/>
    <n v="7975.4937820043897"/>
    <n v="95705.92538405268"/>
    <m/>
  </r>
  <r>
    <x v="13"/>
    <x v="1"/>
    <x v="73"/>
    <s v="Silky"/>
    <x v="42"/>
    <n v="15029"/>
    <n v="7570"/>
    <s v="NF"/>
    <n v="6922.0921726408196"/>
    <n v="83065.106071689836"/>
    <m/>
  </r>
  <r>
    <x v="14"/>
    <x v="4"/>
    <x v="74"/>
    <s v="Chamki"/>
    <x v="43"/>
    <n v="12128"/>
    <n v="6580"/>
    <s v="NF"/>
    <n v="6016.8251645940018"/>
    <n v="54151.426481346018"/>
    <m/>
  </r>
  <r>
    <x v="14"/>
    <x v="3"/>
    <x v="75"/>
    <s v="Chamki"/>
    <x v="44"/>
    <n v="3889"/>
    <n v="4202"/>
    <s v="NF"/>
    <n v="3842.3555230431607"/>
    <n v="40344.732991953184"/>
    <m/>
  </r>
  <r>
    <x v="14"/>
    <x v="0"/>
    <x v="76"/>
    <s v="Chamki"/>
    <x v="45"/>
    <n v="16003"/>
    <n v="12967"/>
    <s v="NF"/>
    <n v="11857.168983174837"/>
    <n v="118571.68983174837"/>
    <m/>
  </r>
  <r>
    <x v="14"/>
    <x v="10"/>
    <x v="77"/>
    <s v="Chamki"/>
    <x v="46"/>
    <n v="25001"/>
    <n v="15228"/>
    <s v="NF"/>
    <n v="13924.65252377469"/>
    <n v="139246.52523774689"/>
    <m/>
  </r>
  <r>
    <x v="14"/>
    <x v="0"/>
    <x v="78"/>
    <s v="Chamki"/>
    <x v="47"/>
    <n v="25814"/>
    <n v="16294"/>
    <s v="NF"/>
    <n v="14899.414776883688"/>
    <n v="148994.14776883688"/>
    <m/>
  </r>
  <r>
    <x v="14"/>
    <x v="4"/>
    <x v="79"/>
    <s v="Chamki"/>
    <x v="48"/>
    <n v="20007"/>
    <n v="13202"/>
    <s v="NF"/>
    <n v="12072.055596196051"/>
    <n v="108648.50036576446"/>
    <m/>
  </r>
  <r>
    <x v="14"/>
    <x v="0"/>
    <x v="80"/>
    <s v="Chamki"/>
    <x v="45"/>
    <n v="16003"/>
    <n v="4484"/>
    <s v="NF"/>
    <n v="4100.2194586686173"/>
    <n v="41002.194586686172"/>
    <m/>
  </r>
  <r>
    <x v="14"/>
    <x v="0"/>
    <x v="81"/>
    <s v="Chamki"/>
    <x v="47"/>
    <n v="25814"/>
    <n v="12094"/>
    <s v="NF"/>
    <n v="11058.888076079005"/>
    <n v="110588.88076079005"/>
    <m/>
  </r>
  <r>
    <x v="14"/>
    <x v="10"/>
    <x v="82"/>
    <s v="Chamki"/>
    <x v="46"/>
    <n v="25001"/>
    <n v="11836"/>
    <s v="NF"/>
    <n v="10822.970007315291"/>
    <n v="108229.70007315291"/>
    <m/>
  </r>
  <r>
    <x v="14"/>
    <x v="0"/>
    <x v="83"/>
    <s v="Chamki"/>
    <x v="49"/>
    <n v="30174"/>
    <n v="2505"/>
    <s v="NF"/>
    <n v="2290.5998536942211"/>
    <n v="22905.9985369422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5">
      <pivotArea field="0" grandRow="1" outline="0" collapsedLevelsAreSubtotals="1" axis="axisRow" fieldPosition="0">
        <references count="1">
          <reference field="4294967294" count="1" selected="0">
            <x v="1"/>
          </reference>
        </references>
      </pivotArea>
    </format>
    <format dxfId="6">
      <pivotArea field="0" grandRow="1" outline="0" collapsedLevelsAreSubtotals="1" axis="axisRow" fieldPosition="0">
        <references count="1">
          <reference field="4294967294" count="1" selected="0">
            <x v="0"/>
          </reference>
        </references>
      </pivotArea>
    </format>
    <format dxfId="7">
      <pivotArea collapsedLevelsAreSubtotals="1" fieldPosition="0">
        <references count="2">
          <reference field="4294967294" count="1" selected="0">
            <x v="1"/>
          </reference>
          <reference field="0" count="0"/>
        </references>
      </pivotArea>
    </format>
    <format dxfId="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9:G224"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5"/>
        <item m="1" x="16"/>
        <item m="1" x="17"/>
        <item m="1" x="18"/>
        <item m="1" x="19"/>
        <item m="1" x="20"/>
        <item m="1" x="21"/>
        <item m="1" x="22"/>
        <item m="1" x="23"/>
        <item t="default"/>
      </items>
    </pivotField>
    <pivotField axis="axisPage" multipleItemSelectionAllowed="1" showAll="0">
      <items count="21">
        <item x="2"/>
        <item x="0"/>
        <item m="1" x="19"/>
        <item x="6"/>
        <item m="1" x="18"/>
        <item m="1" x="17"/>
        <item m="1" x="16"/>
        <item x="1"/>
        <item x="3"/>
        <item m="1" x="15"/>
        <item x="4"/>
        <item m="1" x="14"/>
        <item m="1" x="13"/>
        <item x="5"/>
        <item x="10"/>
        <item x="8"/>
        <item x="9"/>
        <item x="7"/>
        <item x="11"/>
        <item x="12"/>
        <item t="default"/>
      </items>
    </pivotField>
    <pivotField axis="axisRow" numFmtId="164" showAll="0">
      <items count="30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192"/>
        <item m="1" x="193"/>
        <item m="1" x="194"/>
        <item m="1" x="195"/>
        <item m="1" x="196"/>
        <item m="1" x="197"/>
        <item m="1" x="198"/>
        <item m="1" x="199"/>
        <item m="1" x="200"/>
        <item m="1" x="201"/>
        <item m="1" x="202"/>
        <item m="1" x="203"/>
        <item m="1" x="204"/>
        <item m="1" x="205"/>
        <item m="1" x="206"/>
        <item m="1" x="207"/>
        <item m="1" x="208"/>
        <item m="1" x="209"/>
        <item m="1" x="238"/>
        <item m="1" x="210"/>
        <item m="1" x="211"/>
        <item m="1" x="212"/>
        <item m="1" x="213"/>
        <item m="1" x="214"/>
        <item m="1" x="215"/>
        <item m="1" x="227"/>
        <item m="1" x="216"/>
        <item m="1" x="217"/>
        <item m="1" x="218"/>
        <item m="1" x="219"/>
        <item m="1" x="220"/>
        <item m="1" x="221"/>
        <item m="1" x="222"/>
        <item m="1" x="223"/>
        <item m="1" x="224"/>
        <item m="1" x="225"/>
        <item m="1" x="226"/>
        <item m="1" x="228"/>
        <item m="1" x="229"/>
        <item m="1" x="230"/>
        <item m="1" x="231"/>
        <item m="1" x="232"/>
        <item m="1" x="233"/>
        <item m="1" x="234"/>
        <item m="1" x="235"/>
        <item m="1" x="236"/>
        <item m="1" x="237"/>
        <item m="1" x="239"/>
        <item m="1" x="240"/>
        <item m="1" x="241"/>
        <item m="1" x="242"/>
        <item m="1" x="243"/>
        <item m="1" x="244"/>
        <item m="1" x="245"/>
        <item m="1" x="246"/>
        <item m="1" x="247"/>
        <item m="1" x="248"/>
        <item m="1" x="249"/>
        <item m="1" x="250"/>
        <item m="1" x="251"/>
        <item m="1" x="252"/>
        <item m="1" x="253"/>
        <item m="1" x="84"/>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85"/>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2"/>
        <item m="1" x="183"/>
        <item m="1" x="184"/>
        <item m="1" x="181"/>
        <item m="1" x="185"/>
        <item m="1" x="186"/>
        <item m="1" x="187"/>
        <item m="1" x="188"/>
        <item m="1" x="189"/>
        <item m="1" x="190"/>
        <item m="1" x="1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showAll="0"/>
    <pivotField axis="axisPage" multipleItemSelectionAllowed="1" showAll="0">
      <items count="157">
        <item m="1" x="110"/>
        <item m="1" x="139"/>
        <item m="1" x="140"/>
        <item m="1" x="148"/>
        <item m="1" x="138"/>
        <item m="1" x="137"/>
        <item m="1" x="141"/>
        <item m="1" x="152"/>
        <item m="1" x="144"/>
        <item m="1" x="145"/>
        <item m="1" x="142"/>
        <item m="1" x="143"/>
        <item m="1" x="153"/>
        <item m="1" x="146"/>
        <item m="1" x="147"/>
        <item m="1" x="150"/>
        <item m="1" x="151"/>
        <item m="1" x="149"/>
        <item m="1" x="105"/>
        <item m="1" x="155"/>
        <item m="1" x="104"/>
        <item m="1" x="154"/>
        <item m="1" x="107"/>
        <item m="1" x="106"/>
        <item m="1" x="108"/>
        <item m="1" x="114"/>
        <item m="1" x="109"/>
        <item m="1" x="111"/>
        <item m="1" x="115"/>
        <item m="1" x="116"/>
        <item m="1" x="135"/>
        <item m="1" x="112"/>
        <item m="1" x="113"/>
        <item m="1" x="75"/>
        <item m="1" x="97"/>
        <item m="1" x="136"/>
        <item m="1" x="117"/>
        <item m="1" x="118"/>
        <item m="1" x="119"/>
        <item m="1" x="120"/>
        <item m="1" x="121"/>
        <item m="1" x="51"/>
        <item m="1" x="122"/>
        <item m="1" x="123"/>
        <item m="1" x="124"/>
        <item m="1" x="125"/>
        <item m="1" x="126"/>
        <item m="1" x="127"/>
        <item m="1" x="128"/>
        <item m="1" x="129"/>
        <item m="1" x="130"/>
        <item m="1" x="131"/>
        <item m="1" x="132"/>
        <item m="1" x="133"/>
        <item m="1" x="134"/>
        <item x="0"/>
        <item m="1" x="50"/>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6"/>
        <item m="1" x="77"/>
        <item m="1" x="78"/>
        <item m="1" x="79"/>
        <item m="1" x="80"/>
        <item m="1" x="81"/>
        <item m="1" x="82"/>
        <item m="1" x="83"/>
        <item m="1" x="84"/>
        <item m="1" x="85"/>
        <item m="1" x="86"/>
        <item m="1" x="87"/>
        <item m="1" x="88"/>
        <item m="1" x="89"/>
        <item m="1" x="90"/>
        <item m="1" x="91"/>
        <item m="1" x="92"/>
        <item m="1" x="93"/>
        <item m="1" x="94"/>
        <item m="1" x="95"/>
        <item m="1" x="96"/>
        <item m="1" x="98"/>
        <item m="1" x="99"/>
        <item m="1" x="100"/>
        <item m="1" x="101"/>
        <item m="1" x="102"/>
        <item m="1" x="10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8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9:K155"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6">
    <i>
      <x v="18"/>
    </i>
    <i>
      <x v="41"/>
    </i>
    <i>
      <x v="42"/>
    </i>
    <i>
      <x v="43"/>
    </i>
    <i>
      <x v="44"/>
    </i>
    <i>
      <x v="45"/>
    </i>
    <i>
      <x v="46"/>
    </i>
    <i>
      <x v="47"/>
    </i>
    <i>
      <x v="48"/>
    </i>
    <i>
      <x v="49"/>
    </i>
    <i>
      <x v="50"/>
    </i>
    <i>
      <x v="51"/>
    </i>
    <i>
      <x v="52"/>
    </i>
    <i>
      <x v="53"/>
    </i>
    <i>
      <x v="5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15" firstHeaderRow="0" firstDataRow="1" firstDataCol="1" rowPageCount="1" colPageCount="1"/>
  <pivotFields count="9">
    <pivotField axis="axisRow" numFmtId="14" showAll="0">
      <items count="68">
        <item m="1" x="51"/>
        <item m="1" x="52"/>
        <item m="1" x="53"/>
        <item m="1" x="54"/>
        <item m="1" x="55"/>
        <item m="1" x="56"/>
        <item m="1" x="57"/>
        <item m="1" x="66"/>
        <item m="1" x="47"/>
        <item m="1" x="58"/>
        <item m="1" x="59"/>
        <item m="1" x="60"/>
        <item m="1" x="61"/>
        <item m="1" x="62"/>
        <item m="1" x="63"/>
        <item m="1" x="64"/>
        <item m="1" x="18"/>
        <item m="1" x="19"/>
        <item m="1" x="65"/>
        <item m="1" x="20"/>
        <item m="1" x="17"/>
        <item m="1" x="21"/>
        <item m="1" x="23"/>
        <item m="1" x="24"/>
        <item m="1" x="25"/>
        <item m="1" x="27"/>
        <item m="1" x="28"/>
        <item m="1" x="29"/>
        <item m="1" x="22"/>
        <item m="1" x="26"/>
        <item m="1" x="30"/>
        <item m="1" x="31"/>
        <item m="1" x="32"/>
        <item m="1" x="33"/>
        <item m="1" x="16"/>
        <item m="1" x="34"/>
        <item m="1" x="48"/>
        <item m="1" x="49"/>
        <item m="1" x="50"/>
        <item m="1" x="35"/>
        <item m="1" x="36"/>
        <item m="1" x="37"/>
        <item m="1" x="38"/>
        <item m="1" x="39"/>
        <item m="1" x="40"/>
        <item m="1" x="41"/>
        <item m="1" x="42"/>
        <item m="1" x="43"/>
        <item m="1" x="44"/>
        <item m="1" x="45"/>
        <item m="1" x="46"/>
        <item x="0"/>
        <item x="1"/>
        <item x="2"/>
        <item x="3"/>
        <item x="4"/>
        <item x="5"/>
        <item x="6"/>
        <item x="7"/>
        <item x="9"/>
        <item x="10"/>
        <item x="11"/>
        <item x="8"/>
        <item x="12"/>
        <item x="13"/>
        <item x="14"/>
        <item x="15"/>
        <item t="default"/>
      </items>
    </pivotField>
    <pivotField axis="axisPage" showAll="0">
      <items count="6">
        <item x="1"/>
        <item x="0"/>
        <item m="1" x="3"/>
        <item m="1" x="4"/>
        <item x="2"/>
        <item t="default"/>
      </items>
    </pivotField>
    <pivotField axis="axisRow" showAll="0">
      <items count="59">
        <item m="1" x="48"/>
        <item m="1" x="32"/>
        <item m="1" x="44"/>
        <item x="10"/>
        <item m="1" x="49"/>
        <item m="1" x="50"/>
        <item m="1" x="45"/>
        <item m="1" x="46"/>
        <item m="1" x="47"/>
        <item x="3"/>
        <item m="1" x="25"/>
        <item m="1" x="51"/>
        <item m="1" x="52"/>
        <item m="1" x="53"/>
        <item m="1" x="54"/>
        <item m="1" x="55"/>
        <item m="1" x="56"/>
        <item m="1" x="21"/>
        <item m="1" x="22"/>
        <item m="1" x="57"/>
        <item m="1" x="23"/>
        <item x="0"/>
        <item m="1" x="24"/>
        <item m="1" x="26"/>
        <item m="1" x="27"/>
        <item m="1" x="28"/>
        <item m="1" x="29"/>
        <item m="1" x="30"/>
        <item m="1" x="31"/>
        <item m="1" x="33"/>
        <item m="1" x="34"/>
        <item x="12"/>
        <item m="1" x="35"/>
        <item m="1" x="36"/>
        <item m="1" x="37"/>
        <item x="16"/>
        <item m="1" x="38"/>
        <item m="1" x="39"/>
        <item x="14"/>
        <item m="1" x="40"/>
        <item m="1" x="41"/>
        <item m="1" x="42"/>
        <item m="1" x="43"/>
        <item x="1"/>
        <item x="2"/>
        <item x="4"/>
        <item x="5"/>
        <item x="6"/>
        <item x="7"/>
        <item x="8"/>
        <item x="9"/>
        <item x="11"/>
        <item x="13"/>
        <item x="15"/>
        <item x="17"/>
        <item x="18"/>
        <item x="19"/>
        <item x="2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7">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x v="66"/>
    </i>
    <i r="1">
      <x v="56"/>
    </i>
    <i r="1">
      <x v="5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
      <pivotArea dataOnly="0" labelOnly="1" outline="0" fieldPosition="0">
        <references count="1">
          <reference field="1" count="1">
            <x v="1"/>
          </reference>
        </references>
      </pivotArea>
    </format>
    <format dxfId="1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30">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4"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m="1" x="13"/>
        <item x="5"/>
        <item x="10"/>
        <item x="8"/>
        <item x="9"/>
        <item x="7"/>
        <item x="11"/>
        <item x="12"/>
        <item t="default"/>
      </items>
    </pivotField>
    <pivotField showAll="0"/>
    <pivotField showAll="0"/>
    <pivotField axis="axisRow" showAll="0">
      <items count="157">
        <item m="1" x="139"/>
        <item m="1" x="140"/>
        <item m="1" x="138"/>
        <item m="1" x="137"/>
        <item m="1" x="141"/>
        <item m="1" x="143"/>
        <item m="1" x="142"/>
        <item m="1" x="144"/>
        <item m="1" x="145"/>
        <item m="1" x="146"/>
        <item m="1" x="147"/>
        <item m="1" x="148"/>
        <item m="1" x="149"/>
        <item m="1" x="150"/>
        <item m="1" x="75"/>
        <item m="1" x="97"/>
        <item m="1" x="151"/>
        <item m="1" x="152"/>
        <item m="1" x="153"/>
        <item m="1" x="105"/>
        <item m="1" x="104"/>
        <item m="1" x="154"/>
        <item m="1" x="155"/>
        <item m="1" x="114"/>
        <item m="1" x="106"/>
        <item m="1" x="107"/>
        <item m="1" x="108"/>
        <item m="1" x="109"/>
        <item m="1" x="110"/>
        <item m="1" x="111"/>
        <item m="1" x="112"/>
        <item m="1" x="113"/>
        <item m="1" x="115"/>
        <item m="1" x="135"/>
        <item m="1" x="116"/>
        <item m="1" x="136"/>
        <item m="1" x="117"/>
        <item m="1" x="118"/>
        <item m="1" x="119"/>
        <item m="1" x="120"/>
        <item m="1" x="121"/>
        <item m="1" x="51"/>
        <item m="1" x="122"/>
        <item m="1" x="123"/>
        <item m="1" x="124"/>
        <item m="1" x="125"/>
        <item m="1" x="126"/>
        <item m="1" x="127"/>
        <item m="1" x="128"/>
        <item m="1" x="129"/>
        <item m="1" x="130"/>
        <item m="1" x="131"/>
        <item m="1" x="132"/>
        <item m="1" x="133"/>
        <item m="1" x="134"/>
        <item x="0"/>
        <item m="1" x="50"/>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6"/>
        <item m="1" x="77"/>
        <item m="1" x="78"/>
        <item m="1" x="79"/>
        <item m="1" x="80"/>
        <item m="1" x="81"/>
        <item m="1" x="82"/>
        <item m="1" x="83"/>
        <item m="1" x="84"/>
        <item m="1" x="85"/>
        <item m="1" x="86"/>
        <item m="1" x="87"/>
        <item m="1" x="88"/>
        <item m="1" x="89"/>
        <item m="1" x="90"/>
        <item m="1" x="91"/>
        <item m="1" x="92"/>
        <item m="1" x="93"/>
        <item m="1" x="94"/>
        <item m="1" x="95"/>
        <item m="1" x="96"/>
        <item m="1" x="98"/>
        <item m="1" x="99"/>
        <item m="1" x="100"/>
        <item m="1" x="101"/>
        <item m="1" x="102"/>
        <item m="1" x="10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1">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1">
      <pivotArea type="all" dataOnly="0" outline="0" fieldPosition="0"/>
    </format>
    <format dxfId="12">
      <pivotArea outline="0" collapsedLevelsAreSubtotals="1" fieldPosition="0"/>
    </format>
    <format dxfId="13">
      <pivotArea field="4" type="button" dataOnly="0" labelOnly="1" outline="0" axis="axisRow" fieldPosition="0"/>
    </format>
    <format dxfId="14">
      <pivotArea dataOnly="0" labelOnly="1" fieldPosition="0">
        <references count="1">
          <reference field="4" count="0"/>
        </references>
      </pivotArea>
    </format>
    <format dxfId="15">
      <pivotArea dataOnly="0" labelOnly="1" grandRow="1" outline="0" fieldPosition="0"/>
    </format>
    <format dxfId="16">
      <pivotArea dataOnly="0" labelOnly="1" outline="0" fieldPosition="0">
        <references count="1">
          <reference field="4294967294" count="2">
            <x v="0"/>
            <x v="1"/>
          </reference>
        </references>
      </pivotArea>
    </format>
    <format dxfId="17">
      <pivotArea grandRow="1" outline="0" collapsedLevelsAreSubtotals="1" fieldPosition="0"/>
    </format>
    <format dxfId="18">
      <pivotArea field="4" type="button" dataOnly="0" labelOnly="1" outline="0" axis="axisRow" fieldPosition="0"/>
    </format>
    <format dxfId="1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6">
        <i x="10" s="1"/>
        <i x="12" s="1"/>
        <i x="6" s="1"/>
        <i x="9" s="1"/>
        <i x="8" s="1"/>
        <i x="28" s="1"/>
        <i x="33" s="1"/>
        <i x="1" s="1"/>
        <i x="14" s="1"/>
        <i x="5" s="1"/>
        <i x="11" s="1"/>
        <i x="2" s="1"/>
        <i x="43" s="1"/>
        <i x="48" s="1"/>
        <i x="3" s="1"/>
        <i x="4" s="1"/>
        <i x="15" s="1"/>
        <i x="20" s="1"/>
        <i x="29" s="1"/>
        <i x="17" s="1"/>
        <i x="24" s="1"/>
        <i x="21" s="1"/>
        <i x="16" s="1"/>
        <i x="46" s="1"/>
        <i x="25" s="1"/>
        <i x="35" s="1"/>
        <i x="34" s="1"/>
        <i x="30" s="1"/>
        <i x="26" s="1"/>
        <i x="27" s="1"/>
        <i x="47" s="1"/>
        <i x="36" s="1"/>
        <i x="37" s="1"/>
        <i x="32" s="1"/>
        <i x="39" s="1"/>
        <i x="40" s="1"/>
        <i x="38" s="1"/>
        <i x="44" s="1"/>
        <i x="41" s="1"/>
        <i x="45" s="1"/>
        <i x="42" s="1"/>
        <i x="49" s="1"/>
        <i x="13" s="1"/>
        <i x="19" s="1"/>
        <i x="18" s="1"/>
        <i x="23" s="1"/>
        <i x="31" s="1"/>
        <i x="22" s="1"/>
        <i x="110" s="1" nd="1"/>
        <i x="139" s="1" nd="1"/>
        <i x="140" s="1" nd="1"/>
        <i x="148" s="1" nd="1"/>
        <i x="138" s="1" nd="1"/>
        <i x="137" s="1" nd="1"/>
        <i x="141" s="1" nd="1"/>
        <i x="152" s="1" nd="1"/>
        <i x="144" s="1" nd="1"/>
        <i x="145" s="1" nd="1"/>
        <i x="142" s="1" nd="1"/>
        <i x="143" s="1" nd="1"/>
        <i x="153" s="1" nd="1"/>
        <i x="146" s="1" nd="1"/>
        <i x="147" s="1" nd="1"/>
        <i x="150" s="1" nd="1"/>
        <i x="151" s="1" nd="1"/>
        <i x="149" s="1" nd="1"/>
        <i x="105" s="1" nd="1"/>
        <i x="155" s="1" nd="1"/>
        <i x="104" s="1" nd="1"/>
        <i x="154" s="1" nd="1"/>
        <i x="107" s="1" nd="1"/>
        <i x="68" s="1" nd="1"/>
        <i x="106" s="1" nd="1"/>
        <i x="108" s="1" nd="1"/>
        <i x="114" s="1" nd="1"/>
        <i x="109" s="1" nd="1"/>
        <i x="111" s="1" nd="1"/>
        <i x="127" s="1" nd="1"/>
        <i x="50" s="1" nd="1"/>
        <i x="115" s="1" nd="1"/>
        <i x="55" s="1" nd="1"/>
        <i x="121" s="1" nd="1"/>
        <i x="116" s="1" nd="1"/>
        <i x="119" s="1" nd="1"/>
        <i x="124" s="1" nd="1"/>
        <i x="135" s="1" nd="1"/>
        <i x="117" s="1" nd="1"/>
        <i x="129" s="1" nd="1"/>
        <i x="132" s="1" nd="1"/>
        <i x="123" s="1" nd="1"/>
        <i x="112" s="1" nd="1"/>
        <i x="120" s="1" nd="1"/>
        <i x="113" s="1" nd="1"/>
        <i x="118" s="1" nd="1"/>
        <i x="51" s="1" nd="1"/>
        <i x="122" s="1" nd="1"/>
        <i x="128" s="1" nd="1"/>
        <i x="65" s="1" nd="1"/>
        <i x="125" s="1" nd="1"/>
        <i x="130" s="1" nd="1"/>
        <i x="126" s="1" nd="1"/>
        <i x="92" s="1" nd="1"/>
        <i x="131" s="1" nd="1"/>
        <i x="133" s="1" nd="1"/>
        <i x="53" s="1" nd="1"/>
        <i x="60" s="1" nd="1"/>
        <i x="134" s="1" nd="1"/>
        <i x="57" s="1" nd="1"/>
        <i x="58" s="1" nd="1"/>
        <i x="52" s="1" nd="1"/>
        <i x="56" s="1" nd="1"/>
        <i x="54" s="1" nd="1"/>
        <i x="63" s="1" nd="1"/>
        <i x="59" s="1" nd="1"/>
        <i x="61" s="1" nd="1"/>
        <i x="64" s="1" nd="1"/>
        <i x="72" s="1" nd="1"/>
        <i x="62" s="1" nd="1"/>
        <i x="71" s="1" nd="1"/>
        <i x="76" s="1" nd="1"/>
        <i x="70" s="1" nd="1"/>
        <i x="73" s="1" nd="1"/>
        <i x="83" s="1" nd="1"/>
        <i x="69" s="1" nd="1"/>
        <i x="66" s="1" nd="1"/>
        <i x="67" s="1" nd="1"/>
        <i x="82" s="1" nd="1"/>
        <i x="75" s="1" nd="1"/>
        <i x="86" s="1" nd="1"/>
        <i x="81" s="1" nd="1"/>
        <i x="74" s="1" nd="1"/>
        <i x="98" s="1" nd="1"/>
        <i x="79" s="1" nd="1"/>
        <i x="89" s="1" nd="1"/>
        <i x="87" s="1" nd="1"/>
        <i x="77" s="1" nd="1"/>
        <i x="85" s="1" nd="1"/>
        <i x="84" s="1" nd="1"/>
        <i x="80" s="1" nd="1"/>
        <i x="90" s="1" nd="1"/>
        <i x="88" s="1" nd="1"/>
        <i x="91" s="1" nd="1"/>
        <i x="78" s="1" nd="1"/>
        <i x="93" s="1" nd="1"/>
        <i x="94" s="1" nd="1"/>
        <i x="101" s="1" nd="1"/>
        <i x="95" s="1" nd="1"/>
        <i x="96" s="1" nd="1"/>
        <i x="103" s="1" nd="1"/>
        <i x="102" s="1" nd="1"/>
        <i x="97" s="1" nd="1"/>
        <i x="100" s="1" nd="1"/>
        <i x="99" s="1" nd="1"/>
        <i x="7" s="1" nd="1"/>
        <i x="13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45">
      <calculatedColumnFormula>B26</calculatedColumnFormula>
    </tableColumn>
    <tableColumn id="2" xr3:uid="{7EDCC2ED-0339-42B3-9633-FFEA7A3DD9F3}" name="Tiyaar" dataDxfId="144">
      <calculatedColumnFormula>SUMIFS(ledger!G:G, ledger!B:B, B4, ledger!E:E, "&lt;&gt;*RD*") / 1.0936</calculatedColumnFormula>
    </tableColumn>
    <tableColumn id="3" xr3:uid="{CC1535DD-3FE7-4F55-8040-E7643388A78E}" name="Rate"/>
    <tableColumn id="4" xr3:uid="{059CB70B-ADAD-4985-84AA-0D530BAC5567}" name="Total" dataDxfId="143">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42" dataDxfId="141">
  <autoFilter ref="B7:E20" xr:uid="{449E5D32-DF9C-4018-96AB-CA98E118D910}"/>
  <tableColumns count="4">
    <tableColumn id="1" xr3:uid="{F663704C-91DD-4BB9-B7EB-EEB0C5EDED6C}" name="Description" dataDxfId="140"/>
    <tableColumn id="2" xr3:uid="{6D94D495-CD0B-4FD3-9771-81D731982A97}" name="Rate" dataDxfId="139" dataCellStyle="Comma"/>
    <tableColumn id="3" xr3:uid="{2D14CEAD-3602-40E7-A488-3584EBC9141E}" name="gazana" dataDxfId="138" dataCellStyle="Comma"/>
    <tableColumn id="4" xr3:uid="{06FEE63C-6480-4079-8426-51BC26B38B34}" name="sum" dataDxfId="137"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6" totalsRowDxfId="135"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34" dataDxfId="133" headerRowCellStyle="Comma" dataCellStyle="Comma">
  <autoFilter ref="B2:C5" xr:uid="{136E8F7F-D03F-4198-8335-91A003EA9E45}"/>
  <tableColumns count="2">
    <tableColumn id="1" xr3:uid="{279FA697-9952-479A-AC05-0D4992B41374}" name="Column1" dataDxfId="132" dataCellStyle="Comma"/>
    <tableColumn id="2" xr3:uid="{8A64998B-65EF-41CD-BCB0-3DDB7B359C54}" name="Column2" dataDxfId="131"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30"/>
    <tableColumn id="2" xr3:uid="{51D27FA2-8DDF-4369-BAF7-7D1FE90E16A0}" name="Column2" dataDxfId="12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8" totalsRowDxfId="127"/>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6">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98" totalsRowCount="1" headerRowDxfId="125" dataDxfId="124" headerRowCellStyle="Comma" dataCellStyle="Comma">
  <autoFilter ref="A1:K97" xr:uid="{11DACEC6-751B-4B1D-817F-5C5BCD38EF6D}"/>
  <tableColumns count="11">
    <tableColumn id="1" xr3:uid="{2FCE3FA8-A48C-4685-8919-AE44C6C71FD9}" name="Date" dataDxfId="38" dataCellStyle="Comma"/>
    <tableColumn id="2" xr3:uid="{5780FD5F-0890-44E6-B59C-8E37A559FE36}" name="Party Name" dataDxfId="37" dataCellStyle="Comma"/>
    <tableColumn id="3" xr3:uid="{5B3ECD85-9174-40AC-BFBD-49CAC97A83D3}" name="Bill Number" dataDxfId="36" dataCellStyle="Comma"/>
    <tableColumn id="4" xr3:uid="{11B50761-04B6-4262-AD4D-7182450037D1}" name="Quality" dataDxfId="35" dataCellStyle="Comma"/>
    <tableColumn id="5" xr3:uid="{2C556969-B713-4967-BD24-466AACCBE5F5}" name="Shipment Number" dataDxfId="34" totalsRowDxfId="33" dataCellStyle="Comma"/>
    <tableColumn id="6" xr3:uid="{F4E1FD2B-9017-4DEB-B772-BF447ECE56F7}" name="Kora/metre" dataDxfId="32" totalsRowDxfId="31" dataCellStyle="Comma"/>
    <tableColumn id="7" xr3:uid="{52ACC1DA-7A76-4A90-B809-3A1AE728E7EA}" name="Tiyaar/gaz" dataDxfId="30" totalsRowDxfId="29" dataCellStyle="Comma"/>
    <tableColumn id="8" xr3:uid="{31A0FF5E-56F0-44D1-9865-73256B964660}" name="shortage %" dataDxfId="28" totalsRowDxfId="27" dataCellStyle="Comma">
      <calculatedColumnFormula>_xlfn.XLOOKUP(Table1[[#This Row],[Shipment Number]], 'pivot '!A:A,'pivot '!G:G, "NF")</calculatedColumnFormula>
    </tableColumn>
    <tableColumn id="9" xr3:uid="{F99075E0-AC8E-094D-BB85-272AD2C6C568}" name="tiyar/meters" totalsRowFunction="custom" dataDxfId="26" totalsRowDxfId="2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24" totalsRowDxfId="2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22" totalsRowDxfId="2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8" totalsRowCount="1" headerRowDxfId="123" headerRowBorderDxfId="122" tableBorderDxfId="121">
  <autoFilter ref="A1:I57" xr:uid="{F8E8C957-ABE7-4E4F-8D4E-7D44E26B334F}"/>
  <tableColumns count="9">
    <tableColumn id="1" xr3:uid="{C2E817D6-AB98-4DDD-8890-736B27F261CD}" name="Date" totalsRowLabel="." dataDxfId="120" totalsRowDxfId="45"/>
    <tableColumn id="2" xr3:uid="{CFB51890-CCDC-463C-81C9-3F8BD7469CB9}" name="Party Name"/>
    <tableColumn id="3" xr3:uid="{A113D971-1C9D-4733-99C4-BD0CC4333209}" name="Vehicle Number"/>
    <tableColumn id="4" xr3:uid="{49780304-3DD1-4AE9-98EE-2BC7EB8F3B57}" name="Weight" dataDxfId="119" totalsRowDxfId="44" dataCellStyle="Comma"/>
    <tableColumn id="5" xr3:uid="{FCAF1BC6-1D8C-42AD-8BBC-F924BF2DC7FE}" name="Rate" dataDxfId="118" totalsRowDxfId="43" dataCellStyle="Comma"/>
    <tableColumn id="6" xr3:uid="{8C70A624-4134-410C-9C45-9FDEB51D51BF}" name="Rent" dataDxfId="117" totalsRowDxfId="42" dataCellStyle="Comma"/>
    <tableColumn id="7" xr3:uid="{EBCE10AE-9634-4982-9C95-37ABC8A7078C}" name="Total" totalsRowFunction="sum" dataDxfId="116" totalsRowDxfId="41" dataCellStyle="Comma">
      <calculatedColumnFormula>D2*E2</calculatedColumnFormula>
    </tableColumn>
    <tableColumn id="9" xr3:uid="{D4788559-C94A-44D9-B9AE-E72B214355AC}" name="Paid" totalsRowFunction="sum" dataDxfId="115" totalsRowDxfId="40" dataCellStyle="Comma"/>
    <tableColumn id="8" xr3:uid="{E26F5BF0-1875-4FC6-994D-49F202ED562B}" name="balance" totalsRowFunction="sum" dataDxfId="114" totalsRowDxfId="3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45" totalsRowCount="1">
  <autoFilter ref="A1:G244" xr:uid="{CB032221-B416-47A8-9A76-693DE76CFD04}"/>
  <tableColumns count="7">
    <tableColumn id="1" xr3:uid="{554B1EED-65B6-4E9A-B646-82727FAC40DE}" name="Date" dataDxfId="68" totalsRowDxfId="3"/>
    <tableColumn id="2" xr3:uid="{32259059-42CF-4947-83DE-115AA430BE2B}" name="Party"/>
    <tableColumn id="3" xr3:uid="{A1320223-D55D-483C-91C3-AB19B95CC9D8}" name="Debit" totalsRowFunction="sum" dataDxfId="67" totalsRowDxfId="2" dataCellStyle="Comma"/>
    <tableColumn id="4" xr3:uid="{E9745767-9FF0-4B1C-9052-FF335D1D7588}" name="Credit" totalsRowFunction="sum" dataDxfId="66" totalsRowDxfId="1" dataCellStyle="Comma"/>
    <tableColumn id="5" xr3:uid="{5C88A48E-2467-4E6D-B626-2442B7FD0BE4}" name="Description"/>
    <tableColumn id="6" xr3:uid="{63CA4666-144E-4BE6-8B7C-7CB992BD3041}" name="Mode" totalsRowFunction="custom" dataDxfId="65"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13" tableBorderDxfId="112" totalsRowBorderDxfId="111">
  <autoFilter ref="J3:K6" xr:uid="{DCE01694-23ED-48BF-8B92-4186B9ED10A8}"/>
  <tableColumns count="2">
    <tableColumn id="1" xr3:uid="{C8484DAF-2989-4C2F-9AEC-A6917E1C57F6}" name="Type" dataDxfId="110"/>
    <tableColumn id="2" xr3:uid="{B07B7A2A-4D4E-4654-BED6-FE2F0A7BEC34}" name="Amount" dataDxfId="10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8" headerRowBorderDxfId="107" tableBorderDxfId="106" totalsRowBorderDxfId="105">
  <autoFilter ref="M3:O6" xr:uid="{D166BDD1-ACD7-45D7-8AE9-7350373F8CEB}"/>
  <tableColumns count="3">
    <tableColumn id="1" xr3:uid="{64F0205E-DEA7-4571-BA86-E4374A5FEE28}" name="Type" totalsRowLabel="Total" dataDxfId="104" totalsRowDxfId="103"/>
    <tableColumn id="2" xr3:uid="{15FA05F9-789C-4459-9BE0-5C1EC84D3365}" name="amount" totalsRowFunction="custom" dataDxfId="102" totalsRowDxfId="101">
      <totalsRowFormula>SUM(N5:N6)</totalsRowFormula>
    </tableColumn>
    <tableColumn id="3" xr3:uid="{3681D409-90C6-44D0-BDE2-4B5943A516F0}" name="Actual" totalsRowFunction="custom" totalsRowDxfId="10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9" totalsRowDxfId="98"/>
    <tableColumn id="2" xr3:uid="{5B9D0FEE-4304-4C5C-A05C-5B27CF7841D3}" name="Type"/>
    <tableColumn id="3" xr3:uid="{6A91CA0D-C802-4C6F-9F39-CA53687E8EDE}" name="Description"/>
    <tableColumn id="4" xr3:uid="{A251D40C-AB87-4BB4-85F8-444B20E32FDF}" name="Total" totalsRowFunction="custom" dataDxfId="97" totalsRowDxfId="9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95" headerRowBorderDxfId="94">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93"/>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9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91" headerRowBorderDxfId="90">
  <autoFilter ref="A4:H12" xr:uid="{A4C80688-A8BA-4BA7-90B4-791CD99446B4}"/>
  <sortState xmlns:xlrd2="http://schemas.microsoft.com/office/spreadsheetml/2017/richdata2" ref="A5:H6">
    <sortCondition ref="A4:A6"/>
  </sortState>
  <tableColumns count="8">
    <tableColumn id="1" xr3:uid="{4A818912-918E-4111-ACFC-BC93FEF7C1AD}" name="Date" dataDxfId="89" totalsRowDxfId="88"/>
    <tableColumn id="8" xr3:uid="{477ACFD5-62AF-4F69-974B-E9B974C11D7D}" name="Party Name" dataDxfId="8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86">
      <calculatedColumnFormula>Table2[[#This Row],[Quantity]]*250</calculatedColumnFormula>
    </tableColumn>
    <tableColumn id="6" xr3:uid="{30432929-CBD4-4BA8-B63F-CD0F6CF6405F}" name="Paid" totalsRowFunction="sum" dataDxfId="8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8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83" totalsRowDxfId="8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81" totalsRowDxfId="80"/>
    <tableColumn id="2" xr3:uid="{053BFC14-4828-417C-9F9F-95B6E232A945}" name="Amount" totalsRowFunction="custom" dataDxfId="79" totalsRowDxfId="7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7" totalsRowDxfId="7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75" totalsRowDxfId="7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3" totalsRowDxfId="7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71">
      <calculatedColumnFormula>Billing!O5</calculatedColumnFormula>
    </tableColumn>
    <tableColumn id="2" xr3:uid="{7093A59E-B58F-487D-888A-9AA8156B5F9A}" name="Amount Paid" dataDxfId="70">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69"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6"/>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183627.46891002197</v>
      </c>
      <c r="D4">
        <v>10</v>
      </c>
      <c r="E4" s="14">
        <f>(SUMIFS(ledger!G:G, ledger!B:B, B4, ledger!E:E, "&lt;&gt;*RD*",ledger!D:D, "Silky") / 1.0936)*12 + (SUMIFS(ledger!G:G, ledger!B:B, B4, ledger!E:E, "&lt;&gt;*RD*",ledger!D:D, "Chamki") / 1.0936)*10</f>
        <v>1836658.7417703001</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183627.46891002197</v>
      </c>
      <c r="K5" s="18">
        <v>1836658.7417703001</v>
      </c>
      <c r="O5" s="25" t="str" cm="1">
        <f t="array" ref="O5:O17">_xlfn.UNIQUE(Table1[Party Name])</f>
        <v>BSC</v>
      </c>
      <c r="P5" s="23" cm="1">
        <f t="array" ref="P5">_xlfn.BYROW(B26,_xlfn.LAMBDA(_xlpm.party,SUMIFS(ledger!G:G,ledger!B:B,_xlpm.party,ledger!E:E,"&lt;&gt;*RD*")))+_xlfn.IFNA(C44,0)</f>
        <v>1390636</v>
      </c>
      <c r="Q5" s="23" cm="1">
        <f t="array" ref="Q5">_xlfn.BYROW(B26, _xlfn.LAMBDA(_xlpm.party, SUMIFS(ledger!G:G, ledger!B:B, _xlpm.party, ledger!E:E, "&lt;&gt;*RD*") / 1.0936 ))+_xlfn.IFNA(D44,0)</f>
        <v>1271613.021214338</v>
      </c>
      <c r="R5" s="23" cm="1">
        <f t="array" ref="R5">(_xlfn.BYROW(B26,_xlfn.LAMBDA(_xlpm.party,SUMIFS(ledger!G:G,ledger!B:B,_xlpm.party,ledger!E:E,"&lt;&gt;*RD*",ledger!D:D,"Chamki")+SUMIFS(ledger!G:G, ledger!B:B, _xlpm.party, ledger!E:E, "&lt;&gt;*RD*", ledger!D:D, "Crinkle")))/1.0936)+_xlfn.IFNA(E44,0)</f>
        <v>1256869.0563277248</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12568690.563277252</v>
      </c>
      <c r="U5" s="23" cm="1">
        <f t="array" ref="U5">(_xlfn.BYROW(B26,_xlfn.LAMBDA(_xlpm.party,SUMIFS(ledger!G:G,ledger!B:B,_xlpm.party,ledger!E:E,"&lt;&gt;*RD*",ledger!D:D, "Silky")/1.0936))* 12)+_xlfn.IFNA(H44,0)</f>
        <v>176927.57863935624</v>
      </c>
      <c r="V5" s="44">
        <f>T5+U5</f>
        <v>12745618.141916608</v>
      </c>
      <c r="W5" s="23">
        <f>(SUMIF(Table14[Party],O5,Table14[Credit]))+_xlfn.IFNA(J44,0)</f>
        <v>9545726</v>
      </c>
      <c r="X5" s="97">
        <f>V5-W5</f>
        <v>3199892.1419166084</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336223.48207754211</v>
      </c>
      <c r="D8">
        <v>10</v>
      </c>
      <c r="E8" s="14">
        <f>((SUMIFS(ledger!G:G, ledger!B:B, B8, ledger!E:E, "&lt;&gt;*RD*",ledger!D:D, "Silky") / 1.0936) *12) + ((SUMIFS(ledger!G:G, ledger!B:B, B8, ledger!E:E, "&lt;&gt;*RD*",ledger!D:D, "Chamki") / 1.0936)* 9)</f>
        <v>3632658.1931236284</v>
      </c>
      <c r="I8" s="4" t="s">
        <v>24</v>
      </c>
      <c r="J8" s="5">
        <v>336223.48207754211</v>
      </c>
      <c r="K8" s="18">
        <v>3632658.1931236284</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25</v>
      </c>
      <c r="J9" s="5">
        <v>75033.833211411853</v>
      </c>
      <c r="K9" s="18">
        <v>750338.3321141185</v>
      </c>
      <c r="O9" s="25" t="str">
        <v>Sufi Nawaz Sahab</v>
      </c>
      <c r="P9" s="23" cm="1">
        <f t="array" ref="P9">_xlfn.BYROW(B30,_xlfn.LAMBDA(_xlpm.party,SUMIFS(ledger!G:G,ledger!B:B,_xlpm.party,ledger!E:E,"&lt;&gt;*RD*")))+_xlfn.IFNA(C48,0)</f>
        <v>999053</v>
      </c>
      <c r="Q9" s="23" cm="1">
        <f t="array" ref="Q9">_xlfn.BYROW(B30, _xlfn.LAMBDA(_xlpm.party, SUMIFS(ledger!G:G, ledger!B:B, _xlpm.party, ledger!E:E, "&lt;&gt;*RD*") / 1.0936 ))+_xlfn.IFNA(D48,0)</f>
        <v>913545.17190929048</v>
      </c>
      <c r="R9" s="23" cm="1">
        <f t="array" ref="R9">(_xlfn.BYROW(B30,_xlfn.LAMBDA(_xlpm.party,SUMIFS(ledger!G:G,ledger!B:B,_xlpm.party,ledger!E:E,"&lt;&gt;*RD*",ledger!D:D,"Chamki")+SUMIFS(ledger!G:G, ledger!B:B, _xlpm.party, ledger!E:E, "&lt;&gt;*RD*", ledger!D:D, "Crinkle")))/1.0936)+_xlfn.IFNA(E48,0)</f>
        <v>493411.66788588156</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4440705.0109729338</v>
      </c>
      <c r="U9" s="23" cm="1">
        <f t="array" ref="U9">(_xlfn.BYROW(B30,_xlfn.LAMBDA(_xlpm.party,SUMIFS(ledger!G:G,ledger!B:B,_xlpm.party,ledger!E:E,"&lt;&gt;*RD*",ledger!D:D, "Silky")/1.0936))* 12)+_xlfn.IFNA(H48,0)</f>
        <v>5041602.0482809078</v>
      </c>
      <c r="V9" s="44">
        <f t="shared" si="1"/>
        <v>9482307.0592538416</v>
      </c>
      <c r="W9" s="23">
        <f>(SUMIF(Table14[Party],O9,Table14[Credit]))+_xlfn.IFNA(J48,0)</f>
        <v>8129100</v>
      </c>
      <c r="X9" s="97">
        <f t="shared" ref="X8:X17" si="2">V9-W9</f>
        <v>1353207.0592538416</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200000</v>
      </c>
      <c r="X15" s="42">
        <f t="shared" si="2"/>
        <v>246881.85808339436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317</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983659.47329919529</v>
      </c>
      <c r="K17" s="14">
        <v>10261943.123628384</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10261943.123628384</v>
      </c>
      <c r="D20" t="s">
        <v>30</v>
      </c>
    </row>
    <row r="21" spans="1:26" x14ac:dyDescent="0.3">
      <c r="C21" s="18"/>
      <c r="O21" s="14"/>
    </row>
    <row r="22" spans="1:26" x14ac:dyDescent="0.3">
      <c r="B22" s="25" t="s">
        <v>31</v>
      </c>
      <c r="C22" s="42">
        <f ca="1">SUM(OFFSET(I26,0,0,COUNTA(I:I)-ROW(I26)+1))</f>
        <v>10261943.123628384</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8">_xlfn.UNIQUE(Table1[Party Name])</f>
        <v>BSC</v>
      </c>
      <c r="C26" s="23" cm="1">
        <f t="array" ref="C26:C38">_xlfn.BYROW(_xlfn.ANCHORARRAY(B26),_xlfn.LAMBDA(_xlpm.party,SUMIFS(ledger!G:G,ledger!B:B,_xlpm.party,ledger!E:E,"&lt;&gt;*RD*")))</f>
        <v>200815</v>
      </c>
      <c r="D26" s="23" cm="1">
        <f t="array" ref="D26:D38">_xlfn.BYROW(_xlfn.ANCHORARRAY(B26), _xlfn.LAMBDA(_xlpm.party, SUMIFS(ledger!G:G, ledger!B:B, _xlpm.party, ledger!E:E, "&lt;&gt;*RD*") / 1.0936 ))</f>
        <v>183627.46891002197</v>
      </c>
      <c r="E26" s="71" cm="1">
        <f t="array" ref="E26:E38">(_xlfn.BYROW(_xlfn.ANCHORARRAY(B26),_xlfn.LAMBDA(_xlpm.party,SUMIFS(ledger!G:G,ledger!B:B,_xlpm.party,ledger!E:E,"&lt;&gt;*RD*",ledger!D:D,"Chamki")+SUMIFS(ledger!G:G, ledger!B:B, _xlpm.party, ledger!E:E, "&lt;&gt;*RD*", ledger!D:D, "Crinkle")))/1.0936)</f>
        <v>183435.44257498172</v>
      </c>
      <c r="F26" s="78" cm="1">
        <f t="array" ref="F26:F38">(_xlfn.BYROW(_xlfn.ANCHORARRAY(B26),_xlfn.LAMBDA(_xlpm.party,SUMIFS(ledger!G:G,ledger!B:B,_xlpm.party,ledger!E:E,"&lt;&gt;*RD*",ledger!D:D,"Silky")))/1.0936)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1834354.4257498172</v>
      </c>
      <c r="H26" s="23" cm="1">
        <f t="array" ref="H26">(_xlfn.BYROW(B26,_xlfn.LAMBDA(_xlpm.party,SUMIFS(ledger!G:G,ledger!B:B,_xlpm.party,ledger!E:E,"&lt;&gt;*RD*",ledger!D:D, "Silky")/1.0936))* M26)</f>
        <v>2304.3160204828091</v>
      </c>
      <c r="I26" s="44">
        <f t="shared" ref="I26:I34" si="7">G26+H26</f>
        <v>1836658.7417703001</v>
      </c>
      <c r="J26" s="23">
        <f>(SUMIF(Table14[Party],B26,Table14[Credit]))</f>
        <v>2386943</v>
      </c>
      <c r="K26" s="42">
        <f>I26-J26</f>
        <v>-550284.25822969992</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367694</v>
      </c>
      <c r="D30" s="23">
        <v>336223.48207754211</v>
      </c>
      <c r="E30" s="71">
        <v>134007.86393562547</v>
      </c>
      <c r="F30" s="78">
        <v>202215.61814191661</v>
      </c>
      <c r="G30" s="23" cm="1">
        <f t="array" ref="G30">(_xlfn.BYROW(B30,_xlfn.LAMBDA(_xlpm.party,(SUMIFS(ledger!G:G,ledger!B:B,_xlpm.party,ledger!E:E,"&lt;&gt;*RD*",ledger!D:D, "Chamki")+SUMIFS(ledger!G:G, ledger!B:B, _xlpm.party, ledger!E:E, "&lt;&gt;*RD*", ledger!D:D, "Crinkle"))/1.0936))*L30)</f>
        <v>1206070.7754206292</v>
      </c>
      <c r="H30" s="23" cm="1">
        <f t="array" ref="H30">(_xlfn.BYROW(B30,_xlfn.LAMBDA(_xlpm.party,SUMIFS(ledger!G:G,ledger!B:B,_xlpm.party,ledger!E:E,"&lt;&gt;*RD*",ledger!D:D, "Silky")/1.0936))* M30)</f>
        <v>2426587.4177029994</v>
      </c>
      <c r="I30" s="44">
        <f t="shared" si="7"/>
        <v>3632658.1931236284</v>
      </c>
      <c r="J30" s="23">
        <f>(SUMIF(Table14[Party],B30,Table14[Credit]))</f>
        <v>4050000</v>
      </c>
      <c r="K30" s="42">
        <f t="shared" si="8"/>
        <v>-417341.80687637161</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100000</v>
      </c>
      <c r="K36" s="42">
        <f t="shared" si="9"/>
        <v>147476.22531089978</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6">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6">_xlfn.UNIQUE(Table1[Party Name])</f>
        <v>BSC</v>
      </c>
    </row>
    <row r="5" spans="2:10" x14ac:dyDescent="0.3">
      <c r="J5" t="str">
        <v>Ejaz Sahab</v>
      </c>
    </row>
    <row r="6" spans="2:10" ht="21" x14ac:dyDescent="0.4">
      <c r="B6" s="72" t="s">
        <v>23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134607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123086.13752743235</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123086.13752743235</v>
      </c>
      <c r="E12" s="101">
        <f ca="1">Table21[[#This Row],[gazana]]*Table21[[#This Row],[Rate]]</f>
        <v>1292404.4440380398</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1292404.4440380398</v>
      </c>
      <c r="J16" t="str">
        <v>Reject</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1268740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530.34403803967871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5295130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8455</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67180</v>
      </c>
    </row>
    <row r="11" spans="1:4" x14ac:dyDescent="0.3">
      <c r="B11" t="s">
        <v>54</v>
      </c>
      <c r="C11" s="11">
        <f>Table13[[#Totals],[Debit]]</f>
        <v>217002</v>
      </c>
    </row>
    <row r="12" spans="1:4" x14ac:dyDescent="0.3">
      <c r="B12" t="s">
        <v>55</v>
      </c>
      <c r="C12" s="11">
        <f>Table15[[#Totals],[Amount]]</f>
        <v>194957</v>
      </c>
    </row>
    <row r="13" spans="1:4" x14ac:dyDescent="0.3">
      <c r="C13" s="11"/>
    </row>
    <row r="14" spans="1:4" x14ac:dyDescent="0.3">
      <c r="C14" s="14">
        <f>SUM(Table12[Amount])</f>
        <v>7578929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10261943.123628384</v>
      </c>
      <c r="D3" t="s">
        <v>68</v>
      </c>
    </row>
    <row r="4" spans="1:4" x14ac:dyDescent="0.3">
      <c r="B4" s="11" t="s">
        <v>44</v>
      </c>
      <c r="C4" s="11">
        <f>Table12[[#Totals],[Amount]]</f>
        <v>7578929</v>
      </c>
    </row>
    <row r="5" spans="1:4" x14ac:dyDescent="0.3">
      <c r="A5" s="6"/>
      <c r="B5" s="15" t="s">
        <v>69</v>
      </c>
      <c r="C5" s="15">
        <f ca="1">C3-C4</f>
        <v>2683014.1236283835</v>
      </c>
    </row>
    <row r="10" spans="1:4" ht="15" thickBot="1" x14ac:dyDescent="0.35">
      <c r="B10" t="s">
        <v>66</v>
      </c>
      <c r="C10" s="14" t="s">
        <v>67</v>
      </c>
    </row>
    <row r="11" spans="1:4" x14ac:dyDescent="0.3">
      <c r="B11" s="64" t="s">
        <v>0</v>
      </c>
      <c r="C11" s="65">
        <f ca="1">C3</f>
        <v>10261943.123628384</v>
      </c>
    </row>
    <row r="12" spans="1:4" x14ac:dyDescent="0.3">
      <c r="B12" s="66" t="s">
        <v>70</v>
      </c>
      <c r="C12" s="67">
        <f>SUM(Table14[Credit])</f>
        <v>9772687</v>
      </c>
    </row>
    <row r="13" spans="1:4" ht="15" thickBot="1" x14ac:dyDescent="0.35">
      <c r="B13" s="82" t="s">
        <v>97</v>
      </c>
      <c r="C13" s="81">
        <f ca="1">(C11-C12)</f>
        <v>489256.1236283835</v>
      </c>
    </row>
    <row r="14" spans="1:4" ht="15" thickBot="1" x14ac:dyDescent="0.35">
      <c r="B14" s="66"/>
      <c r="C14" s="67"/>
    </row>
    <row r="15" spans="1:4" x14ac:dyDescent="0.3">
      <c r="B15" s="64" t="s">
        <v>44</v>
      </c>
      <c r="C15" s="65">
        <f>C4</f>
        <v>7578929</v>
      </c>
    </row>
    <row r="16" spans="1:4" x14ac:dyDescent="0.3">
      <c r="B16" s="66" t="s">
        <v>71</v>
      </c>
      <c r="C16" s="67">
        <f>SUM(Table14[Debit])</f>
        <v>9692910</v>
      </c>
    </row>
    <row r="17" spans="2:6" ht="15" thickBot="1" x14ac:dyDescent="0.35">
      <c r="B17" s="82" t="s">
        <v>72</v>
      </c>
      <c r="C17" s="81">
        <f>C15-C16</f>
        <v>-2113981</v>
      </c>
    </row>
    <row r="18" spans="2:6" ht="15" thickBot="1" x14ac:dyDescent="0.35">
      <c r="B18" s="66"/>
      <c r="C18" s="67"/>
    </row>
    <row r="19" spans="2:6" ht="15" thickBot="1" x14ac:dyDescent="0.35">
      <c r="B19" s="83" t="s">
        <v>73</v>
      </c>
      <c r="C19" s="84">
        <f>Table18[[#Totals],[amount]]</f>
        <v>79777</v>
      </c>
    </row>
    <row r="20" spans="2:6" ht="15" thickBot="1" x14ac:dyDescent="0.35">
      <c r="B20" s="79"/>
      <c r="C20" s="80"/>
    </row>
    <row r="21" spans="2:6" ht="15" thickBot="1" x14ac:dyDescent="0.35">
      <c r="B21" s="68" t="s">
        <v>74</v>
      </c>
      <c r="C21" s="69">
        <f ca="1">(C13-C17)+C19</f>
        <v>2683014.1236283835</v>
      </c>
      <c r="E21" s="87" t="s">
        <v>75</v>
      </c>
      <c r="F21" s="88">
        <f ca="1">C5*0.05</f>
        <v>134150.70618141917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217002</v>
      </c>
      <c r="E35">
        <f>SUBTOTAL(109,Table13[Credit])</f>
        <v>0</v>
      </c>
      <c r="F35">
        <f>Table13[[#Totals],[Debit]]-Table13[[#Totals],[Credit]]</f>
        <v>217002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4"/>
  <sheetViews>
    <sheetView topLeftCell="A82" zoomScale="126" workbookViewId="0">
      <selection activeCell="J89" sqref="J8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317</v>
      </c>
      <c r="C85" s="106">
        <v>902</v>
      </c>
      <c r="D85" s="106"/>
      <c r="E85" s="107"/>
      <c r="F85" s="107"/>
      <c r="G85" s="107"/>
      <c r="H85" s="108" t="e">
        <f>_xlfn.XLOOKUP(Table1[[#This Row],[Shipment Number]], 'pivot '!A:A,'pivot '!G:G, "NF")</f>
        <v>#DIV/0!</v>
      </c>
      <c r="I85" s="32">
        <f>IF(Table1[[#This Row],[Shipment Number]]="RD",0,Table1[[#This Row],[Tiyaar/gaz]]/1.0936)</f>
        <v>0</v>
      </c>
      <c r="J85" s="32" t="e"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#N/A</v>
      </c>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45931</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39.660840724766075</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92.408696713414798</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c r="B98"/>
      <c r="C98"/>
      <c r="D98"/>
      <c r="E98" s="14"/>
      <c r="F98" s="14"/>
      <c r="G98" s="14"/>
      <c r="H98" s="50"/>
      <c r="I98" s="117" cm="1">
        <f t="array" aca="1" ref="I98" ca="1">SUMPRODUCT( SUBTOTAL(109, OFFSET(Table1[tiyar/meters], ROW(Table1[tiyar/meters])-MIN(ROW(Table1[tiyar/meters])), 0, 1)), --(Table1[Bill Number]&lt;&gt;"August Closing CF") )</f>
        <v>983659.47329919518</v>
      </c>
      <c r="J98" s="50" t="e" cm="1">
        <f t="array" aca="1" ref="J98" ca="1">SUMPRODUCT( SUBTOTAL(109, OFFSET(Table1[billing], ROW(Table1[billing])-MIN(ROW(Table1[billing])), 0, 1)), --(Table1[Bill Number]&lt;&gt;"August Closing CF") )</f>
        <v>#N/A</v>
      </c>
      <c r="K98" s="14" t="e">
        <f>SUMIFS(Table1[billing], Table1[Bill Number], "&lt;&gt;August Closing CF")</f>
        <v>#N/A</v>
      </c>
      <c r="L98"/>
      <c r="M98"/>
      <c r="O98"/>
      <c r="P98"/>
      <c r="Q98"/>
    </row>
    <row r="99" spans="1:17" x14ac:dyDescent="0.3">
      <c r="L99"/>
      <c r="M99"/>
      <c r="O99"/>
      <c r="P99"/>
      <c r="Q99"/>
    </row>
    <row r="100" spans="1:17" x14ac:dyDescent="0.3">
      <c r="L100"/>
      <c r="M100"/>
      <c r="O100"/>
      <c r="P100"/>
      <c r="Q100"/>
    </row>
    <row r="101" spans="1:17" x14ac:dyDescent="0.3">
      <c r="L101"/>
      <c r="M101"/>
      <c r="N101"/>
      <c r="O101"/>
      <c r="P101"/>
      <c r="Q101"/>
    </row>
    <row r="102" spans="1:17" x14ac:dyDescent="0.3">
      <c r="L102"/>
      <c r="M102"/>
      <c r="N102"/>
      <c r="O102"/>
      <c r="P102"/>
      <c r="Q102"/>
    </row>
    <row r="103" spans="1:17" x14ac:dyDescent="0.3">
      <c r="L103"/>
      <c r="M103"/>
      <c r="N103"/>
      <c r="O103"/>
      <c r="P103"/>
      <c r="Q103"/>
    </row>
    <row r="104" spans="1:17" x14ac:dyDescent="0.3">
      <c r="L104"/>
      <c r="M104"/>
      <c r="N104"/>
      <c r="O104"/>
      <c r="P104"/>
      <c r="Q104"/>
    </row>
    <row r="105" spans="1:17" x14ac:dyDescent="0.3">
      <c r="L105"/>
      <c r="M105"/>
      <c r="N105"/>
      <c r="O105"/>
    </row>
    <row r="106" spans="1:17" x14ac:dyDescent="0.3">
      <c r="L106"/>
      <c r="M106"/>
      <c r="N106"/>
      <c r="O106"/>
    </row>
    <row r="107" spans="1:17" x14ac:dyDescent="0.3">
      <c r="L107"/>
      <c r="M107"/>
      <c r="N107"/>
      <c r="O107"/>
    </row>
    <row r="108" spans="1:17" x14ac:dyDescent="0.3">
      <c r="L108"/>
      <c r="M108"/>
      <c r="N108"/>
      <c r="O108"/>
    </row>
    <row r="109" spans="1:17" x14ac:dyDescent="0.3">
      <c r="L109"/>
      <c r="M109"/>
      <c r="N109"/>
      <c r="O109"/>
    </row>
    <row r="110" spans="1:17" x14ac:dyDescent="0.3">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5" spans="4:14" x14ac:dyDescent="0.3">
      <c r="D135" s="3" t="s">
        <v>2</v>
      </c>
      <c r="E135" t="s">
        <v>89</v>
      </c>
    </row>
    <row r="136" spans="4:14" x14ac:dyDescent="0.3">
      <c r="D136" s="3" t="s">
        <v>76</v>
      </c>
      <c r="E136" t="s">
        <v>89</v>
      </c>
    </row>
    <row r="137" spans="4:14" x14ac:dyDescent="0.3">
      <c r="D137" s="3" t="s">
        <v>80</v>
      </c>
      <c r="E137" t="s">
        <v>89</v>
      </c>
    </row>
    <row r="139" spans="4:14" x14ac:dyDescent="0.3">
      <c r="D139" s="3" t="s">
        <v>6</v>
      </c>
      <c r="E139" t="s">
        <v>90</v>
      </c>
      <c r="F139" t="s">
        <v>91</v>
      </c>
      <c r="G139" t="s">
        <v>92</v>
      </c>
      <c r="I139" s="3" t="s">
        <v>6</v>
      </c>
      <c r="J139" t="s">
        <v>91</v>
      </c>
      <c r="K139" t="s">
        <v>92</v>
      </c>
    </row>
    <row r="140" spans="4:14" x14ac:dyDescent="0.3">
      <c r="D140" s="16" t="s">
        <v>164</v>
      </c>
      <c r="E140" s="121"/>
      <c r="F140" s="33">
        <v>2397934.3452816382</v>
      </c>
      <c r="G140" s="121">
        <v>24159091.119458668</v>
      </c>
      <c r="I140" s="27">
        <v>45888</v>
      </c>
      <c r="J140" s="50">
        <v>2002.56035113387</v>
      </c>
      <c r="K140" s="14">
        <v>20025.603511338701</v>
      </c>
    </row>
    <row r="141" spans="4:14" x14ac:dyDescent="0.3">
      <c r="D141" s="16">
        <v>835</v>
      </c>
      <c r="E141" s="121">
        <v>19968</v>
      </c>
      <c r="F141" s="33">
        <v>18258.961228968546</v>
      </c>
      <c r="G141" s="121">
        <v>182589.61228968546</v>
      </c>
      <c r="I141" s="27">
        <v>45916</v>
      </c>
      <c r="J141" s="50">
        <v>2397934.3452816382</v>
      </c>
      <c r="K141" s="14">
        <v>24159091.119458668</v>
      </c>
    </row>
    <row r="142" spans="4:14" x14ac:dyDescent="0.3">
      <c r="D142" s="16">
        <v>836</v>
      </c>
      <c r="E142" s="121">
        <v>28988</v>
      </c>
      <c r="F142" s="33">
        <v>26506.949524506221</v>
      </c>
      <c r="G142" s="121">
        <v>318083.39429407462</v>
      </c>
      <c r="I142" s="27">
        <v>45917</v>
      </c>
      <c r="J142" s="50">
        <v>82800.841258229702</v>
      </c>
      <c r="K142" s="14">
        <v>925892.46525237756</v>
      </c>
    </row>
    <row r="143" spans="4:14" x14ac:dyDescent="0.3">
      <c r="D143" s="16">
        <v>837</v>
      </c>
      <c r="E143" s="121">
        <v>3979</v>
      </c>
      <c r="F143" s="33">
        <v>3638.4418434528166</v>
      </c>
      <c r="G143" s="121">
        <v>43661.3021214338</v>
      </c>
      <c r="I143" s="27">
        <v>45918</v>
      </c>
      <c r="J143" s="50">
        <v>34217.264081931236</v>
      </c>
      <c r="K143" s="14">
        <v>342172.64081931236</v>
      </c>
    </row>
    <row r="144" spans="4:14" x14ac:dyDescent="0.3">
      <c r="D144" s="16">
        <v>838</v>
      </c>
      <c r="E144" s="121">
        <v>6476</v>
      </c>
      <c r="F144" s="33">
        <v>5921.7264081931244</v>
      </c>
      <c r="G144" s="121">
        <v>71060.716898317492</v>
      </c>
      <c r="I144" s="27">
        <v>45919</v>
      </c>
      <c r="J144" s="50">
        <v>26449.341623994151</v>
      </c>
      <c r="K144" s="14">
        <v>264493.41623994149</v>
      </c>
    </row>
    <row r="145" spans="4:11" x14ac:dyDescent="0.3">
      <c r="D145" s="16">
        <v>839</v>
      </c>
      <c r="E145" s="121">
        <v>10952</v>
      </c>
      <c r="F145" s="33">
        <v>10014.630577907828</v>
      </c>
      <c r="G145" s="121">
        <v>120175.56693489394</v>
      </c>
      <c r="I145" s="27">
        <v>45920</v>
      </c>
      <c r="J145" s="50">
        <v>59877.468910021955</v>
      </c>
      <c r="K145" s="14">
        <v>598774.68910021952</v>
      </c>
    </row>
    <row r="146" spans="4:11" x14ac:dyDescent="0.3">
      <c r="D146" s="16">
        <v>840</v>
      </c>
      <c r="E146" s="121">
        <v>3128</v>
      </c>
      <c r="F146" s="33">
        <v>2860.2779809802491</v>
      </c>
      <c r="G146" s="121">
        <v>34323.335771762991</v>
      </c>
      <c r="I146" s="27">
        <v>45922</v>
      </c>
      <c r="J146" s="50">
        <v>129489.75859546452</v>
      </c>
      <c r="K146" s="14">
        <v>1188917.3372348209</v>
      </c>
    </row>
    <row r="147" spans="4:11" x14ac:dyDescent="0.3">
      <c r="D147" s="16">
        <v>841</v>
      </c>
      <c r="E147" s="121">
        <v>17060</v>
      </c>
      <c r="F147" s="33">
        <v>15599.853694220923</v>
      </c>
      <c r="G147" s="121">
        <v>155998.53694220923</v>
      </c>
      <c r="I147" s="27">
        <v>45923</v>
      </c>
      <c r="J147" s="50">
        <v>54385.515727871258</v>
      </c>
      <c r="K147" s="14">
        <v>533916.42282370164</v>
      </c>
    </row>
    <row r="148" spans="4:11" x14ac:dyDescent="0.3">
      <c r="D148" s="16">
        <v>842</v>
      </c>
      <c r="E148" s="121"/>
      <c r="F148" s="33">
        <v>0</v>
      </c>
      <c r="G148" s="121">
        <v>0</v>
      </c>
      <c r="I148" s="27">
        <v>45924</v>
      </c>
      <c r="J148" s="50">
        <v>100605.34016093636</v>
      </c>
      <c r="K148" s="14">
        <v>1207264.0819312364</v>
      </c>
    </row>
    <row r="149" spans="4:11" x14ac:dyDescent="0.3">
      <c r="D149" s="16">
        <v>843</v>
      </c>
      <c r="E149" s="121">
        <v>37420</v>
      </c>
      <c r="F149" s="33">
        <v>34217.264081931236</v>
      </c>
      <c r="G149" s="121">
        <v>342172.64081931236</v>
      </c>
      <c r="I149" s="27">
        <v>45925</v>
      </c>
      <c r="J149" s="50">
        <v>63347.659107534753</v>
      </c>
      <c r="K149" s="14">
        <v>698609.18068763718</v>
      </c>
    </row>
    <row r="150" spans="4:11" x14ac:dyDescent="0.3">
      <c r="D150" s="16">
        <v>844</v>
      </c>
      <c r="E150" s="121">
        <v>2641</v>
      </c>
      <c r="F150" s="33">
        <v>2414.9597659107535</v>
      </c>
      <c r="G150" s="121">
        <v>24149.597659107534</v>
      </c>
      <c r="I150" s="27">
        <v>45926</v>
      </c>
      <c r="J150" s="50">
        <v>59556.510607168988</v>
      </c>
      <c r="K150" s="14">
        <v>595949.15874177043</v>
      </c>
    </row>
    <row r="151" spans="4:11" x14ac:dyDescent="0.3">
      <c r="D151" s="16">
        <v>845</v>
      </c>
      <c r="E151" s="121"/>
      <c r="F151" s="33">
        <v>0</v>
      </c>
      <c r="G151" s="121">
        <v>0</v>
      </c>
      <c r="I151" s="27">
        <v>45927</v>
      </c>
      <c r="J151" s="50">
        <v>83154.718361375286</v>
      </c>
      <c r="K151" s="14">
        <v>831547.18361375283</v>
      </c>
    </row>
    <row r="152" spans="4:11" x14ac:dyDescent="0.3">
      <c r="D152" s="16">
        <v>846</v>
      </c>
      <c r="E152" s="121">
        <v>2190</v>
      </c>
      <c r="F152" s="33">
        <v>2002.56035113387</v>
      </c>
      <c r="G152" s="121">
        <v>20025.603511338701</v>
      </c>
      <c r="I152" s="27">
        <v>45929</v>
      </c>
      <c r="J152" s="50">
        <v>100475.49378200439</v>
      </c>
      <c r="K152" s="14">
        <v>1004754.937820044</v>
      </c>
    </row>
    <row r="153" spans="4:11" x14ac:dyDescent="0.3">
      <c r="D153" s="16">
        <v>847</v>
      </c>
      <c r="E153" s="121">
        <v>26284</v>
      </c>
      <c r="F153" s="33">
        <v>24034.381858083398</v>
      </c>
      <c r="G153" s="121">
        <v>240343.81858083396</v>
      </c>
      <c r="I153" s="27">
        <v>45930</v>
      </c>
      <c r="J153" s="50">
        <v>96411.85076810536</v>
      </c>
      <c r="K153" s="14" t="e">
        <v>#N/A</v>
      </c>
    </row>
    <row r="154" spans="4:11" x14ac:dyDescent="0.3">
      <c r="D154" s="16">
        <v>848</v>
      </c>
      <c r="E154" s="121"/>
      <c r="F154" s="33">
        <v>0</v>
      </c>
      <c r="G154" s="121">
        <v>0</v>
      </c>
      <c r="I154" s="27">
        <v>45931</v>
      </c>
      <c r="J154" s="50">
        <v>90885.149963423566</v>
      </c>
      <c r="K154" s="14">
        <v>892683.79663496709</v>
      </c>
    </row>
    <row r="155" spans="4:11" x14ac:dyDescent="0.3">
      <c r="D155" s="16">
        <v>849</v>
      </c>
      <c r="E155" s="121">
        <v>6883</v>
      </c>
      <c r="F155" s="33">
        <v>6293.8917337234825</v>
      </c>
      <c r="G155" s="121">
        <v>62938.917337234823</v>
      </c>
      <c r="I155" s="27" t="s">
        <v>28</v>
      </c>
      <c r="J155" s="50">
        <v>3381593.8185808342</v>
      </c>
      <c r="K155" s="14" t="e">
        <v>#N/A</v>
      </c>
    </row>
    <row r="156" spans="4:11" x14ac:dyDescent="0.3">
      <c r="D156" s="16">
        <v>850</v>
      </c>
      <c r="E156" s="121"/>
      <c r="F156" s="33">
        <v>0</v>
      </c>
      <c r="G156" s="121">
        <v>0</v>
      </c>
      <c r="I156"/>
      <c r="J156"/>
      <c r="K156"/>
    </row>
    <row r="157" spans="4:11" x14ac:dyDescent="0.3">
      <c r="D157" s="16">
        <v>851</v>
      </c>
      <c r="E157" s="121"/>
      <c r="F157" s="33">
        <v>0</v>
      </c>
      <c r="G157" s="121">
        <v>0</v>
      </c>
      <c r="I157"/>
      <c r="J157"/>
      <c r="K157"/>
    </row>
    <row r="158" spans="4:11" x14ac:dyDescent="0.3">
      <c r="D158" s="16">
        <v>852</v>
      </c>
      <c r="E158" s="121">
        <v>10423</v>
      </c>
      <c r="F158" s="33">
        <v>9530.9070958302855</v>
      </c>
      <c r="G158" s="121">
        <v>95309.070958302851</v>
      </c>
      <c r="I158"/>
      <c r="J158"/>
      <c r="K158"/>
    </row>
    <row r="159" spans="4:11" x14ac:dyDescent="0.3">
      <c r="D159" s="16">
        <v>853</v>
      </c>
      <c r="E159" s="121">
        <v>22769</v>
      </c>
      <c r="F159" s="33">
        <v>20820.226773957573</v>
      </c>
      <c r="G159" s="121">
        <v>208202.26773957573</v>
      </c>
      <c r="I159"/>
      <c r="J159"/>
      <c r="K159"/>
    </row>
    <row r="160" spans="4:11" x14ac:dyDescent="0.3">
      <c r="D160" s="16">
        <v>854</v>
      </c>
      <c r="E160" s="121">
        <v>25407</v>
      </c>
      <c r="F160" s="33">
        <v>23232.44330651061</v>
      </c>
      <c r="G160" s="121">
        <v>232324.4330651061</v>
      </c>
      <c r="I160"/>
      <c r="J160"/>
      <c r="K160"/>
    </row>
    <row r="161" spans="4:11" x14ac:dyDescent="0.3">
      <c r="D161" s="16">
        <v>855</v>
      </c>
      <c r="E161" s="121"/>
      <c r="F161" s="33">
        <v>0</v>
      </c>
      <c r="G161" s="121">
        <v>0</v>
      </c>
      <c r="I161"/>
      <c r="J161"/>
      <c r="K161"/>
    </row>
    <row r="162" spans="4:11" x14ac:dyDescent="0.3">
      <c r="D162" s="16">
        <v>856</v>
      </c>
      <c r="E162" s="121">
        <v>25710</v>
      </c>
      <c r="F162" s="33">
        <v>23509.509875640091</v>
      </c>
      <c r="G162" s="121">
        <v>235095.09875640093</v>
      </c>
      <c r="I162"/>
      <c r="J162"/>
      <c r="K162"/>
    </row>
    <row r="163" spans="4:11" x14ac:dyDescent="0.3">
      <c r="D163" s="16">
        <v>857</v>
      </c>
      <c r="E163" s="121">
        <v>18018</v>
      </c>
      <c r="F163" s="33">
        <v>16475.859546452088</v>
      </c>
      <c r="G163" s="121">
        <v>148282.73591806879</v>
      </c>
      <c r="I163"/>
      <c r="J163"/>
      <c r="K163"/>
    </row>
    <row r="164" spans="4:11" x14ac:dyDescent="0.3">
      <c r="D164" s="16">
        <v>858</v>
      </c>
      <c r="E164" s="121">
        <v>52061</v>
      </c>
      <c r="F164" s="33">
        <v>47605.157278712511</v>
      </c>
      <c r="G164" s="121">
        <v>428446.41550841258</v>
      </c>
      <c r="I164"/>
      <c r="J164"/>
      <c r="K164"/>
    </row>
    <row r="165" spans="4:11" x14ac:dyDescent="0.3">
      <c r="D165" s="16">
        <v>859</v>
      </c>
      <c r="E165" s="121">
        <v>45821</v>
      </c>
      <c r="F165" s="33">
        <v>41899.231894659846</v>
      </c>
      <c r="G165" s="121">
        <v>377093.08705193864</v>
      </c>
      <c r="I165"/>
      <c r="J165"/>
      <c r="K165"/>
    </row>
    <row r="166" spans="4:11" x14ac:dyDescent="0.3">
      <c r="D166" s="16">
        <v>860</v>
      </c>
      <c r="E166" s="121">
        <v>41491</v>
      </c>
      <c r="F166" s="33">
        <v>37939.831748354067</v>
      </c>
      <c r="G166" s="121">
        <v>379398.31748354068</v>
      </c>
    </row>
    <row r="167" spans="4:11" x14ac:dyDescent="0.3">
      <c r="D167" s="16">
        <v>861</v>
      </c>
      <c r="E167" s="121">
        <v>7116</v>
      </c>
      <c r="F167" s="33">
        <v>6506.9495245062189</v>
      </c>
      <c r="G167" s="121">
        <v>65069.495245062193</v>
      </c>
    </row>
    <row r="168" spans="4:11" x14ac:dyDescent="0.3">
      <c r="D168" s="16">
        <v>862</v>
      </c>
      <c r="E168" s="121"/>
      <c r="F168" s="33">
        <v>0</v>
      </c>
      <c r="G168" s="121">
        <v>0</v>
      </c>
    </row>
    <row r="169" spans="4:11" x14ac:dyDescent="0.3">
      <c r="D169" s="16">
        <v>863</v>
      </c>
      <c r="E169" s="121">
        <v>10869</v>
      </c>
      <c r="F169" s="33">
        <v>9938.7344550109738</v>
      </c>
      <c r="G169" s="121">
        <v>89448.61009509876</v>
      </c>
    </row>
    <row r="170" spans="4:11" x14ac:dyDescent="0.3">
      <c r="D170" s="16">
        <v>864</v>
      </c>
      <c r="E170" s="121">
        <v>35692</v>
      </c>
      <c r="F170" s="33">
        <v>32637.161667885885</v>
      </c>
      <c r="G170" s="121">
        <v>391645.94001463061</v>
      </c>
    </row>
    <row r="171" spans="4:11" x14ac:dyDescent="0.3">
      <c r="D171" s="16">
        <v>865</v>
      </c>
      <c r="E171" s="121">
        <v>28089</v>
      </c>
      <c r="F171" s="33">
        <v>25684.893928310172</v>
      </c>
      <c r="G171" s="121">
        <v>308218.72713972209</v>
      </c>
    </row>
    <row r="172" spans="4:11" x14ac:dyDescent="0.3">
      <c r="D172" s="16">
        <v>866</v>
      </c>
      <c r="E172" s="121">
        <v>14996</v>
      </c>
      <c r="F172" s="33">
        <v>13712.509144111194</v>
      </c>
      <c r="G172" s="121">
        <v>164550.10972933433</v>
      </c>
    </row>
    <row r="173" spans="4:11" x14ac:dyDescent="0.3">
      <c r="D173" s="16">
        <v>867</v>
      </c>
      <c r="E173" s="121">
        <v>13485</v>
      </c>
      <c r="F173" s="33">
        <v>12330.833942940748</v>
      </c>
      <c r="G173" s="121">
        <v>147970.00731528897</v>
      </c>
    </row>
    <row r="174" spans="4:11" x14ac:dyDescent="0.3">
      <c r="D174" s="16">
        <v>868</v>
      </c>
      <c r="E174" s="121">
        <v>15066</v>
      </c>
      <c r="F174" s="33">
        <v>13776.517922457939</v>
      </c>
      <c r="G174" s="121">
        <v>165318.21506949526</v>
      </c>
    </row>
    <row r="175" spans="4:11" x14ac:dyDescent="0.3">
      <c r="D175" s="16">
        <v>869</v>
      </c>
      <c r="E175" s="121">
        <v>2694</v>
      </c>
      <c r="F175" s="33">
        <v>2463.4235552304317</v>
      </c>
      <c r="G175" s="121">
        <v>29561.08266276518</v>
      </c>
    </row>
    <row r="176" spans="4:11" x14ac:dyDescent="0.3">
      <c r="D176" s="16">
        <v>870</v>
      </c>
      <c r="E176" s="121">
        <v>32937</v>
      </c>
      <c r="F176" s="33">
        <v>30117.95903438186</v>
      </c>
      <c r="G176" s="121">
        <v>361415.50841258233</v>
      </c>
    </row>
    <row r="177" spans="4:7" x14ac:dyDescent="0.3">
      <c r="D177" s="16">
        <v>871</v>
      </c>
      <c r="E177" s="121">
        <v>25630</v>
      </c>
      <c r="F177" s="33">
        <v>23436.356986100953</v>
      </c>
      <c r="G177" s="121">
        <v>234363.56986100954</v>
      </c>
    </row>
    <row r="178" spans="4:7" x14ac:dyDescent="0.3">
      <c r="D178" s="16">
        <v>872</v>
      </c>
      <c r="E178" s="121">
        <v>10710</v>
      </c>
      <c r="F178" s="33">
        <v>9793.3430870519387</v>
      </c>
      <c r="G178" s="121">
        <v>102830.10241404535</v>
      </c>
    </row>
    <row r="179" spans="4:7" x14ac:dyDescent="0.3">
      <c r="D179" s="16">
        <v>873</v>
      </c>
      <c r="E179" s="121">
        <v>10710</v>
      </c>
      <c r="F179" s="33">
        <v>9793.3430870519387</v>
      </c>
      <c r="G179" s="121">
        <v>97933.430870519383</v>
      </c>
    </row>
    <row r="180" spans="4:7" x14ac:dyDescent="0.3">
      <c r="D180" s="16">
        <v>874</v>
      </c>
      <c r="E180" s="121">
        <v>20984</v>
      </c>
      <c r="F180" s="33">
        <v>19188.002926115583</v>
      </c>
      <c r="G180" s="121">
        <v>191880.02926115584</v>
      </c>
    </row>
    <row r="181" spans="4:7" x14ac:dyDescent="0.3">
      <c r="D181" s="16">
        <v>875</v>
      </c>
      <c r="E181" s="121">
        <v>13939</v>
      </c>
      <c r="F181" s="33">
        <v>12745.976591075349</v>
      </c>
      <c r="G181" s="121">
        <v>127459.76591075349</v>
      </c>
    </row>
    <row r="182" spans="4:7" x14ac:dyDescent="0.3">
      <c r="D182" s="16">
        <v>876</v>
      </c>
      <c r="E182" s="121">
        <v>210</v>
      </c>
      <c r="F182" s="33">
        <v>192.0263350402341</v>
      </c>
      <c r="G182" s="121">
        <v>2304.3160204828091</v>
      </c>
    </row>
    <row r="183" spans="4:7" x14ac:dyDescent="0.3">
      <c r="D183" s="16">
        <v>877</v>
      </c>
      <c r="E183" s="121">
        <v>19288</v>
      </c>
      <c r="F183" s="33">
        <v>17637.161667885885</v>
      </c>
      <c r="G183" s="121">
        <v>176371.61667885885</v>
      </c>
    </row>
    <row r="184" spans="4:7" x14ac:dyDescent="0.3">
      <c r="D184" s="16">
        <v>878</v>
      </c>
      <c r="E184" s="121">
        <v>12510</v>
      </c>
      <c r="F184" s="33">
        <v>11439.283101682517</v>
      </c>
      <c r="G184" s="121">
        <v>114392.83101682516</v>
      </c>
    </row>
    <row r="185" spans="4:7" x14ac:dyDescent="0.3">
      <c r="D185" s="16">
        <v>879</v>
      </c>
      <c r="E185" s="121">
        <v>16471</v>
      </c>
      <c r="F185" s="33">
        <v>15061.265544989028</v>
      </c>
      <c r="G185" s="121">
        <v>150612.65544989027</v>
      </c>
    </row>
    <row r="186" spans="4:7" x14ac:dyDescent="0.3">
      <c r="D186" s="16">
        <v>880</v>
      </c>
      <c r="E186" s="121">
        <v>11222</v>
      </c>
      <c r="F186" s="33">
        <v>10261.521580102415</v>
      </c>
      <c r="G186" s="121">
        <v>102615.21580102415</v>
      </c>
    </row>
    <row r="187" spans="4:7" x14ac:dyDescent="0.3">
      <c r="D187" s="16">
        <v>881</v>
      </c>
      <c r="E187" s="121">
        <v>15796</v>
      </c>
      <c r="F187" s="33">
        <v>14444.038039502562</v>
      </c>
      <c r="G187" s="121">
        <v>144440.38039502563</v>
      </c>
    </row>
    <row r="188" spans="4:7" x14ac:dyDescent="0.3">
      <c r="D188" s="16">
        <v>882</v>
      </c>
      <c r="E188" s="121">
        <v>17234</v>
      </c>
      <c r="F188" s="33">
        <v>15758.961228968546</v>
      </c>
      <c r="G188" s="121">
        <v>157589.61228968546</v>
      </c>
    </row>
    <row r="189" spans="4:7" x14ac:dyDescent="0.3">
      <c r="D189" s="16">
        <v>883</v>
      </c>
      <c r="E189" s="121">
        <v>13257</v>
      </c>
      <c r="F189" s="33">
        <v>12122.348207754207</v>
      </c>
      <c r="G189" s="121">
        <v>121223.48207754207</v>
      </c>
    </row>
    <row r="190" spans="4:7" x14ac:dyDescent="0.3">
      <c r="D190" s="16">
        <v>884</v>
      </c>
      <c r="E190" s="121">
        <v>4448</v>
      </c>
      <c r="F190" s="33">
        <v>4067.3006583760061</v>
      </c>
      <c r="G190" s="121">
        <v>40673.006583760063</v>
      </c>
    </row>
    <row r="191" spans="4:7" x14ac:dyDescent="0.3">
      <c r="D191" s="16">
        <v>885</v>
      </c>
      <c r="E191" s="121">
        <v>1850</v>
      </c>
      <c r="F191" s="33">
        <v>1691.6605705925385</v>
      </c>
      <c r="G191" s="121">
        <v>16916.605705925387</v>
      </c>
    </row>
    <row r="192" spans="4:7" x14ac:dyDescent="0.3">
      <c r="D192" s="16">
        <v>886</v>
      </c>
      <c r="E192" s="121">
        <v>12863</v>
      </c>
      <c r="F192" s="33">
        <v>11762.070226773958</v>
      </c>
      <c r="G192" s="121">
        <v>117620.70226773957</v>
      </c>
    </row>
    <row r="193" spans="4:7" x14ac:dyDescent="0.3">
      <c r="D193" s="16">
        <v>887</v>
      </c>
      <c r="E193" s="121">
        <v>4262</v>
      </c>
      <c r="F193" s="33">
        <v>3897.2201901975131</v>
      </c>
      <c r="G193" s="121">
        <v>38972.201901975131</v>
      </c>
    </row>
    <row r="194" spans="4:7" x14ac:dyDescent="0.3">
      <c r="D194" s="16">
        <v>888</v>
      </c>
      <c r="E194" s="121">
        <v>4440</v>
      </c>
      <c r="F194" s="33">
        <v>4059.9853694220924</v>
      </c>
      <c r="G194" s="121">
        <v>40599.853694220925</v>
      </c>
    </row>
    <row r="195" spans="4:7" x14ac:dyDescent="0.3">
      <c r="D195" s="16">
        <v>889</v>
      </c>
      <c r="E195" s="121">
        <v>16998</v>
      </c>
      <c r="F195" s="33">
        <v>15543.160204828093</v>
      </c>
      <c r="G195" s="121">
        <v>155431.60204828094</v>
      </c>
    </row>
    <row r="196" spans="4:7" x14ac:dyDescent="0.3">
      <c r="D196" s="16">
        <v>890</v>
      </c>
      <c r="E196" s="121">
        <v>15007</v>
      </c>
      <c r="F196" s="33">
        <v>13722.567666422825</v>
      </c>
      <c r="G196" s="121">
        <v>137225.67666422826</v>
      </c>
    </row>
    <row r="197" spans="4:7" x14ac:dyDescent="0.3">
      <c r="D197" s="16">
        <v>891</v>
      </c>
      <c r="E197" s="121">
        <v>36453</v>
      </c>
      <c r="F197" s="33">
        <v>33333.028529626921</v>
      </c>
      <c r="G197" s="121">
        <v>333330.28529626923</v>
      </c>
    </row>
    <row r="198" spans="4:7" x14ac:dyDescent="0.3">
      <c r="D198" s="16">
        <v>892</v>
      </c>
      <c r="E198" s="121">
        <v>18007</v>
      </c>
      <c r="F198" s="33">
        <v>16465.801024140455</v>
      </c>
      <c r="G198" s="121">
        <v>164658.01024140455</v>
      </c>
    </row>
    <row r="199" spans="4:7" x14ac:dyDescent="0.3">
      <c r="D199" s="16">
        <v>893</v>
      </c>
      <c r="E199" s="121">
        <v>19462</v>
      </c>
      <c r="F199" s="33">
        <v>17796.269202633506</v>
      </c>
      <c r="G199" s="121">
        <v>213555.23043160207</v>
      </c>
    </row>
    <row r="200" spans="4:7" x14ac:dyDescent="0.3">
      <c r="D200" s="16">
        <v>894</v>
      </c>
      <c r="E200" s="121">
        <v>2846</v>
      </c>
      <c r="F200" s="33">
        <v>2602.4140453547916</v>
      </c>
      <c r="G200" s="121">
        <v>31228.968544257499</v>
      </c>
    </row>
    <row r="201" spans="4:7" x14ac:dyDescent="0.3">
      <c r="D201" s="16">
        <v>895</v>
      </c>
      <c r="E201" s="121">
        <v>8529</v>
      </c>
      <c r="F201" s="33">
        <v>7799.0124359912224</v>
      </c>
      <c r="G201" s="121">
        <v>93588.149231894669</v>
      </c>
    </row>
    <row r="202" spans="4:7" x14ac:dyDescent="0.3">
      <c r="D202" s="16">
        <v>896</v>
      </c>
      <c r="E202" s="121">
        <v>13770</v>
      </c>
      <c r="F202" s="33">
        <v>12591.441111923921</v>
      </c>
      <c r="G202" s="121">
        <v>151097.29334308705</v>
      </c>
    </row>
    <row r="203" spans="4:7" x14ac:dyDescent="0.3">
      <c r="D203" s="16">
        <v>897</v>
      </c>
      <c r="E203" s="121">
        <v>9238</v>
      </c>
      <c r="F203" s="33">
        <v>8447.3299195318214</v>
      </c>
      <c r="G203" s="121">
        <v>101367.95903438186</v>
      </c>
    </row>
    <row r="204" spans="4:7" x14ac:dyDescent="0.3">
      <c r="D204" s="16">
        <v>898</v>
      </c>
      <c r="E204" s="121">
        <v>6756</v>
      </c>
      <c r="F204" s="33">
        <v>6177.7615215801034</v>
      </c>
      <c r="G204" s="121">
        <v>74133.138258961233</v>
      </c>
    </row>
    <row r="205" spans="4:7" x14ac:dyDescent="0.3">
      <c r="D205" s="16" t="s">
        <v>295</v>
      </c>
      <c r="E205" s="121">
        <v>3124</v>
      </c>
      <c r="F205" s="33">
        <v>2856.620336503292</v>
      </c>
      <c r="G205" s="121">
        <v>34279.444038039503</v>
      </c>
    </row>
    <row r="206" spans="4:7" x14ac:dyDescent="0.3">
      <c r="D206" s="16" t="s">
        <v>296</v>
      </c>
      <c r="E206" s="121">
        <v>1928</v>
      </c>
      <c r="F206" s="33">
        <v>1762.984637893197</v>
      </c>
      <c r="G206" s="121">
        <v>21155.815654718364</v>
      </c>
    </row>
    <row r="207" spans="4:7" x14ac:dyDescent="0.3">
      <c r="D207" s="16" t="s">
        <v>297</v>
      </c>
      <c r="E207" s="121">
        <v>2578</v>
      </c>
      <c r="F207" s="33">
        <v>2357.3518653986835</v>
      </c>
      <c r="G207" s="121">
        <v>28288.222384784203</v>
      </c>
    </row>
    <row r="208" spans="4:7" x14ac:dyDescent="0.3">
      <c r="D208" s="16" t="s">
        <v>298</v>
      </c>
      <c r="E208" s="121">
        <v>4162</v>
      </c>
      <c r="F208" s="33">
        <v>3805.7790782735919</v>
      </c>
      <c r="G208" s="121">
        <v>45669.348939283103</v>
      </c>
    </row>
    <row r="209" spans="4:7" x14ac:dyDescent="0.3">
      <c r="D209" s="16" t="s">
        <v>299</v>
      </c>
      <c r="E209" s="121">
        <v>1384</v>
      </c>
      <c r="F209" s="33">
        <v>1265.5449890270668</v>
      </c>
      <c r="G209" s="121">
        <v>15186.539868324802</v>
      </c>
    </row>
    <row r="210" spans="4:7" x14ac:dyDescent="0.3">
      <c r="D210" s="16">
        <v>901</v>
      </c>
      <c r="E210" s="121">
        <v>15367</v>
      </c>
      <c r="F210" s="33">
        <v>14051.755669348941</v>
      </c>
      <c r="G210" s="121">
        <v>168621.06803218729</v>
      </c>
    </row>
    <row r="211" spans="4:7" x14ac:dyDescent="0.3">
      <c r="D211" s="16">
        <v>902</v>
      </c>
      <c r="E211" s="121"/>
      <c r="F211" s="33">
        <v>0</v>
      </c>
      <c r="G211" s="121" t="e">
        <v>#N/A</v>
      </c>
    </row>
    <row r="212" spans="4:7" x14ac:dyDescent="0.3">
      <c r="D212" s="16">
        <v>903</v>
      </c>
      <c r="E212" s="121">
        <v>8722</v>
      </c>
      <c r="F212" s="33">
        <v>7975.4937820043897</v>
      </c>
      <c r="G212" s="121">
        <v>95705.92538405268</v>
      </c>
    </row>
    <row r="213" spans="4:7" x14ac:dyDescent="0.3">
      <c r="D213" s="16">
        <v>904</v>
      </c>
      <c r="E213" s="121">
        <v>7570</v>
      </c>
      <c r="F213" s="33">
        <v>6922.0921726408196</v>
      </c>
      <c r="G213" s="121">
        <v>83065.106071689836</v>
      </c>
    </row>
    <row r="214" spans="4:7" x14ac:dyDescent="0.3">
      <c r="D214" s="16">
        <v>905</v>
      </c>
      <c r="E214" s="121">
        <v>6580</v>
      </c>
      <c r="F214" s="33">
        <v>6016.8251645940018</v>
      </c>
      <c r="G214" s="121">
        <v>54151.426481346018</v>
      </c>
    </row>
    <row r="215" spans="4:7" x14ac:dyDescent="0.3">
      <c r="D215" s="16">
        <v>906</v>
      </c>
      <c r="E215" s="121">
        <v>4202</v>
      </c>
      <c r="F215" s="33">
        <v>3842.3555230431607</v>
      </c>
      <c r="G215" s="121">
        <v>40344.732991953184</v>
      </c>
    </row>
    <row r="216" spans="4:7" x14ac:dyDescent="0.3">
      <c r="D216" s="16">
        <v>907</v>
      </c>
      <c r="E216" s="121">
        <v>12967</v>
      </c>
      <c r="F216" s="33">
        <v>11857.168983174837</v>
      </c>
      <c r="G216" s="121">
        <v>118571.68983174837</v>
      </c>
    </row>
    <row r="217" spans="4:7" x14ac:dyDescent="0.3">
      <c r="D217" s="16">
        <v>908</v>
      </c>
      <c r="E217" s="121">
        <v>15228</v>
      </c>
      <c r="F217" s="33">
        <v>13924.65252377469</v>
      </c>
      <c r="G217" s="121">
        <v>139246.52523774689</v>
      </c>
    </row>
    <row r="218" spans="4:7" x14ac:dyDescent="0.3">
      <c r="D218" s="16">
        <v>909</v>
      </c>
      <c r="E218" s="121">
        <v>16294</v>
      </c>
      <c r="F218" s="33">
        <v>14899.414776883688</v>
      </c>
      <c r="G218" s="121">
        <v>148994.14776883688</v>
      </c>
    </row>
    <row r="219" spans="4:7" x14ac:dyDescent="0.3">
      <c r="D219" s="16">
        <v>910</v>
      </c>
      <c r="E219" s="121">
        <v>13202</v>
      </c>
      <c r="F219" s="33">
        <v>12072.055596196051</v>
      </c>
      <c r="G219" s="121">
        <v>108648.50036576446</v>
      </c>
    </row>
    <row r="220" spans="4:7" x14ac:dyDescent="0.3">
      <c r="D220" s="16">
        <v>911</v>
      </c>
      <c r="E220" s="121">
        <v>4484</v>
      </c>
      <c r="F220" s="33">
        <v>4100.2194586686173</v>
      </c>
      <c r="G220" s="121">
        <v>41002.194586686172</v>
      </c>
    </row>
    <row r="221" spans="4:7" x14ac:dyDescent="0.3">
      <c r="D221" s="16">
        <v>912</v>
      </c>
      <c r="E221" s="121">
        <v>12094</v>
      </c>
      <c r="F221" s="33">
        <v>11058.888076079005</v>
      </c>
      <c r="G221" s="121">
        <v>110588.88076079005</v>
      </c>
    </row>
    <row r="222" spans="4:7" x14ac:dyDescent="0.3">
      <c r="D222" s="16">
        <v>913</v>
      </c>
      <c r="E222" s="121">
        <v>11836</v>
      </c>
      <c r="F222" s="33">
        <v>10822.970007315291</v>
      </c>
      <c r="G222" s="121">
        <v>108229.70007315291</v>
      </c>
    </row>
    <row r="223" spans="4:7" x14ac:dyDescent="0.3">
      <c r="D223" s="16">
        <v>914</v>
      </c>
      <c r="E223" s="121">
        <v>2505</v>
      </c>
      <c r="F223" s="33">
        <v>2290.5998536942211</v>
      </c>
      <c r="G223" s="121">
        <v>22905.99853694221</v>
      </c>
    </row>
    <row r="224" spans="4:7" x14ac:dyDescent="0.3">
      <c r="D224" s="16" t="s">
        <v>28</v>
      </c>
      <c r="E224" s="121">
        <v>1075730</v>
      </c>
      <c r="F224" s="33">
        <v>3381593.8185808351</v>
      </c>
      <c r="G224" s="121" t="e">
        <v>#N/A</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15"/>
  <sheetViews>
    <sheetView topLeftCell="A42" zoomScale="152" workbookViewId="0">
      <selection activeCell="H53" sqref="H53"/>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5052130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-210985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301</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302</v>
      </c>
      <c r="D48" s="11">
        <v>376</v>
      </c>
      <c r="E48" s="11">
        <v>810</v>
      </c>
      <c r="F48" s="11">
        <v>62410</v>
      </c>
      <c r="G48" s="11">
        <f>D48*E48</f>
        <v>304560</v>
      </c>
      <c r="H48" s="11"/>
      <c r="I48" s="11">
        <f>(D48*E48)-Table3[[#This Row],[Paid]]</f>
        <v>304560</v>
      </c>
    </row>
    <row r="49" spans="1:9" x14ac:dyDescent="0.3">
      <c r="A49" s="1">
        <v>45932</v>
      </c>
      <c r="B49" t="s">
        <v>98</v>
      </c>
      <c r="C49" t="s">
        <v>310</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309</v>
      </c>
      <c r="D50" s="11">
        <v>275</v>
      </c>
      <c r="E50" s="11">
        <v>810</v>
      </c>
      <c r="F50" s="11">
        <v>44420</v>
      </c>
      <c r="G50" s="11">
        <f t="shared" si="7"/>
        <v>222750</v>
      </c>
      <c r="H50" s="11"/>
      <c r="I50" s="11">
        <f>(D50*E50)-Table3[[#This Row],[Paid]]</f>
        <v>222750</v>
      </c>
    </row>
    <row r="51" spans="1:9" x14ac:dyDescent="0.3">
      <c r="A51" s="1">
        <v>45930</v>
      </c>
      <c r="B51" t="s">
        <v>159</v>
      </c>
      <c r="D51" s="11">
        <v>41</v>
      </c>
      <c r="E51" s="11">
        <v>580</v>
      </c>
      <c r="F51" s="11"/>
      <c r="G51" s="11">
        <f t="shared" si="7"/>
        <v>23780</v>
      </c>
      <c r="H51" s="11"/>
      <c r="I51" s="11">
        <f>(D51*E51)-Table3[[#This Row],[Paid]]</f>
        <v>23780</v>
      </c>
    </row>
    <row r="52" spans="1:9" x14ac:dyDescent="0.3">
      <c r="A52" s="1">
        <v>45930</v>
      </c>
      <c r="B52" t="s">
        <v>318</v>
      </c>
      <c r="C52">
        <v>3414</v>
      </c>
      <c r="D52" s="11">
        <v>285</v>
      </c>
      <c r="E52" s="11">
        <v>775</v>
      </c>
      <c r="F52" s="11"/>
      <c r="G52" s="11">
        <f t="shared" si="7"/>
        <v>220875</v>
      </c>
      <c r="H52" s="11"/>
      <c r="I52" s="11">
        <f>(D52*E52)-Table3[[#This Row],[Paid]]</f>
        <v>220875</v>
      </c>
    </row>
    <row r="53" spans="1:9"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c r="D54" s="11"/>
      <c r="E54" s="11"/>
      <c r="F54" s="11"/>
      <c r="G54" s="11">
        <f t="shared" si="7"/>
        <v>0</v>
      </c>
      <c r="H54" s="11"/>
      <c r="I54" s="11">
        <f>(D54*E54)-Table3[[#This Row],[Paid]]</f>
        <v>0</v>
      </c>
    </row>
    <row r="55" spans="1:9" x14ac:dyDescent="0.3">
      <c r="A55" s="1"/>
      <c r="D55" s="11"/>
      <c r="E55" s="11"/>
      <c r="F55" s="11"/>
      <c r="G55" s="11">
        <f t="shared" si="7"/>
        <v>0</v>
      </c>
      <c r="H55" s="11"/>
      <c r="I55" s="11">
        <f>(D55*E55)-Table3[[#This Row],[Paid]]</f>
        <v>0</v>
      </c>
    </row>
    <row r="56" spans="1:9" x14ac:dyDescent="0.3">
      <c r="A56" s="1"/>
      <c r="D56" s="11"/>
      <c r="E56" s="11"/>
      <c r="F56" s="11"/>
      <c r="G56" s="11">
        <f t="shared" si="7"/>
        <v>0</v>
      </c>
      <c r="H56" s="11"/>
      <c r="I56" s="11">
        <f>(D56*E56)-Table3[[#This Row],[Paid]]</f>
        <v>0</v>
      </c>
    </row>
    <row r="57" spans="1:9" x14ac:dyDescent="0.3">
      <c r="A57" s="1"/>
      <c r="D57" s="11"/>
      <c r="E57" s="11"/>
      <c r="F57" s="11"/>
      <c r="G57" s="11">
        <f t="shared" si="7"/>
        <v>0</v>
      </c>
      <c r="H57" s="11"/>
      <c r="I57" s="11">
        <f>(D57*E57)-Table3[[#This Row],[Paid]]</f>
        <v>0</v>
      </c>
    </row>
    <row r="58" spans="1:9" x14ac:dyDescent="0.3">
      <c r="A58" s="1" t="s">
        <v>102</v>
      </c>
      <c r="D58" s="14"/>
      <c r="E58" s="14"/>
      <c r="F58" s="14"/>
      <c r="G58" s="14">
        <f>SUBTOTAL(109,Table3[Total])</f>
        <v>5052130</v>
      </c>
      <c r="H58" s="14">
        <f>SUBTOTAL(109,Table3[Paid])</f>
        <v>4947875</v>
      </c>
      <c r="I58" s="14">
        <f>SUBTOTAL(109,Table3[balance])</f>
        <v>2659132</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252</v>
      </c>
      <c r="G110" s="14">
        <v>204120</v>
      </c>
      <c r="H110" s="14">
        <v>341390</v>
      </c>
      <c r="I110" s="14">
        <v>-137270</v>
      </c>
    </row>
    <row r="111" spans="5:9" x14ac:dyDescent="0.3">
      <c r="E111" s="49" t="s">
        <v>294</v>
      </c>
      <c r="F111" s="14">
        <v>252</v>
      </c>
      <c r="G111" s="14">
        <v>204120</v>
      </c>
      <c r="H111" s="14">
        <v>341390</v>
      </c>
      <c r="I111" s="14">
        <v>-137270</v>
      </c>
    </row>
    <row r="112" spans="5:9" x14ac:dyDescent="0.3">
      <c r="E112" s="27">
        <v>45931</v>
      </c>
      <c r="F112" s="14">
        <v>671</v>
      </c>
      <c r="G112" s="14">
        <v>543510</v>
      </c>
      <c r="H112" s="14">
        <v>402560</v>
      </c>
      <c r="I112" s="14">
        <v>140950</v>
      </c>
    </row>
    <row r="113" spans="5:9" x14ac:dyDescent="0.3">
      <c r="E113" s="49" t="s">
        <v>301</v>
      </c>
      <c r="F113" s="14">
        <v>295</v>
      </c>
      <c r="G113" s="14">
        <v>238950</v>
      </c>
      <c r="H113" s="14">
        <v>402560</v>
      </c>
      <c r="I113" s="14">
        <v>-163610</v>
      </c>
    </row>
    <row r="114" spans="5:9" x14ac:dyDescent="0.3">
      <c r="E114" s="49" t="s">
        <v>302</v>
      </c>
      <c r="F114" s="14">
        <v>376</v>
      </c>
      <c r="G114" s="14">
        <v>304560</v>
      </c>
      <c r="H114" s="14"/>
      <c r="I114" s="14">
        <v>304560</v>
      </c>
    </row>
    <row r="115" spans="5:9" x14ac:dyDescent="0.3">
      <c r="E115" s="27" t="s">
        <v>28</v>
      </c>
      <c r="F115" s="14">
        <v>5787</v>
      </c>
      <c r="G115" s="14">
        <v>4400360</v>
      </c>
      <c r="H115" s="14">
        <v>4438135</v>
      </c>
      <c r="I115" s="14">
        <v>2517102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45"/>
  <sheetViews>
    <sheetView tabSelected="1" topLeftCell="A223" zoomScale="132" workbookViewId="0">
      <selection activeCell="A228" sqref="A22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-421502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9692910</v>
      </c>
      <c r="M4" s="53" t="s">
        <v>112</v>
      </c>
      <c r="N4" s="59">
        <f>SUMIFS(Table14[Withdrawal],Table14[Party],"Cash",Table14[Mode],"Transfer")</f>
        <v>83000</v>
      </c>
    </row>
    <row r="5" spans="1:16" x14ac:dyDescent="0.3">
      <c r="A5" s="104">
        <v>45916</v>
      </c>
      <c r="B5" t="s">
        <v>98</v>
      </c>
      <c r="C5" s="112">
        <v>38800</v>
      </c>
      <c r="D5" s="11"/>
      <c r="E5" t="s">
        <v>168</v>
      </c>
      <c r="F5" s="52" t="s">
        <v>113</v>
      </c>
      <c r="J5" s="53" t="s">
        <v>70</v>
      </c>
      <c r="K5" s="54">
        <f>Table14[[#Totals],[Credit]]</f>
        <v>9772687</v>
      </c>
      <c r="M5" s="53" t="s">
        <v>113</v>
      </c>
      <c r="N5" s="54">
        <f>(SUMIFS(Table14[Credit],Table14[Mode],"Bank")-SUMIFS(Table14[Debit],Table14[Mode],"Bank")-SUMIFS(Table14[Withdrawal],Table14[Mode],"Transfer"))</f>
        <v>118829</v>
      </c>
      <c r="O5">
        <v>320</v>
      </c>
    </row>
    <row r="6" spans="1:16" x14ac:dyDescent="0.3">
      <c r="A6" s="104">
        <v>45916</v>
      </c>
      <c r="B6" t="s">
        <v>27</v>
      </c>
      <c r="C6" s="11"/>
      <c r="D6" s="11">
        <v>100000</v>
      </c>
      <c r="F6" s="52" t="s">
        <v>114</v>
      </c>
      <c r="J6" s="60" t="s">
        <v>43</v>
      </c>
      <c r="K6" s="61">
        <f>(K5-K4)</f>
        <v>79777</v>
      </c>
      <c r="M6" s="53" t="s">
        <v>114</v>
      </c>
      <c r="N6" s="54">
        <f>((SUMIFS(Table14[Credit],Table14[Mode],"Cash")-SUMIFS(Table14[Debit],Table14[Mode],"Cash"))+SUMIFS(Table14[Withdrawal],Table14[Party],"Cash",Table14[Mode],"Transfer"))</f>
        <v>-39052</v>
      </c>
      <c r="O6">
        <v>1520</v>
      </c>
    </row>
    <row r="7" spans="1:16" x14ac:dyDescent="0.3">
      <c r="A7" s="104">
        <v>45916</v>
      </c>
      <c r="B7" t="s">
        <v>9</v>
      </c>
      <c r="C7" s="11"/>
      <c r="D7" s="11">
        <v>100000</v>
      </c>
      <c r="F7" s="52" t="s">
        <v>114</v>
      </c>
      <c r="M7" s="56" t="s">
        <v>5</v>
      </c>
      <c r="N7" s="57">
        <f>SUM(N5:N6)</f>
        <v>79777</v>
      </c>
      <c r="O7" s="99">
        <f>SUM(O5,O6)</f>
        <v>1840</v>
      </c>
      <c r="P7" s="14">
        <f>Table18[[#Totals],[amount]]-Table18[[#Totals],[Actual]]</f>
        <v>77937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315</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316</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63000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2386943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4452865</v>
      </c>
    </row>
    <row r="170" spans="1:12" x14ac:dyDescent="0.3">
      <c r="A170" s="104">
        <v>45927</v>
      </c>
      <c r="B170" t="s">
        <v>162</v>
      </c>
      <c r="C170" s="11"/>
      <c r="D170" s="11">
        <v>250000</v>
      </c>
      <c r="F170" s="52" t="s">
        <v>113</v>
      </c>
      <c r="J170" s="4" t="s">
        <v>50</v>
      </c>
      <c r="K170" s="14"/>
      <c r="L170" s="14">
        <v>8455</v>
      </c>
    </row>
    <row r="171" spans="1:12" x14ac:dyDescent="0.3">
      <c r="A171" s="104">
        <v>45927</v>
      </c>
      <c r="B171" t="s">
        <v>98</v>
      </c>
      <c r="C171" s="114">
        <v>301000</v>
      </c>
      <c r="D171" s="11"/>
      <c r="E171" t="s">
        <v>269</v>
      </c>
      <c r="F171" s="52" t="s">
        <v>113</v>
      </c>
      <c r="J171" s="4" t="s">
        <v>55</v>
      </c>
      <c r="K171" s="14"/>
      <c r="L171" s="14">
        <v>194957</v>
      </c>
    </row>
    <row r="172" spans="1:12" x14ac:dyDescent="0.3">
      <c r="A172" s="104">
        <v>45927</v>
      </c>
      <c r="B172" t="s">
        <v>98</v>
      </c>
      <c r="C172" s="114">
        <v>33500</v>
      </c>
      <c r="D172" s="11"/>
      <c r="E172" t="s">
        <v>270</v>
      </c>
      <c r="F172" s="52" t="s">
        <v>114</v>
      </c>
      <c r="J172" s="4" t="s">
        <v>119</v>
      </c>
      <c r="K172" s="14"/>
      <c r="L172" s="14">
        <v>67180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141300</v>
      </c>
      <c r="L174" s="14"/>
    </row>
    <row r="175" spans="1:12" x14ac:dyDescent="0.3">
      <c r="A175" s="104">
        <v>45927</v>
      </c>
      <c r="B175" t="s">
        <v>114</v>
      </c>
      <c r="C175" s="11"/>
      <c r="D175" s="11"/>
      <c r="F175" s="52" t="s">
        <v>272</v>
      </c>
      <c r="G175">
        <v>30000</v>
      </c>
      <c r="J175" s="4" t="s">
        <v>54</v>
      </c>
      <c r="K175" s="14"/>
      <c r="L175" s="14">
        <v>215502</v>
      </c>
    </row>
    <row r="176" spans="1:12" x14ac:dyDescent="0.3">
      <c r="A176" s="104">
        <v>45927</v>
      </c>
      <c r="B176" t="s">
        <v>123</v>
      </c>
      <c r="C176" s="11">
        <v>20000</v>
      </c>
      <c r="D176" s="11"/>
      <c r="E176" t="s">
        <v>184</v>
      </c>
      <c r="F176" s="52" t="s">
        <v>114</v>
      </c>
      <c r="J176" s="4" t="s">
        <v>121</v>
      </c>
      <c r="K176" s="14">
        <v>48522</v>
      </c>
      <c r="L176" s="14">
        <v>58560</v>
      </c>
    </row>
    <row r="177" spans="1:12" x14ac:dyDescent="0.3">
      <c r="A177" s="104">
        <v>45927</v>
      </c>
      <c r="B177" t="s">
        <v>243</v>
      </c>
      <c r="C177" s="11"/>
      <c r="D177" s="11">
        <v>280000</v>
      </c>
      <c r="F177" s="52" t="s">
        <v>113</v>
      </c>
      <c r="J177" s="4" t="s">
        <v>223</v>
      </c>
      <c r="K177" s="14"/>
      <c r="L177" s="14">
        <v>2400031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4050000</v>
      </c>
      <c r="L182" s="14"/>
    </row>
    <row r="183" spans="1:12" x14ac:dyDescent="0.3">
      <c r="A183" s="104">
        <v>45928</v>
      </c>
      <c r="B183" t="s">
        <v>52</v>
      </c>
      <c r="C183" s="11">
        <v>20000</v>
      </c>
      <c r="D183" s="11"/>
      <c r="E183" t="s">
        <v>230</v>
      </c>
      <c r="F183" s="52" t="s">
        <v>113</v>
      </c>
      <c r="J183" s="4" t="s">
        <v>27</v>
      </c>
      <c r="K183" s="14">
        <v>100000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462750</v>
      </c>
    </row>
    <row r="189" spans="1:12" x14ac:dyDescent="0.3">
      <c r="A189" s="104">
        <v>45928</v>
      </c>
      <c r="B189" t="s">
        <v>121</v>
      </c>
      <c r="C189" s="11">
        <v>2320</v>
      </c>
      <c r="D189" s="11"/>
      <c r="E189" t="s">
        <v>280</v>
      </c>
      <c r="F189" s="52" t="s">
        <v>114</v>
      </c>
      <c r="J189" s="4" t="s">
        <v>162</v>
      </c>
      <c r="K189" s="14">
        <v>1000000</v>
      </c>
      <c r="L189" s="14"/>
    </row>
    <row r="190" spans="1:12" x14ac:dyDescent="0.3">
      <c r="A190" s="43">
        <v>45929</v>
      </c>
      <c r="B190" t="s">
        <v>162</v>
      </c>
      <c r="C190" s="47"/>
      <c r="D190" s="47">
        <v>200000</v>
      </c>
      <c r="F190" s="52" t="s">
        <v>113</v>
      </c>
      <c r="J190" s="4" t="s">
        <v>167</v>
      </c>
      <c r="K190" s="14">
        <v>-1203369</v>
      </c>
      <c r="L190" s="14"/>
    </row>
    <row r="191" spans="1:12" x14ac:dyDescent="0.3">
      <c r="A191" s="104">
        <v>45929</v>
      </c>
      <c r="B191" t="s">
        <v>98</v>
      </c>
      <c r="C191" s="11">
        <v>300002</v>
      </c>
      <c r="D191" s="11"/>
      <c r="E191" t="s">
        <v>281</v>
      </c>
      <c r="F191" s="52" t="s">
        <v>113</v>
      </c>
      <c r="J191" s="4" t="s">
        <v>237</v>
      </c>
      <c r="K191" s="14"/>
      <c r="L191" s="14">
        <v>250000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28</v>
      </c>
      <c r="K193" s="14">
        <v>9771187</v>
      </c>
      <c r="L193" s="14">
        <v>9691410</v>
      </c>
    </row>
    <row r="194" spans="1:12" x14ac:dyDescent="0.3">
      <c r="A194" s="43">
        <v>45929</v>
      </c>
      <c r="B194" t="s">
        <v>121</v>
      </c>
      <c r="C194" s="11">
        <v>3300</v>
      </c>
      <c r="D194" s="11"/>
      <c r="E194" t="s">
        <v>171</v>
      </c>
      <c r="F194" s="52" t="s">
        <v>114</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223</v>
      </c>
      <c r="C209" s="11">
        <v>500000</v>
      </c>
      <c r="D209" s="11"/>
      <c r="E209" t="s">
        <v>290</v>
      </c>
      <c r="F209" s="52" t="s">
        <v>113</v>
      </c>
    </row>
    <row r="210" spans="1:6" x14ac:dyDescent="0.3">
      <c r="A210" s="104">
        <v>45930</v>
      </c>
      <c r="B210" t="s">
        <v>98</v>
      </c>
      <c r="C210" s="11">
        <v>300330</v>
      </c>
      <c r="D210" s="11"/>
      <c r="E210" t="s">
        <v>291</v>
      </c>
      <c r="F210" s="52" t="s">
        <v>113</v>
      </c>
    </row>
    <row r="211" spans="1:6" x14ac:dyDescent="0.3">
      <c r="A211" s="104">
        <v>45930</v>
      </c>
      <c r="B211" t="s">
        <v>9</v>
      </c>
      <c r="C211" s="11"/>
      <c r="D211" s="11">
        <v>70000</v>
      </c>
      <c r="F211" s="52" t="s">
        <v>113</v>
      </c>
    </row>
    <row r="212" spans="1:6" x14ac:dyDescent="0.3">
      <c r="A212" s="104">
        <v>45930</v>
      </c>
      <c r="B212" t="s">
        <v>119</v>
      </c>
      <c r="C212" s="11">
        <v>4000</v>
      </c>
      <c r="D212" s="11"/>
      <c r="E212" t="s">
        <v>292</v>
      </c>
      <c r="F212" s="52" t="s">
        <v>114</v>
      </c>
    </row>
    <row r="213" spans="1:6" x14ac:dyDescent="0.3">
      <c r="A213" s="104">
        <v>45930</v>
      </c>
      <c r="B213" t="s">
        <v>50</v>
      </c>
      <c r="C213" s="47">
        <v>300</v>
      </c>
      <c r="D213" s="47"/>
      <c r="F213" s="52" t="s">
        <v>114</v>
      </c>
    </row>
    <row r="214" spans="1:6" x14ac:dyDescent="0.3">
      <c r="A214" s="104">
        <v>45930</v>
      </c>
      <c r="B214" t="s">
        <v>54</v>
      </c>
      <c r="C214" s="11">
        <v>3350</v>
      </c>
      <c r="D214" s="11"/>
      <c r="E214" t="s">
        <v>206</v>
      </c>
      <c r="F214" s="52" t="s">
        <v>113</v>
      </c>
    </row>
    <row r="215" spans="1:6" x14ac:dyDescent="0.3">
      <c r="A215" s="104">
        <v>45930</v>
      </c>
      <c r="B215" t="s">
        <v>52</v>
      </c>
      <c r="C215" s="11"/>
      <c r="D215" s="11"/>
      <c r="E215" t="s">
        <v>293</v>
      </c>
      <c r="F215" s="52" t="s">
        <v>113</v>
      </c>
    </row>
    <row r="216" spans="1:6" x14ac:dyDescent="0.3">
      <c r="A216" s="104">
        <v>45931</v>
      </c>
      <c r="B216" t="s">
        <v>24</v>
      </c>
      <c r="C216" s="11"/>
      <c r="D216" s="11">
        <v>500000</v>
      </c>
      <c r="F216" s="52" t="s">
        <v>113</v>
      </c>
    </row>
    <row r="217" spans="1:6" x14ac:dyDescent="0.3">
      <c r="A217" s="104">
        <v>45931</v>
      </c>
      <c r="B217" t="s">
        <v>98</v>
      </c>
      <c r="C217" s="11">
        <v>40000</v>
      </c>
      <c r="D217" s="11"/>
      <c r="E217" t="s">
        <v>301</v>
      </c>
      <c r="F217" s="52" t="s">
        <v>114</v>
      </c>
    </row>
    <row r="218" spans="1:6" x14ac:dyDescent="0.3">
      <c r="A218" s="104">
        <v>45931</v>
      </c>
      <c r="B218" t="s">
        <v>98</v>
      </c>
      <c r="C218" s="11">
        <v>62410</v>
      </c>
      <c r="D218" s="11"/>
      <c r="E218" t="s">
        <v>302</v>
      </c>
      <c r="F218" s="52" t="s">
        <v>113</v>
      </c>
    </row>
    <row r="219" spans="1:6" x14ac:dyDescent="0.3">
      <c r="A219" s="104">
        <v>45931</v>
      </c>
      <c r="B219" t="s">
        <v>55</v>
      </c>
      <c r="C219" s="47">
        <v>1550</v>
      </c>
      <c r="D219" s="47"/>
      <c r="E219" t="s">
        <v>303</v>
      </c>
      <c r="F219" s="52" t="s">
        <v>113</v>
      </c>
    </row>
    <row r="220" spans="1:6" x14ac:dyDescent="0.3">
      <c r="A220" s="104">
        <v>45931</v>
      </c>
      <c r="B220" t="s">
        <v>55</v>
      </c>
      <c r="C220" s="11">
        <v>8349</v>
      </c>
      <c r="D220" s="11"/>
      <c r="E220" t="s">
        <v>198</v>
      </c>
      <c r="F220" s="52" t="s">
        <v>113</v>
      </c>
    </row>
    <row r="221" spans="1:6" x14ac:dyDescent="0.3">
      <c r="A221" s="104">
        <v>45931</v>
      </c>
      <c r="B221" t="s">
        <v>55</v>
      </c>
      <c r="C221" s="11">
        <v>4240</v>
      </c>
      <c r="D221" s="11"/>
      <c r="E221" t="s">
        <v>304</v>
      </c>
      <c r="F221" s="52" t="s">
        <v>113</v>
      </c>
    </row>
    <row r="222" spans="1:6" x14ac:dyDescent="0.3">
      <c r="A222" s="104">
        <v>45931</v>
      </c>
      <c r="B222" t="s">
        <v>55</v>
      </c>
      <c r="C222" s="11">
        <v>900</v>
      </c>
      <c r="D222" s="11"/>
      <c r="E222" t="s">
        <v>304</v>
      </c>
      <c r="F222" s="52" t="s">
        <v>113</v>
      </c>
    </row>
    <row r="223" spans="1:6" x14ac:dyDescent="0.3">
      <c r="A223" s="104">
        <v>45931</v>
      </c>
      <c r="B223" t="s">
        <v>121</v>
      </c>
      <c r="C223" s="11">
        <v>6600</v>
      </c>
      <c r="D223" s="11"/>
      <c r="E223" t="s">
        <v>171</v>
      </c>
      <c r="F223" s="52" t="s">
        <v>113</v>
      </c>
    </row>
    <row r="224" spans="1:6" x14ac:dyDescent="0.3">
      <c r="A224" s="104">
        <v>45931</v>
      </c>
      <c r="B224" t="s">
        <v>54</v>
      </c>
      <c r="C224" s="11">
        <v>5100</v>
      </c>
      <c r="D224" s="11"/>
      <c r="E224" t="s">
        <v>158</v>
      </c>
      <c r="F224" s="52" t="s">
        <v>113</v>
      </c>
    </row>
    <row r="225" spans="1:7" x14ac:dyDescent="0.3">
      <c r="A225" s="104">
        <v>45931</v>
      </c>
      <c r="B225" t="s">
        <v>98</v>
      </c>
      <c r="C225" s="11">
        <v>300150</v>
      </c>
      <c r="D225" s="11"/>
      <c r="E225" t="s">
        <v>305</v>
      </c>
      <c r="F225" s="52" t="s">
        <v>113</v>
      </c>
    </row>
    <row r="226" spans="1:7" x14ac:dyDescent="0.3">
      <c r="A226" s="104">
        <v>45931</v>
      </c>
      <c r="B226" t="s">
        <v>23</v>
      </c>
      <c r="C226" s="11"/>
      <c r="D226" s="11">
        <f>38800+1500</f>
        <v>40300</v>
      </c>
      <c r="E226" t="s">
        <v>306</v>
      </c>
      <c r="F226" s="52" t="s">
        <v>113</v>
      </c>
    </row>
    <row r="227" spans="1:7" x14ac:dyDescent="0.3">
      <c r="A227" s="118">
        <v>45931</v>
      </c>
      <c r="B227" t="s">
        <v>54</v>
      </c>
      <c r="C227" s="11">
        <v>1500</v>
      </c>
      <c r="D227" s="11"/>
      <c r="E227" t="s">
        <v>319</v>
      </c>
      <c r="F227" s="52" t="s">
        <v>113</v>
      </c>
    </row>
    <row r="228" spans="1:7" x14ac:dyDescent="0.3">
      <c r="A228" s="104">
        <v>45931</v>
      </c>
      <c r="B228" t="s">
        <v>50</v>
      </c>
      <c r="C228" s="47">
        <v>4200</v>
      </c>
      <c r="D228" s="11"/>
      <c r="E228" t="s">
        <v>307</v>
      </c>
      <c r="F228" s="52" t="s">
        <v>113</v>
      </c>
    </row>
    <row r="229" spans="1:7" x14ac:dyDescent="0.3">
      <c r="A229" s="104">
        <v>45932</v>
      </c>
      <c r="B229" t="s">
        <v>308</v>
      </c>
      <c r="C229" s="47">
        <v>4500</v>
      </c>
      <c r="D229" s="47"/>
      <c r="F229" s="52" t="s">
        <v>114</v>
      </c>
    </row>
    <row r="230" spans="1:7" x14ac:dyDescent="0.3">
      <c r="A230" s="118">
        <v>45932</v>
      </c>
      <c r="B230" t="s">
        <v>114</v>
      </c>
      <c r="C230" s="11"/>
      <c r="D230" s="11"/>
      <c r="F230" s="52" t="s">
        <v>272</v>
      </c>
      <c r="G230">
        <v>50000</v>
      </c>
    </row>
    <row r="231" spans="1:7" x14ac:dyDescent="0.3">
      <c r="A231" s="104">
        <v>45932</v>
      </c>
      <c r="B231" t="s">
        <v>98</v>
      </c>
      <c r="C231" s="11">
        <v>44420</v>
      </c>
      <c r="D231" s="11"/>
      <c r="E231" t="s">
        <v>309</v>
      </c>
      <c r="F231" s="52" t="s">
        <v>113</v>
      </c>
    </row>
    <row r="232" spans="1:7" x14ac:dyDescent="0.3">
      <c r="A232" s="118">
        <v>45932</v>
      </c>
      <c r="B232" t="s">
        <v>98</v>
      </c>
      <c r="C232" s="11">
        <v>39200</v>
      </c>
      <c r="D232" s="11"/>
      <c r="E232" t="s">
        <v>310</v>
      </c>
      <c r="F232" s="52" t="s">
        <v>113</v>
      </c>
    </row>
    <row r="233" spans="1:7" x14ac:dyDescent="0.3">
      <c r="A233" s="104">
        <v>45932</v>
      </c>
      <c r="B233" t="s">
        <v>50</v>
      </c>
      <c r="C233" s="11">
        <v>535</v>
      </c>
      <c r="D233" s="11"/>
      <c r="E233" t="s">
        <v>311</v>
      </c>
      <c r="F233" s="52" t="s">
        <v>113</v>
      </c>
    </row>
    <row r="234" spans="1:7" x14ac:dyDescent="0.3">
      <c r="A234" s="118">
        <v>45932</v>
      </c>
      <c r="B234" t="s">
        <v>54</v>
      </c>
      <c r="C234" s="11">
        <v>1000</v>
      </c>
      <c r="D234" s="11"/>
      <c r="E234" t="s">
        <v>245</v>
      </c>
      <c r="F234" s="52" t="s">
        <v>114</v>
      </c>
    </row>
    <row r="235" spans="1:7" x14ac:dyDescent="0.3">
      <c r="A235" s="104">
        <v>45932</v>
      </c>
      <c r="B235" t="s">
        <v>9</v>
      </c>
      <c r="C235" s="11"/>
      <c r="D235" s="11">
        <v>73000</v>
      </c>
      <c r="E235" t="s">
        <v>312</v>
      </c>
      <c r="F235" s="52" t="s">
        <v>113</v>
      </c>
    </row>
    <row r="236" spans="1:7" x14ac:dyDescent="0.3">
      <c r="A236" s="118">
        <v>45932</v>
      </c>
      <c r="B236" t="s">
        <v>159</v>
      </c>
      <c r="C236" s="11">
        <v>125000</v>
      </c>
      <c r="D236" s="11"/>
      <c r="E236" t="s">
        <v>313</v>
      </c>
      <c r="F236" s="52" t="s">
        <v>113</v>
      </c>
    </row>
    <row r="237" spans="1:7" x14ac:dyDescent="0.3">
      <c r="A237" s="104">
        <v>45932</v>
      </c>
      <c r="B237" t="s">
        <v>119</v>
      </c>
      <c r="C237" s="11">
        <v>18000</v>
      </c>
      <c r="D237" s="11"/>
      <c r="E237" t="s">
        <v>231</v>
      </c>
      <c r="F237" s="52" t="s">
        <v>113</v>
      </c>
    </row>
    <row r="238" spans="1:7" x14ac:dyDescent="0.3">
      <c r="A238" s="118">
        <v>45932</v>
      </c>
      <c r="B238" t="s">
        <v>54</v>
      </c>
      <c r="C238" s="11">
        <v>1500</v>
      </c>
      <c r="D238" s="11"/>
      <c r="E238" t="s">
        <v>211</v>
      </c>
      <c r="F238" s="52" t="s">
        <v>114</v>
      </c>
    </row>
    <row r="239" spans="1:7" x14ac:dyDescent="0.3">
      <c r="A239" s="104">
        <v>45932</v>
      </c>
      <c r="B239" s="119" t="s">
        <v>98</v>
      </c>
      <c r="C239" s="47">
        <v>301120</v>
      </c>
      <c r="D239" s="47"/>
      <c r="E239" s="119" t="s">
        <v>201</v>
      </c>
      <c r="F239" s="120" t="s">
        <v>113</v>
      </c>
      <c r="G239" s="119"/>
    </row>
    <row r="240" spans="1:7" x14ac:dyDescent="0.3">
      <c r="A240" s="118">
        <v>45932</v>
      </c>
      <c r="B240" t="s">
        <v>55</v>
      </c>
      <c r="C240" s="11">
        <v>15000</v>
      </c>
      <c r="D240" s="11"/>
      <c r="E240" t="s">
        <v>314</v>
      </c>
      <c r="F240" s="52" t="s">
        <v>113</v>
      </c>
    </row>
    <row r="241" spans="1:6" x14ac:dyDescent="0.3">
      <c r="A241" s="104">
        <v>45932</v>
      </c>
      <c r="B241" t="s">
        <v>21</v>
      </c>
      <c r="C241" s="11"/>
      <c r="D241" s="11">
        <v>15000</v>
      </c>
      <c r="E241" t="s">
        <v>314</v>
      </c>
      <c r="F241" s="52" t="s">
        <v>113</v>
      </c>
    </row>
    <row r="242" spans="1:6" x14ac:dyDescent="0.3">
      <c r="A242" s="118">
        <v>45932</v>
      </c>
      <c r="B242" t="s">
        <v>54</v>
      </c>
      <c r="C242" s="11">
        <v>5410</v>
      </c>
      <c r="D242" s="11"/>
      <c r="E242" t="s">
        <v>206</v>
      </c>
      <c r="F242" s="52" t="s">
        <v>113</v>
      </c>
    </row>
    <row r="243" spans="1:6" x14ac:dyDescent="0.3">
      <c r="A243" s="104">
        <v>45932</v>
      </c>
      <c r="B243" t="s">
        <v>21</v>
      </c>
      <c r="C243" s="11"/>
      <c r="D243" s="11">
        <v>5410</v>
      </c>
      <c r="E243" t="s">
        <v>206</v>
      </c>
      <c r="F243" s="52" t="s">
        <v>113</v>
      </c>
    </row>
    <row r="244" spans="1:6" x14ac:dyDescent="0.3">
      <c r="A244" s="118">
        <v>45932</v>
      </c>
      <c r="C244" s="11"/>
      <c r="D244" s="11"/>
      <c r="F244" s="52"/>
    </row>
    <row r="245" spans="1:6" x14ac:dyDescent="0.3">
      <c r="A245" s="43"/>
      <c r="C245" s="14">
        <f>SUBTOTAL(109,Table14[Debit])</f>
        <v>9692910</v>
      </c>
      <c r="D245" s="14">
        <f>SUBTOTAL(109,Table14[Credit])</f>
        <v>9772687</v>
      </c>
      <c r="F245" s="62">
        <f>(Table14[[#Totals],[Credit]]-Table14[[#Totals],[Debit]])</f>
        <v>79777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21"/>
      <c r="M10" s="121">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21"/>
      <c r="M11" s="12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21">
        <v>432125</v>
      </c>
      <c r="M12" s="121">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21">
        <v>432125</v>
      </c>
      <c r="M13" s="121">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T8" sqref="T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21">
        <v>0</v>
      </c>
      <c r="L5" s="121">
        <v>0</v>
      </c>
      <c r="M5" s="121">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21">
        <v>0</v>
      </c>
      <c r="L6" s="121">
        <v>0</v>
      </c>
      <c r="M6" s="121">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21">
        <v>106600</v>
      </c>
      <c r="L7" s="121">
        <v>417100</v>
      </c>
      <c r="M7" s="121">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21">
        <v>62500</v>
      </c>
      <c r="L8" s="121">
        <v>0</v>
      </c>
      <c r="M8" s="121">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21">
        <v>169100</v>
      </c>
      <c r="L9" s="121">
        <v>417100</v>
      </c>
      <c r="M9" s="121">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1049051</v>
      </c>
      <c r="C2" s="37">
        <f>GETPIVOTDATA("Sum of Tiyaar/gaz",$A$3)</f>
        <v>1075730</v>
      </c>
      <c r="D2" s="36">
        <f>((B2*48)+((C2/1.0936)*10))/C2</f>
        <v>55.95367121209965</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13202</v>
      </c>
      <c r="D52" s="33">
        <f t="shared" si="19"/>
        <v>81.885816994543291</v>
      </c>
      <c r="E52" s="11">
        <f t="shared" si="20"/>
        <v>21879.655199999997</v>
      </c>
      <c r="F52" s="11">
        <f t="shared" si="21"/>
        <v>13202</v>
      </c>
      <c r="G52" s="86">
        <f t="shared" si="22"/>
        <v>39.660840724766075</v>
      </c>
      <c r="H52" s="33">
        <f t="shared" si="23"/>
        <v>12072.055596196051</v>
      </c>
      <c r="I52" s="33">
        <f t="shared" si="24"/>
        <v>81.885816994543291</v>
      </c>
    </row>
    <row r="53" spans="1:9" x14ac:dyDescent="0.3">
      <c r="A53" s="16">
        <v>1773</v>
      </c>
      <c r="B53" s="14">
        <v>30174</v>
      </c>
      <c r="C53" s="14">
        <v>2505</v>
      </c>
      <c r="D53" s="33">
        <f t="shared" si="19"/>
        <v>587.32854233011665</v>
      </c>
      <c r="E53" s="11">
        <f t="shared" si="20"/>
        <v>32998.286399999997</v>
      </c>
      <c r="F53" s="11">
        <f t="shared" si="21"/>
        <v>2505</v>
      </c>
      <c r="G53" s="86">
        <f t="shared" si="22"/>
        <v>92.408696713414798</v>
      </c>
      <c r="H53" s="33">
        <f t="shared" si="23"/>
        <v>2290.5998536942211</v>
      </c>
      <c r="I53" s="33">
        <f t="shared" si="24"/>
        <v>587.32854233011665</v>
      </c>
    </row>
    <row r="54" spans="1:9" x14ac:dyDescent="0.3">
      <c r="A54" s="16" t="s">
        <v>28</v>
      </c>
      <c r="B54" s="35">
        <v>100795</v>
      </c>
      <c r="C54" s="35">
        <v>1075730</v>
      </c>
      <c r="D54" s="33">
        <f t="shared" si="19"/>
        <v>13.641670988995337</v>
      </c>
      <c r="E54" s="11">
        <f t="shared" si="20"/>
        <v>110229.412</v>
      </c>
      <c r="F54" s="11">
        <f t="shared" si="21"/>
        <v>1075730</v>
      </c>
      <c r="G54" s="86">
        <f t="shared" si="22"/>
        <v>-875.90105987320351</v>
      </c>
      <c r="H54" s="33">
        <f t="shared" si="23"/>
        <v>983659.47329919541</v>
      </c>
      <c r="I54" s="33">
        <f t="shared" si="24"/>
        <v>13.641670988995337</v>
      </c>
    </row>
    <row r="55" spans="1:9" x14ac:dyDescent="0.3">
      <c r="D55" s="33" t="e">
        <f t="shared" si="19"/>
        <v>#DIV/0!</v>
      </c>
      <c r="E55" s="11">
        <f t="shared" si="20"/>
        <v>0</v>
      </c>
      <c r="F55" s="11">
        <f t="shared" si="21"/>
        <v>0</v>
      </c>
      <c r="G55" s="86" t="e">
        <f t="shared" si="22"/>
        <v>#DIV/0!</v>
      </c>
      <c r="H55" s="33">
        <f t="shared" si="23"/>
        <v>0</v>
      </c>
      <c r="I55" s="33" t="e">
        <f t="shared" si="24"/>
        <v>#DIV/0!</v>
      </c>
    </row>
    <row r="56" spans="1:9" x14ac:dyDescent="0.3">
      <c r="D56" s="33" t="e">
        <f t="shared" si="19"/>
        <v>#DIV/0!</v>
      </c>
      <c r="E56" s="11">
        <f t="shared" si="20"/>
        <v>0</v>
      </c>
      <c r="F56" s="11">
        <f t="shared" si="21"/>
        <v>0</v>
      </c>
      <c r="G56" s="86" t="e">
        <f t="shared" si="22"/>
        <v>#DIV/0!</v>
      </c>
      <c r="H56" s="33">
        <f t="shared" si="23"/>
        <v>0</v>
      </c>
      <c r="I56" s="33" t="e">
        <f t="shared" si="24"/>
        <v>#DIV/0!</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67180</v>
      </c>
      <c r="H35" s="1"/>
      <c r="J35">
        <f>SUM(Table15[Amount])</f>
        <v>194957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9545726</v>
      </c>
      <c r="C2" s="109">
        <f>Billing!X5</f>
        <v>3199892.1419166084</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8129100</v>
      </c>
      <c r="C6" s="109">
        <f>Billing!X9</f>
        <v>1353207.0592538416</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246881.85808339436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300</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2025-10-02T21:30:41Z</dcterms:modified>
  <cp:category/>
  <cp:contentStatus/>
</cp:coreProperties>
</file>