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474" documentId="8_{4224AC12-CADB-4490-A83D-F531F0CDC7D0}" xr6:coauthVersionLast="47" xr6:coauthVersionMax="47" xr10:uidLastSave="{054BEE08-26AA-4249-AEE1-52ABF4BF45BA}"/>
  <bookViews>
    <workbookView xWindow="-108" yWindow="-108" windowWidth="23256" windowHeight="12456" firstSheet="4"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99" r:id="rId18"/>
    <pivotCache cacheId="106" r:id="rId19"/>
    <pivotCache cacheId="112" r:id="rId20"/>
    <pivotCache cacheId="117" r:id="rId21"/>
    <pivotCache cacheId="121" r:id="rId22"/>
    <pivotCache cacheId="12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7" i="1" l="1"/>
  <c r="F56" i="1"/>
  <c r="F29" i="1"/>
  <c r="F26" i="1"/>
  <c r="F19" i="1"/>
  <c r="F17" i="1"/>
  <c r="I59" i="1"/>
  <c r="J59" i="1" s="1" a="1"/>
  <c r="J59" i="1" s="1"/>
  <c r="I60" i="1"/>
  <c r="J60" i="1" s="1" a="1"/>
  <c r="J60" i="1" s="1"/>
  <c r="I58" i="1"/>
  <c r="J58" i="1" s="1" a="1"/>
  <c r="J58" i="1" s="1"/>
  <c r="I57" i="1"/>
  <c r="J57" i="1" s="1" a="1"/>
  <c r="J57" i="1" s="1"/>
  <c r="I47" i="1"/>
  <c r="J47" i="1" s="1" a="1"/>
  <c r="J47" i="1" s="1"/>
  <c r="I48" i="1"/>
  <c r="J48" i="1" s="1" a="1"/>
  <c r="J48" i="1" s="1"/>
  <c r="I49" i="1"/>
  <c r="J49" i="1" s="1" a="1"/>
  <c r="J49" i="1" s="1"/>
  <c r="I50" i="1"/>
  <c r="J50" i="1" s="1" a="1"/>
  <c r="J50" i="1" s="1"/>
  <c r="I51" i="1"/>
  <c r="J51" i="1" s="1" a="1"/>
  <c r="J51" i="1" s="1"/>
  <c r="I52" i="1"/>
  <c r="J52" i="1" s="1" a="1"/>
  <c r="J52" i="1" s="1"/>
  <c r="I53" i="1"/>
  <c r="J53" i="1" s="1" a="1"/>
  <c r="J53" i="1" s="1"/>
  <c r="I54" i="1"/>
  <c r="J54" i="1" s="1" a="1"/>
  <c r="J54" i="1" s="1"/>
  <c r="I55" i="1"/>
  <c r="J55" i="1" a="1"/>
  <c r="J55" i="1" s="1"/>
  <c r="I56" i="1"/>
  <c r="J56" i="1" s="1" a="1"/>
  <c r="J56" i="1" s="1"/>
  <c r="G11" i="15"/>
  <c r="H11" i="15" s="1"/>
  <c r="G12" i="15"/>
  <c r="H12" i="15" s="1"/>
  <c r="H27" i="6"/>
  <c r="I27" i="6" s="1"/>
  <c r="G26" i="6"/>
  <c r="G27" i="6"/>
  <c r="I26" i="6"/>
  <c r="I11" i="1"/>
  <c r="J11" i="1" s="1" a="1"/>
  <c r="J11" i="1" s="1"/>
  <c r="O5" i="9" a="1"/>
  <c r="O5" i="9" s="1"/>
  <c r="A2" i="20" s="1"/>
  <c r="B26" i="9" a="1"/>
  <c r="E46" i="9" s="1"/>
  <c r="R7" i="9" s="1" a="1"/>
  <c r="R7" i="9" s="1"/>
  <c r="P15" i="9" a="1"/>
  <c r="P15" i="9" s="1"/>
  <c r="P16" i="9" a="1"/>
  <c r="P16" i="9" s="1"/>
  <c r="P17" i="9" a="1"/>
  <c r="P17" i="9" s="1"/>
  <c r="P18" i="9" a="1"/>
  <c r="P18" i="9" s="1"/>
  <c r="P19" i="9" a="1"/>
  <c r="P19" i="9" s="1"/>
  <c r="H36" i="9" a="1"/>
  <c r="H36" i="9" s="1"/>
  <c r="H37" i="9" a="1"/>
  <c r="H37" i="9" s="1"/>
  <c r="H38" i="9" a="1"/>
  <c r="H38" i="9" s="1"/>
  <c r="G36" i="9" a="1"/>
  <c r="G36" i="9" s="1"/>
  <c r="G37" i="9" a="1"/>
  <c r="G37" i="9" s="1"/>
  <c r="G38" i="9" a="1"/>
  <c r="G38" i="9" s="1"/>
  <c r="W18" i="9"/>
  <c r="W19" i="9"/>
  <c r="W15" i="9"/>
  <c r="W16" i="9"/>
  <c r="W17" i="9"/>
  <c r="S15" i="9" a="1"/>
  <c r="S15" i="9" s="1"/>
  <c r="T15" i="9" a="1"/>
  <c r="T15" i="9" s="1"/>
  <c r="U15" i="9" a="1"/>
  <c r="U15" i="9" s="1"/>
  <c r="S16" i="9" a="1"/>
  <c r="S16" i="9" s="1"/>
  <c r="T16" i="9" a="1"/>
  <c r="T16" i="9" s="1"/>
  <c r="U16" i="9" a="1"/>
  <c r="U16" i="9" s="1"/>
  <c r="S17" i="9" a="1"/>
  <c r="S17" i="9" s="1"/>
  <c r="T17" i="9" a="1"/>
  <c r="T17" i="9" s="1"/>
  <c r="U17" i="9" a="1"/>
  <c r="U17" i="9" s="1"/>
  <c r="S18" i="9" a="1"/>
  <c r="S18" i="9" s="1"/>
  <c r="T18" i="9" a="1"/>
  <c r="T18" i="9" s="1"/>
  <c r="U18" i="9" a="1"/>
  <c r="U18" i="9" s="1"/>
  <c r="S19" i="9" a="1"/>
  <c r="S19" i="9" s="1"/>
  <c r="T19" i="9" a="1"/>
  <c r="T19" i="9" s="1"/>
  <c r="U19" i="9" a="1"/>
  <c r="U19" i="9" s="1"/>
  <c r="R15" i="9" a="1"/>
  <c r="R15" i="9" s="1"/>
  <c r="R16" i="9" a="1"/>
  <c r="R16" i="9" s="1"/>
  <c r="R17" i="9" a="1"/>
  <c r="R17" i="9" s="1"/>
  <c r="R18" i="9" a="1"/>
  <c r="R18" i="9" s="1"/>
  <c r="R19" i="9" a="1"/>
  <c r="R19" i="9" s="1"/>
  <c r="Q15" i="9" a="1"/>
  <c r="Q15" i="9" s="1"/>
  <c r="Q16" i="9" a="1"/>
  <c r="Q16" i="9" s="1"/>
  <c r="Q17" i="9" a="1"/>
  <c r="Q17" i="9" s="1"/>
  <c r="Q18" i="9" a="1"/>
  <c r="Q18" i="9" s="1"/>
  <c r="Q19" i="9" a="1"/>
  <c r="Q19" i="9" s="1"/>
  <c r="H25" i="6"/>
  <c r="I25" i="6" s="1"/>
  <c r="G25" i="6"/>
  <c r="B15" i="9"/>
  <c r="C15" i="9"/>
  <c r="B14" i="9"/>
  <c r="C14" i="9"/>
  <c r="E15" i="9"/>
  <c r="E14" i="9"/>
  <c r="H23" i="6"/>
  <c r="I23" i="6" s="1"/>
  <c r="H24" i="6"/>
  <c r="I24" i="6" s="1"/>
  <c r="G23" i="6"/>
  <c r="G24" i="6"/>
  <c r="D201" i="17"/>
  <c r="I10" i="1"/>
  <c r="J10" i="1" s="1" a="1"/>
  <c r="J10" i="1" s="1"/>
  <c r="I3" i="1"/>
  <c r="J3" i="1" s="1" a="1"/>
  <c r="J3" i="1" s="1"/>
  <c r="I4" i="1"/>
  <c r="J4" i="1" s="1" a="1"/>
  <c r="J4" i="1" s="1"/>
  <c r="I5" i="1"/>
  <c r="J5" i="1" s="1" a="1"/>
  <c r="J5" i="1" s="1"/>
  <c r="I6" i="1"/>
  <c r="I7" i="1"/>
  <c r="J7" i="1" s="1" a="1"/>
  <c r="J7" i="1" s="1"/>
  <c r="I8" i="1"/>
  <c r="J8" i="1" s="1" a="1"/>
  <c r="J8" i="1" s="1"/>
  <c r="I9" i="1"/>
  <c r="J9" i="1" s="1" a="1"/>
  <c r="J9" i="1" s="1"/>
  <c r="I2" i="1"/>
  <c r="J2" i="1" s="1" a="1"/>
  <c r="J2" i="1" s="1"/>
  <c r="D2" i="17"/>
  <c r="C12" i="10" s="1"/>
  <c r="I43" i="1"/>
  <c r="J43" i="1" s="1" a="1"/>
  <c r="J43" i="1" s="1"/>
  <c r="I44" i="1"/>
  <c r="J44" i="1" s="1" a="1"/>
  <c r="J44" i="1" s="1"/>
  <c r="I45" i="1"/>
  <c r="J45" i="1" s="1" a="1"/>
  <c r="J45" i="1" s="1"/>
  <c r="I46" i="1"/>
  <c r="J46" i="1" s="1" a="1"/>
  <c r="J46"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4" i="1"/>
  <c r="J24" i="1" s="1" a="1"/>
  <c r="J24" i="1" s="1"/>
  <c r="I25" i="1"/>
  <c r="J25" i="1" s="1" a="1"/>
  <c r="J25" i="1" s="1"/>
  <c r="I23" i="1"/>
  <c r="J23" i="1" s="1" a="1"/>
  <c r="J23" i="1" s="1"/>
  <c r="C186" i="17"/>
  <c r="C16" i="10" s="1"/>
  <c r="H22" i="6"/>
  <c r="I22" i="6" s="1"/>
  <c r="H21" i="6"/>
  <c r="I21" i="6" s="1"/>
  <c r="G22" i="6"/>
  <c r="G10" i="15"/>
  <c r="H10" i="15" s="1"/>
  <c r="G9" i="15"/>
  <c r="H9" i="15" s="1"/>
  <c r="D3" i="17"/>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N6" i="17"/>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c r="E34" i="2"/>
  <c r="F34" i="2"/>
  <c r="E35" i="2"/>
  <c r="F35" i="2"/>
  <c r="H35" i="2"/>
  <c r="I35" i="2"/>
  <c r="D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s="1"/>
  <c r="C7" i="8"/>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6" i="9"/>
  <c r="J37" i="9"/>
  <c r="J38" i="9"/>
  <c r="J4" i="19" a="1"/>
  <c r="J4" i="19" s="1"/>
  <c r="E8" i="18"/>
  <c r="E3" i="18"/>
  <c r="E4" i="18"/>
  <c r="E5" i="18"/>
  <c r="E6" i="18"/>
  <c r="E7" i="18"/>
  <c r="E9" i="18"/>
  <c r="E10" i="18"/>
  <c r="E11" i="18"/>
  <c r="E12" i="18"/>
  <c r="E13" i="18"/>
  <c r="E14" i="18"/>
  <c r="E15" i="18"/>
  <c r="E16" i="18"/>
  <c r="E17" i="18"/>
  <c r="E18" i="18"/>
  <c r="E19" i="18"/>
  <c r="E20" i="18"/>
  <c r="F21" i="2"/>
  <c r="G21" i="2" s="1"/>
  <c r="H45" i="1" s="1"/>
  <c r="F22" i="2"/>
  <c r="H22" i="2" s="1"/>
  <c r="I22" i="2" s="1"/>
  <c r="D22" i="2" s="1"/>
  <c r="F23" i="2"/>
  <c r="H23" i="2" s="1"/>
  <c r="I23" i="2" s="1"/>
  <c r="D23" i="2" s="1"/>
  <c r="F24" i="2"/>
  <c r="H24" i="2" s="1"/>
  <c r="I24" i="2" s="1"/>
  <c r="D24" i="2" s="1"/>
  <c r="F25" i="2"/>
  <c r="H25" i="2" s="1"/>
  <c r="I25" i="2" s="1"/>
  <c r="D25" i="2" s="1"/>
  <c r="F26" i="2"/>
  <c r="H26" i="2" s="1"/>
  <c r="I26" i="2" s="1"/>
  <c r="D26" i="2" s="1"/>
  <c r="F27" i="2"/>
  <c r="H27" i="2" s="1"/>
  <c r="I27" i="2" s="1"/>
  <c r="D27" i="2" s="1"/>
  <c r="F28" i="2"/>
  <c r="H28" i="2" s="1"/>
  <c r="I28" i="2" s="1"/>
  <c r="D28" i="2" s="1"/>
  <c r="F29" i="2"/>
  <c r="H29" i="2" s="1"/>
  <c r="I29" i="2" s="1"/>
  <c r="D29" i="2" s="1"/>
  <c r="F30" i="2"/>
  <c r="H30" i="2" s="1"/>
  <c r="I30" i="2" s="1"/>
  <c r="D30" i="2" s="1"/>
  <c r="F31" i="2"/>
  <c r="H31" i="2" s="1"/>
  <c r="I31" i="2" s="1"/>
  <c r="D31" i="2" s="1"/>
  <c r="F32" i="2"/>
  <c r="H32" i="2" s="1"/>
  <c r="I32" i="2" s="1"/>
  <c r="D32" i="2" s="1"/>
  <c r="G32" i="2"/>
  <c r="E22" i="2"/>
  <c r="G22" i="2" s="1"/>
  <c r="E23" i="2"/>
  <c r="E24" i="2"/>
  <c r="E25" i="2"/>
  <c r="G25" i="2" s="1"/>
  <c r="H49" i="1" s="1"/>
  <c r="E26" i="2"/>
  <c r="E27" i="2"/>
  <c r="E28" i="2"/>
  <c r="E29" i="2"/>
  <c r="E30" i="2"/>
  <c r="E31" i="2"/>
  <c r="E32" i="2"/>
  <c r="E20" i="2"/>
  <c r="E21" i="2"/>
  <c r="N4" i="17"/>
  <c r="F20" i="2"/>
  <c r="H20" i="2" s="1"/>
  <c r="I20" i="2" s="1"/>
  <c r="D20" i="2" s="1"/>
  <c r="E15" i="2"/>
  <c r="E16" i="2"/>
  <c r="G16" i="2" s="1"/>
  <c r="H30" i="1" s="1"/>
  <c r="E17" i="2"/>
  <c r="E18" i="2"/>
  <c r="E19" i="2"/>
  <c r="E7" i="2"/>
  <c r="E8" i="2"/>
  <c r="E9" i="2"/>
  <c r="E10" i="2"/>
  <c r="E11" i="2"/>
  <c r="E12" i="2"/>
  <c r="E13" i="2"/>
  <c r="E14" i="2"/>
  <c r="E5" i="2"/>
  <c r="E6" i="2"/>
  <c r="E4" i="2"/>
  <c r="F13" i="2"/>
  <c r="H13" i="2" s="1"/>
  <c r="I13" i="2" s="1"/>
  <c r="D13" i="2" s="1"/>
  <c r="F14" i="2"/>
  <c r="F15" i="2"/>
  <c r="H15" i="2" s="1"/>
  <c r="I15" i="2" s="1"/>
  <c r="D15" i="2" s="1"/>
  <c r="F16" i="2"/>
  <c r="H16" i="2" s="1"/>
  <c r="I16" i="2" s="1"/>
  <c r="D16" i="2" s="1"/>
  <c r="F17" i="2"/>
  <c r="H17" i="2" s="1"/>
  <c r="I17" i="2" s="1"/>
  <c r="D17" i="2" s="1"/>
  <c r="F18" i="2"/>
  <c r="H18" i="2"/>
  <c r="I18" i="2"/>
  <c r="D18" i="2" s="1"/>
  <c r="F19" i="2"/>
  <c r="H19" i="2" s="1"/>
  <c r="I19" i="2" s="1"/>
  <c r="D19" i="2" s="1"/>
  <c r="C8" i="8"/>
  <c r="F11" i="2"/>
  <c r="H11" i="2" s="1"/>
  <c r="I11" i="2" s="1"/>
  <c r="F10" i="2"/>
  <c r="H10" i="2" s="1"/>
  <c r="I10" i="2" s="1"/>
  <c r="D10" i="2" s="1"/>
  <c r="F6" i="2"/>
  <c r="H6" i="2"/>
  <c r="I6" i="2" s="1"/>
  <c r="D6" i="2" s="1"/>
  <c r="F7" i="2"/>
  <c r="G7" i="2" s="1"/>
  <c r="H13" i="1" s="1"/>
  <c r="F8" i="2"/>
  <c r="F9" i="2"/>
  <c r="H9" i="2" s="1"/>
  <c r="I9" i="2" s="1"/>
  <c r="D9" i="2" s="1"/>
  <c r="N3" i="7"/>
  <c r="N5" i="7"/>
  <c r="E6" i="11"/>
  <c r="D6" i="11"/>
  <c r="F12" i="2"/>
  <c r="F5" i="2"/>
  <c r="H5" i="2" s="1"/>
  <c r="I5" i="2" s="1"/>
  <c r="D5" i="2" s="1"/>
  <c r="F3" i="2"/>
  <c r="F4" i="2"/>
  <c r="H4" i="2" s="1"/>
  <c r="I4" i="2" s="1"/>
  <c r="D4" i="2" s="1"/>
  <c r="H33" i="2"/>
  <c r="I33" i="2"/>
  <c r="D33" i="2"/>
  <c r="F13" i="15"/>
  <c r="G40" i="2"/>
  <c r="G36" i="2"/>
  <c r="G34" i="2"/>
  <c r="G39" i="2"/>
  <c r="G35" i="2"/>
  <c r="H34" i="2"/>
  <c r="I34" i="2"/>
  <c r="D34" i="2"/>
  <c r="G37" i="2"/>
  <c r="H40" i="2"/>
  <c r="I40" i="2"/>
  <c r="D40" i="2"/>
  <c r="H37" i="2"/>
  <c r="I37" i="2"/>
  <c r="D37" i="2"/>
  <c r="B2" i="2"/>
  <c r="C2" i="2"/>
  <c r="J15" i="14" l="1"/>
  <c r="C221" i="17"/>
  <c r="K4" i="17" s="1"/>
  <c r="D221" i="17"/>
  <c r="N5" i="17"/>
  <c r="N7" i="17" s="1"/>
  <c r="P7" i="17" s="1"/>
  <c r="G8" i="2"/>
  <c r="H15" i="1" s="1"/>
  <c r="G23" i="2"/>
  <c r="H47" i="1" s="1"/>
  <c r="G27" i="2"/>
  <c r="H21" i="2"/>
  <c r="I21" i="2" s="1"/>
  <c r="D21" i="2" s="1"/>
  <c r="G31" i="2"/>
  <c r="G30" i="2"/>
  <c r="H60" i="1" s="1"/>
  <c r="G12" i="2"/>
  <c r="H22" i="1" s="1"/>
  <c r="G9" i="2"/>
  <c r="H16" i="1" s="1"/>
  <c r="H8" i="2"/>
  <c r="I8" i="2" s="1"/>
  <c r="D8" i="2" s="1"/>
  <c r="G13" i="2"/>
  <c r="H23" i="1" s="1"/>
  <c r="G18" i="2"/>
  <c r="H34" i="1" s="1"/>
  <c r="G28" i="2"/>
  <c r="H58" i="1" s="1"/>
  <c r="G4" i="2"/>
  <c r="G6" i="2"/>
  <c r="H11" i="1" s="1"/>
  <c r="G24" i="2"/>
  <c r="G19" i="2"/>
  <c r="H39" i="1" s="1"/>
  <c r="H7" i="2"/>
  <c r="I7" i="2" s="1"/>
  <c r="D7" i="2" s="1"/>
  <c r="G29" i="2"/>
  <c r="H59" i="1" s="1"/>
  <c r="G10" i="2"/>
  <c r="H17" i="1" s="1"/>
  <c r="G26" i="2"/>
  <c r="H52" i="1" s="1"/>
  <c r="G17" i="2"/>
  <c r="H33" i="1" s="1"/>
  <c r="G5" i="2"/>
  <c r="G11" i="2"/>
  <c r="H18" i="1" s="1"/>
  <c r="G20" i="2"/>
  <c r="H44" i="1" s="1"/>
  <c r="G14" i="2"/>
  <c r="H27" i="1" s="1"/>
  <c r="H35" i="1"/>
  <c r="H36" i="1"/>
  <c r="H53" i="1"/>
  <c r="H54" i="1"/>
  <c r="H50" i="1"/>
  <c r="H41" i="1"/>
  <c r="H19" i="1"/>
  <c r="H14" i="2"/>
  <c r="I14" i="2" s="1"/>
  <c r="D14" i="2" s="1"/>
  <c r="H21" i="1"/>
  <c r="H12" i="2"/>
  <c r="I12" i="2" s="1"/>
  <c r="D12" i="2" s="1"/>
  <c r="G15" i="2"/>
  <c r="H28" i="1" s="1"/>
  <c r="Q14" i="9" a="1"/>
  <c r="Q14" i="9" s="1"/>
  <c r="J35" i="9"/>
  <c r="H35" i="9" a="1"/>
  <c r="H35" i="9" s="1"/>
  <c r="W14" i="9"/>
  <c r="B11" i="20" s="1"/>
  <c r="A11" i="20"/>
  <c r="R14" i="9" a="1"/>
  <c r="R14" i="9" s="1"/>
  <c r="P14" i="9" a="1"/>
  <c r="P14" i="9" s="1"/>
  <c r="G35" i="9" a="1"/>
  <c r="G35" i="9" s="1"/>
  <c r="B13" i="9"/>
  <c r="A9" i="20"/>
  <c r="J45" i="9"/>
  <c r="W6" i="9" s="1"/>
  <c r="B3" i="20" s="1"/>
  <c r="G28" i="9" a="1"/>
  <c r="G28" i="9" s="1"/>
  <c r="J31" i="9"/>
  <c r="A3" i="20"/>
  <c r="A4" i="20"/>
  <c r="A8" i="20"/>
  <c r="A7" i="20"/>
  <c r="A6" i="20"/>
  <c r="A10" i="20"/>
  <c r="J34" i="9"/>
  <c r="A5" i="20"/>
  <c r="E50" i="9"/>
  <c r="R11" i="9" s="1" a="1"/>
  <c r="R11" i="9" s="1"/>
  <c r="G34" i="9" a="1"/>
  <c r="G34" i="9" s="1"/>
  <c r="G28" i="6"/>
  <c r="N14" i="6"/>
  <c r="C4" i="8" s="1"/>
  <c r="H32" i="9" a="1"/>
  <c r="H32" i="9" s="1"/>
  <c r="I38" i="9"/>
  <c r="K38" i="9" s="1"/>
  <c r="D49" i="9"/>
  <c r="Q10" i="9" s="1" a="1"/>
  <c r="Q10" i="9" s="1"/>
  <c r="I36" i="9"/>
  <c r="K36" i="9" s="1"/>
  <c r="I61" i="1" a="1"/>
  <c r="I61" i="1" s="1"/>
  <c r="V18" i="9"/>
  <c r="X18" i="9" s="1"/>
  <c r="I37" i="9"/>
  <c r="K37" i="9" s="1"/>
  <c r="V19" i="9"/>
  <c r="X19" i="9" s="1"/>
  <c r="V17" i="9"/>
  <c r="X17" i="9" s="1"/>
  <c r="V15" i="9"/>
  <c r="X15" i="9" s="1"/>
  <c r="V16" i="9"/>
  <c r="X16" i="9" s="1"/>
  <c r="C46" i="9"/>
  <c r="P7" i="9" s="1" a="1"/>
  <c r="P7" i="9" s="1"/>
  <c r="G33" i="9" a="1"/>
  <c r="G33" i="9" s="1"/>
  <c r="H31" i="9" a="1"/>
  <c r="H31" i="9" s="1"/>
  <c r="D48" i="9"/>
  <c r="Q9" i="9" s="1" a="1"/>
  <c r="Q9" i="9" s="1"/>
  <c r="E52" i="9"/>
  <c r="R13" i="9" s="1" a="1"/>
  <c r="R13" i="9" s="1"/>
  <c r="J29" i="9"/>
  <c r="B8" i="9"/>
  <c r="B12" i="9"/>
  <c r="C51" i="9"/>
  <c r="P12" i="9" s="1" a="1"/>
  <c r="P12" i="9" s="1"/>
  <c r="C47" i="9"/>
  <c r="P8" i="9" s="1" a="1"/>
  <c r="P8" i="9" s="1"/>
  <c r="D47" i="9"/>
  <c r="Q8" i="9" s="1" a="1"/>
  <c r="Q8" i="9" s="1"/>
  <c r="B5" i="9"/>
  <c r="B6" i="9"/>
  <c r="E48" i="9"/>
  <c r="R9" i="9" s="1" a="1"/>
  <c r="R9" i="9" s="1"/>
  <c r="J33" i="9"/>
  <c r="G32" i="9" a="1"/>
  <c r="G32" i="9" s="1"/>
  <c r="H30" i="9" a="1"/>
  <c r="H30" i="9" s="1"/>
  <c r="C50" i="9"/>
  <c r="P11" i="9" s="1" a="1"/>
  <c r="P11" i="9" s="1"/>
  <c r="J30" i="9"/>
  <c r="C52" i="9"/>
  <c r="P13" i="9" s="1" a="1"/>
  <c r="P13" i="9" s="1"/>
  <c r="D46" i="9"/>
  <c r="Q7" i="9" s="1" a="1"/>
  <c r="Q7" i="9" s="1"/>
  <c r="J52" i="9"/>
  <c r="W13" i="9" s="1"/>
  <c r="B10" i="20" s="1"/>
  <c r="G27" i="9" a="1"/>
  <c r="G27" i="9" s="1"/>
  <c r="G31" i="9" a="1"/>
  <c r="G31" i="9" s="1"/>
  <c r="H29" i="9" a="1"/>
  <c r="H29" i="9" s="1"/>
  <c r="B11" i="9"/>
  <c r="C48" i="9"/>
  <c r="P9" i="9" s="1" a="1"/>
  <c r="P9" i="9" s="1"/>
  <c r="D45" i="9"/>
  <c r="Q6" i="9" s="1" a="1"/>
  <c r="Q6" i="9" s="1"/>
  <c r="J6" i="1" a="1"/>
  <c r="J6" i="1" s="1"/>
  <c r="J61" i="1" s="1" a="1"/>
  <c r="J61" i="1" s="1"/>
  <c r="J49" i="9"/>
  <c r="W10" i="9" s="1"/>
  <c r="B7" i="20" s="1"/>
  <c r="G30" i="9" a="1"/>
  <c r="G30" i="9" s="1"/>
  <c r="H34" i="9" a="1"/>
  <c r="H34" i="9" s="1"/>
  <c r="H28" i="9" a="1"/>
  <c r="H28" i="9" s="1"/>
  <c r="B26" i="9"/>
  <c r="J50" i="9"/>
  <c r="W11" i="9" s="1"/>
  <c r="B8" i="20" s="1"/>
  <c r="B10" i="9"/>
  <c r="J48" i="9"/>
  <c r="W9" i="9" s="1"/>
  <c r="B6" i="20" s="1"/>
  <c r="C49" i="9"/>
  <c r="P10" i="9" s="1" a="1"/>
  <c r="P10" i="9" s="1"/>
  <c r="D52" i="9"/>
  <c r="Q13" i="9" s="1" a="1"/>
  <c r="Q13" i="9" s="1"/>
  <c r="J27" i="9"/>
  <c r="E51" i="9"/>
  <c r="R12" i="9" s="1" a="1"/>
  <c r="R12" i="9" s="1"/>
  <c r="D51" i="9"/>
  <c r="Q12" i="9" s="1" a="1"/>
  <c r="Q12" i="9" s="1"/>
  <c r="J32" i="9"/>
  <c r="J51" i="9"/>
  <c r="W12" i="9" s="1"/>
  <c r="B9" i="20" s="1"/>
  <c r="G29" i="9" a="1"/>
  <c r="G29" i="9" s="1"/>
  <c r="H33" i="9" a="1"/>
  <c r="H33" i="9" s="1"/>
  <c r="H27" i="9" a="1"/>
  <c r="H27" i="9" s="1"/>
  <c r="C45" i="9"/>
  <c r="P6" i="9" s="1" a="1"/>
  <c r="P6" i="9" s="1"/>
  <c r="E47" i="9"/>
  <c r="R8" i="9" s="1" a="1"/>
  <c r="R8" i="9" s="1"/>
  <c r="E49" i="9"/>
  <c r="R10" i="9" s="1" a="1"/>
  <c r="R10" i="9" s="1"/>
  <c r="J47" i="9"/>
  <c r="W8" i="9" s="1"/>
  <c r="B5" i="20" s="1"/>
  <c r="J28" i="9"/>
  <c r="J46" i="9"/>
  <c r="W7" i="9" s="1"/>
  <c r="B4" i="20" s="1"/>
  <c r="B7" i="9"/>
  <c r="B9" i="9"/>
  <c r="E45" i="9"/>
  <c r="R6" i="9" s="1" a="1"/>
  <c r="R6" i="9" s="1"/>
  <c r="D50" i="9"/>
  <c r="Q11" i="9" s="1" a="1"/>
  <c r="Q11" i="9" s="1"/>
  <c r="K61" i="1"/>
  <c r="I35" i="12"/>
  <c r="C35" i="12"/>
  <c r="G13" i="15"/>
  <c r="H28" i="6"/>
  <c r="D35" i="14"/>
  <c r="C10" i="8" s="1"/>
  <c r="I28" i="6"/>
  <c r="H13" i="15"/>
  <c r="J35" i="14"/>
  <c r="C12" i="8" s="1"/>
  <c r="D35" i="18"/>
  <c r="C11" i="8" s="1"/>
  <c r="H19" i="7"/>
  <c r="E35" i="18"/>
  <c r="F221" i="17"/>
  <c r="D2" i="2"/>
  <c r="K5" i="17"/>
  <c r="K6" i="17" s="1"/>
  <c r="H46" i="1" l="1"/>
  <c r="H55" i="1"/>
  <c r="H43" i="1"/>
  <c r="H51" i="1"/>
  <c r="H42" i="1"/>
  <c r="H20" i="1"/>
  <c r="H38" i="1"/>
  <c r="H37" i="1"/>
  <c r="I35" i="9"/>
  <c r="K35" i="9" s="1"/>
  <c r="H14" i="1"/>
  <c r="H24" i="1"/>
  <c r="H32" i="1"/>
  <c r="H25" i="1"/>
  <c r="H40" i="1"/>
  <c r="H31" i="1"/>
  <c r="H48" i="1"/>
  <c r="H3" i="1"/>
  <c r="H10" i="1"/>
  <c r="H4" i="1"/>
  <c r="H7" i="1"/>
  <c r="H5" i="1"/>
  <c r="H6" i="1"/>
  <c r="H9" i="1"/>
  <c r="H2" i="1"/>
  <c r="H8" i="1"/>
  <c r="H29" i="1"/>
  <c r="H56" i="1"/>
  <c r="H57" i="1"/>
  <c r="H26" i="1"/>
  <c r="I32" i="9"/>
  <c r="K32" i="9" s="1"/>
  <c r="I28" i="9"/>
  <c r="K28" i="9" s="1"/>
  <c r="E13" i="9"/>
  <c r="C13" i="9"/>
  <c r="I34" i="9"/>
  <c r="K34" i="9" s="1"/>
  <c r="C19" i="10"/>
  <c r="F35" i="18"/>
  <c r="I31" i="9"/>
  <c r="K31" i="9" s="1"/>
  <c r="I29" i="9"/>
  <c r="K29" i="9" s="1"/>
  <c r="I27" i="9"/>
  <c r="K27" i="9" s="1"/>
  <c r="I30" i="9"/>
  <c r="K30" i="9" s="1"/>
  <c r="I33" i="9"/>
  <c r="K33" i="9" s="1"/>
  <c r="C10" i="9"/>
  <c r="E10" i="9"/>
  <c r="E12" i="9"/>
  <c r="C12" i="9"/>
  <c r="C8" i="9"/>
  <c r="E8" i="9"/>
  <c r="C44" i="9"/>
  <c r="P5" i="9" s="1" a="1"/>
  <c r="P5" i="9" s="1"/>
  <c r="D8" i="19" s="1" a="1"/>
  <c r="D8" i="19" s="1"/>
  <c r="E44" i="9"/>
  <c r="R5" i="9" s="1" a="1"/>
  <c r="R5" i="9" s="1"/>
  <c r="D12" i="19" s="1" a="1"/>
  <c r="D12" i="19" s="1"/>
  <c r="F26" i="9" a="1"/>
  <c r="F26" i="9" s="1"/>
  <c r="B4" i="9"/>
  <c r="D44" i="9"/>
  <c r="Q5" i="9" s="1" a="1"/>
  <c r="Q5" i="9" s="1"/>
  <c r="D10" i="19" s="1" a="1"/>
  <c r="D10" i="19" s="1"/>
  <c r="H26" i="9" a="1"/>
  <c r="H26" i="9" s="1"/>
  <c r="G44" i="9" a="1"/>
  <c r="T14" i="9" s="1" a="1"/>
  <c r="T14" i="9" s="1"/>
  <c r="H44" i="9" a="1"/>
  <c r="U14" i="9" s="1" a="1"/>
  <c r="U14" i="9" s="1"/>
  <c r="C12" i="19" a="1"/>
  <c r="C12" i="19" s="1"/>
  <c r="C26" i="9" a="1"/>
  <c r="C26" i="9" s="1"/>
  <c r="J44" i="9"/>
  <c r="W5" i="9" s="1"/>
  <c r="B2" i="20" s="1"/>
  <c r="J26" i="9"/>
  <c r="F44" i="9" a="1"/>
  <c r="S14" i="9" s="1" a="1"/>
  <c r="S14" i="9" s="1"/>
  <c r="D26" i="9" a="1"/>
  <c r="D26" i="9" s="1"/>
  <c r="C14" i="19" a="1"/>
  <c r="C14" i="19" s="1"/>
  <c r="E26" i="9" a="1"/>
  <c r="E26" i="9" s="1"/>
  <c r="G26" i="9" a="1"/>
  <c r="G26" i="9" s="1"/>
  <c r="E11" i="9"/>
  <c r="C11" i="9"/>
  <c r="E6" i="9"/>
  <c r="C6" i="9"/>
  <c r="D18" i="19" a="1"/>
  <c r="D18" i="19" s="1"/>
  <c r="C9" i="9"/>
  <c r="E9" i="9" a="1"/>
  <c r="E9" i="9" s="1"/>
  <c r="E5" i="9"/>
  <c r="C5" i="9"/>
  <c r="C7" i="9"/>
  <c r="E7" i="9"/>
  <c r="C9" i="8"/>
  <c r="C14" i="8" s="1"/>
  <c r="C4" i="10" s="1"/>
  <c r="C15" i="10" s="1"/>
  <c r="C17" i="10" s="1"/>
  <c r="C16" i="9" l="1"/>
  <c r="V14" i="9"/>
  <c r="X14" i="9" s="1"/>
  <c r="H44" i="9"/>
  <c r="U5" i="9" s="1" a="1"/>
  <c r="U5" i="9" s="1"/>
  <c r="U13" i="9" a="1"/>
  <c r="U13" i="9" s="1"/>
  <c r="U9" i="9" a="1"/>
  <c r="U9" i="9" s="1"/>
  <c r="U7" i="9" a="1"/>
  <c r="U7" i="9" s="1"/>
  <c r="U10" i="9" a="1"/>
  <c r="U10" i="9" s="1"/>
  <c r="U11" i="9" a="1"/>
  <c r="U11" i="9" s="1"/>
  <c r="U8" i="9" a="1"/>
  <c r="U8" i="9" s="1"/>
  <c r="U6" i="9" a="1"/>
  <c r="U6" i="9" s="1"/>
  <c r="U12" i="9" a="1"/>
  <c r="U12" i="9" s="1"/>
  <c r="T9" i="9" a="1"/>
  <c r="T9" i="9" s="1"/>
  <c r="I45" i="9"/>
  <c r="K45" i="9" s="1"/>
  <c r="I48" i="9"/>
  <c r="K48" i="9" s="1"/>
  <c r="I46" i="9"/>
  <c r="K46" i="9" s="1"/>
  <c r="I51" i="9"/>
  <c r="K51" i="9" s="1"/>
  <c r="I49" i="9"/>
  <c r="K49" i="9" s="1"/>
  <c r="T12" i="9" a="1"/>
  <c r="T12" i="9" s="1"/>
  <c r="I50" i="9"/>
  <c r="K50" i="9" s="1"/>
  <c r="T7" i="9" a="1"/>
  <c r="T7" i="9" s="1"/>
  <c r="G44" i="9"/>
  <c r="T11" i="9" a="1"/>
  <c r="T11" i="9" s="1"/>
  <c r="T10" i="9" a="1"/>
  <c r="T10" i="9" s="1"/>
  <c r="T8" i="9" a="1"/>
  <c r="T8" i="9" s="1"/>
  <c r="I47" i="9"/>
  <c r="K47" i="9" s="1"/>
  <c r="T13" i="9" a="1"/>
  <c r="T13" i="9" s="1"/>
  <c r="T6" i="9" a="1"/>
  <c r="T6" i="9" s="1"/>
  <c r="F44" i="9"/>
  <c r="S5" i="9" s="1" a="1"/>
  <c r="S5" i="9" s="1"/>
  <c r="S8" i="9" a="1"/>
  <c r="S8" i="9" s="1"/>
  <c r="S13" i="9" a="1"/>
  <c r="S13" i="9" s="1"/>
  <c r="S12" i="9" a="1"/>
  <c r="S12" i="9" s="1"/>
  <c r="S6" i="9" a="1"/>
  <c r="S6" i="9" s="1"/>
  <c r="S10" i="9" a="1"/>
  <c r="S10" i="9" s="1"/>
  <c r="S11" i="9" a="1"/>
  <c r="S11" i="9" s="1"/>
  <c r="S9" i="9" a="1"/>
  <c r="S9" i="9" s="1"/>
  <c r="S7" i="9" a="1"/>
  <c r="S7" i="9" s="1"/>
  <c r="I26" i="9"/>
  <c r="K26" i="9" s="1"/>
  <c r="E4" i="9"/>
  <c r="C4" i="9"/>
  <c r="V9" i="9" l="1"/>
  <c r="X9" i="9" s="1"/>
  <c r="V7" i="9"/>
  <c r="X7" i="9" s="1"/>
  <c r="V11" i="9"/>
  <c r="X11" i="9" s="1"/>
  <c r="V8" i="9"/>
  <c r="X8" i="9" s="1"/>
  <c r="V10" i="9"/>
  <c r="X10" i="9" s="1"/>
  <c r="I44" i="9"/>
  <c r="T5" i="9" a="1"/>
  <c r="T5" i="9" s="1"/>
  <c r="V5" i="9" s="1"/>
  <c r="X5" i="9" s="1"/>
  <c r="D14" i="19" a="1"/>
  <c r="D14" i="19" s="1"/>
  <c r="V12" i="9"/>
  <c r="X12" i="9" s="1"/>
  <c r="V6" i="9"/>
  <c r="X6" i="9" s="1"/>
  <c r="V13" i="9"/>
  <c r="X13" i="9" s="1"/>
  <c r="D20" i="19" l="1" a="1"/>
  <c r="D20" i="19" s="1"/>
  <c r="D16" i="19" a="1"/>
  <c r="D16" i="19" s="1"/>
  <c r="K44" i="9"/>
  <c r="C18"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<sst xmlns="http://schemas.openxmlformats.org/spreadsheetml/2006/main" count="1166" uniqueCount="265">
  <si>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</si>
  <si>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</si>
  <si>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</si>
  <si>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</si>
  <si>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</si>
  <si>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</si>
  <si>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</si>
  <si>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</si>
  <si>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</si>
  <si>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</si>
  <si>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</si>
  <si>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</si>
  <si>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</si>
  <si>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</si>
  <si>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</si>
  <si>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</si>
  <si>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</si>
  <si>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</si>
  <si>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</si>
  <si>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</si>
  <si>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</si>
  <si>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</si>
  <si>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</si>
  <si>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</si>
  <si>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</si>
  <si>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</si>
  <si>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</si>
  <si>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</si>
  <si>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</si>
  <si>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</si>
  <si>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</si>
  <si>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</si>
  <si>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</si>
  <si>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</si>
  <si>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</si>
  <si>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</si>
  <si>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</si>
  <si>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</si>
  <si>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</si>
  <si>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</si>
  <si>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</si>
  <si>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</si>
  <si>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</si>
  <si>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</si>
  <si>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</si>
  <si>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</si>
  <si>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</si>
  <si>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</si>
  <si>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</si>
  <si>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</si>
  <si>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</si>
  <si>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</si>
  <si>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</si>
  <si>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</si>
  <si>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</si>
  <si>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</si>
  <si>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</si>
  <si>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</si>
  <si>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</si>
  <si>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</si>
  <si>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</si>
  <si>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</si>
  <si>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</si>
  <si>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</si>
  <si>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</si>
  <si>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</si>
  <si>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</si>
  <si>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</si>
  <si>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</si>
  <si>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</si>
  <si>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</si>
  <si>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</si>
  <si>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</si>
  <si>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</si>
  <si>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Billing balance</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</si>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</sst>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0" fontId="0" fillId="0" borderId="0" xfId="0" applyNumberFormat="1"/>
  </cellXfs>
  <cellStyles count="2">
    <cellStyle name="Comma" xfId="1" builtinId="3"/>
    <cellStyle name="Normal" xfId="0" builtinId="0"/>
  </cellStyles>
  <dxfs count="175">
    <dxf>
      <numFmt numFmtId="164" formatCode="_-* #,##0_-;\-* #,##0_-;_-* &quot;-&quot;??_-;_-@_-"/>
      <fill>
        <patternFill patternType="solid">
          <fgColor indexed="64"/>
          <bgColor rgb="FFFFFF00"/>
        </patternFill>
      </fill>
    </dxf>
    <dxf>
      <numFmt numFmtId="19" formatCode="dd/mm/yyyy"/>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68</xdr:row>
      <xdr:rowOff>177484</xdr:rowOff>
    </xdr:from>
    <xdr:to>
      <xdr:col>3</xdr:col>
      <xdr:colOff>1087960</xdr:colOff>
      <xdr:row>74</xdr:row>
      <xdr:rowOff>74809</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0" y="12754183"/>
              <a:ext cx="4557649" cy="100703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675825</xdr:colOff>
      <xdr:row>68</xdr:row>
      <xdr:rowOff>160107</xdr:rowOff>
    </xdr:from>
    <xdr:to>
      <xdr:col>6</xdr:col>
      <xdr:colOff>217315</xdr:colOff>
      <xdr:row>77</xdr:row>
      <xdr:rowOff>36435</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5277417" y="12736806"/>
              <a:ext cx="1879277" cy="154089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493695</xdr:colOff>
      <xdr:row>1</xdr:row>
      <xdr:rowOff>59339</xdr:rowOff>
    </xdr:from>
    <xdr:to>
      <xdr:col>13</xdr:col>
      <xdr:colOff>275949</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423589</xdr:colOff>
      <xdr:row>7</xdr:row>
      <xdr:rowOff>43181</xdr:rowOff>
    </xdr:from>
    <xdr:to>
      <xdr:col>13</xdr:col>
      <xdr:colOff>223350</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306322</xdr:colOff>
      <xdr:row>15</xdr:row>
      <xdr:rowOff>132975</xdr:rowOff>
    </xdr:from>
    <xdr:to>
      <xdr:col>15</xdr:col>
      <xdr:colOff>555364</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5486113"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571759" createdVersion="8" refreshedVersion="8" minRefreshableVersion="3" recordCount="59" xr:uid="{46CBB50D-3613-4E5B-8212-DD0313DCD05A}">
  <cacheSource type="worksheet">
    <worksheetSource name="Table1"/>
  </cacheSource>
  <cacheFields count="14">
    <cacheField name="Date" numFmtId="14">
      <sharedItems containsSemiMixedTypes="0" containsNonDate="0" containsDate="1" containsString="0" minDate="2025-07-25T00:00:00" maxDate="2025-09-01T00:00:00" count="29">
        <d v="2025-08-17T00:00:00"/>
        <d v="2025-08-19T00:00:00"/>
        <d v="2025-08-16T00:00:00"/>
        <d v="2025-08-21T00:00:00"/>
        <d v="2025-08-22T00:00:00"/>
        <d v="2025-08-23T00:00:00"/>
        <d v="2025-08-25T00:00:00"/>
        <d v="2025-08-26T00:00:00"/>
        <d v="2025-08-27T00:00:00"/>
        <d v="2025-08-28T00:00:00"/>
        <d v="2025-08-29T00:00:00"/>
        <d v="2025-08-30T00:00:00"/>
        <d v="2025-08-31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6">
        <s v="BSC"/>
        <s v="Ejaz Sahab"/>
        <s v="Arshad"/>
        <s v="Shehzad Kamoki"/>
        <s v="Sufi Nawaz Sahab"/>
        <s v="Sajad Khan"/>
        <s v="Raaz Fabrics"/>
        <s v="Hafiz Qureshi"/>
        <s v="Ubaidullah"/>
        <m u="1"/>
        <s v="YING" u="1"/>
        <s v="Meow" u="1"/>
        <s v="Umer Sb" u="1"/>
        <s v="-" u="1"/>
        <s v="Sajjad" u="1"/>
        <s v="Haji Ejaz" u="1"/>
      </sharedItems>
    </cacheField>
    <cacheField name="Bill Number" numFmtId="0">
      <sharedItems containsMixedTypes="1" containsNumber="1" containsInteger="1" minValue="604" maxValue="769" count="160">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1">
        <m/>
        <n v="1605"/>
        <n v="1624"/>
        <n v="1646"/>
        <n v="1640"/>
        <n v="1649"/>
        <n v="1607"/>
        <n v="1647"/>
        <n v="1643"/>
        <s v="RD"/>
        <n v="1644"/>
        <n v="1651"/>
        <n v="1641"/>
        <n v="1652"/>
        <n v="1655"/>
        <n v="1650"/>
        <n v="1653"/>
        <s v="1607-sd"/>
        <n v="1628"/>
        <n v="1662"/>
        <n v="1663"/>
        <n v="1598"/>
        <n v="1661"/>
        <n v="1658"/>
        <n v="1656"/>
        <n v="1654"/>
        <n v="1659"/>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n v="1666"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1914"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180552" createdVersion="8" refreshedVersion="8" minRefreshableVersion="3" recordCount="26" xr:uid="{3E5C2981-ACF5-44A9-8567-B1D65DB3A8D2}">
  <cacheSource type="worksheet">
    <worksheetSource name="Table3"/>
  </cacheSource>
  <cacheFields count="9">
    <cacheField name="Date" numFmtId="14">
      <sharedItems containsSemiMixedTypes="0" containsNonDate="0" containsDate="1" containsString="0" minDate="2025-07-13T00:00:00" maxDate="2025-09-02T00:00:00" count="35">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7-13T00:00:00" u="1"/>
        <d v="2025-07-14T00:00:00" u="1"/>
        <d v="2025-07-15T00:00:00" u="1"/>
        <d v="2025-07-19T00:00:00" u="1"/>
        <d v="2025-07-20T00:00:00" u="1"/>
        <d v="2025-07-21T00:00:00" u="1"/>
        <d v="2025-07-31T00:00:00" u="1"/>
        <d v="2025-08-02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4">
        <s v="Malik Zaheer"/>
        <s v="Aqib"/>
        <m u="1"/>
        <s v="Aqib Freight" u="1"/>
      </sharedItems>
    </cacheField>
    <cacheField name="Vehicle Number" numFmtId="0">
      <sharedItems containsBlank="1" containsMixedTypes="1" containsNumber="1" containsInteger="1" minValue="52" maxValue="8994" count="31">
        <s v="Closing Balance CF"/>
        <n v="6691"/>
        <n v="1055"/>
        <n v="8395"/>
        <n v="3229"/>
        <m/>
        <n v="4649"/>
        <n v="52"/>
        <n v="739"/>
        <n v="1288"/>
        <n v="5045"/>
        <s v="-"/>
        <n v="561"/>
        <n v="447"/>
        <n v="5946"/>
        <n v="1910"/>
        <n v="7286"/>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700" maxValue="765"/>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074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412037"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527776"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0">
        <s v="BSC"/>
        <s v="Ejaz Sahab"/>
        <s v="Arshad"/>
        <s v="Shehzad Kamoki"/>
        <s v="Sufi Nawaz Sahab"/>
        <s v="Sajad Khan"/>
        <s v="Raaz Fabrics"/>
        <s v="Hafiz Qureshi"/>
        <s v="Ubaidullah"/>
        <n v="0"/>
      </sharedItems>
    </cacheField>
    <cacheField name="Tiyaar" numFmtId="1">
      <sharedItems containsSemiMixedTypes="0" containsString="0" containsNumber="1" minValue="0" maxValue="336473.11631309439"/>
    </cacheField>
    <cacheField name="Rate" numFmtId="0">
      <sharedItems containsString="0" containsBlank="1" containsNumber="1" minValue="10" maxValue="10.5"/>
    </cacheField>
    <cacheField name="Total" numFmtId="164">
      <sharedItems containsSemiMixedTypes="0" containsString="0" containsNumber="1" minValue="0" maxValue="3082251.28017556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2.040146874999" createdVersion="8" refreshedVersion="8" minRefreshableVersion="3" recordCount="221" xr:uid="{B5BDFB73-D93A-4A7A-8149-666BC190B09B}">
  <cacheSource type="worksheet">
    <worksheetSource name="Table14"/>
  </cacheSource>
  <cacheFields count="7">
    <cacheField name="Date" numFmtId="14">
      <sharedItems containsSemiMixedTypes="0" containsNonDate="0" containsDate="1" containsString="0" minDate="2025-08-17T00:00:00" maxDate="2025-09-02T00:00:00"/>
    </cacheField>
    <cacheField name="Party" numFmtId="0">
      <sharedItems containsBlank="1" count="35">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6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3.6049079901958692"/>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3.6049079901958692"/>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26.285530898047298"/>
    <n v="1810.534016093636"/>
    <n v="18105.340160936361"/>
    <m/>
  </r>
  <r>
    <x v="4"/>
    <x v="8"/>
    <x v="8"/>
    <s v="Chamki"/>
    <x v="7"/>
    <n v="20004"/>
    <n v="21621"/>
    <n v="1.1673524841483669"/>
    <n v="19770.48280907096"/>
    <n v="197704.82809070961"/>
    <m/>
  </r>
  <r>
    <x v="4"/>
    <x v="0"/>
    <x v="9"/>
    <s v="Chamki"/>
    <x v="6"/>
    <n v="60735"/>
    <n v="6406"/>
    <n v="26.285530898047298"/>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3.6049079901958692"/>
    <n v="14861.923920994881"/>
    <n v="148619.23920994881"/>
    <m/>
  </r>
  <r>
    <x v="5"/>
    <x v="0"/>
    <x v="15"/>
    <s v="Chamki"/>
    <x v="1"/>
    <n v="103550"/>
    <n v="33788"/>
    <n v="3.6049079901958692"/>
    <n v="30896.122896854427"/>
    <n v="308961.22896854428"/>
    <m/>
  </r>
  <r>
    <x v="5"/>
    <x v="0"/>
    <x v="16"/>
    <s v="Chamki"/>
    <x v="6"/>
    <n v="60735"/>
    <n v="8575"/>
    <n v="26.285530898047298"/>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26.285530898047298"/>
    <n v="7809.0709583028538"/>
    <n v="78090.70958302854"/>
    <m/>
  </r>
  <r>
    <x v="6"/>
    <x v="0"/>
    <x v="20"/>
    <s v="Chamki"/>
    <x v="12"/>
    <n v="6605"/>
    <n v="7214"/>
    <n v="0.1277545164018079"/>
    <n v="6596.5618141916611"/>
    <n v="65965.61814191661"/>
    <m/>
  </r>
  <r>
    <x v="6"/>
    <x v="0"/>
    <x v="21"/>
    <s v="Chamki"/>
    <x v="1"/>
    <n v="103550"/>
    <n v="6688"/>
    <n v="3.6049079901958692"/>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9.837673547718609"/>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9.837673547718609"/>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9.837673547718609"/>
    <n v="10700.438917337236"/>
    <n v="107004.38917337236"/>
    <m/>
  </r>
  <r>
    <x v="10"/>
    <x v="0"/>
    <x v="33"/>
    <s v="Chamki"/>
    <x v="14"/>
    <n v="167135"/>
    <n v="26158"/>
    <n v="39.837673547718609"/>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0"/>
    <x v="39"/>
    <s v="Crinkle"/>
    <x v="21"/>
    <n v="22631"/>
    <n v="23305"/>
    <n v="5.8355745045743106"/>
    <n v="21310.35113386979"/>
    <n v="213103.51133869789"/>
    <m/>
  </r>
  <r>
    <x v="11"/>
    <x v="5"/>
    <x v="40"/>
    <s v="Chamki"/>
    <x v="17"/>
    <n v="40502"/>
    <n v="9308"/>
    <n v="3.3481309203728671"/>
    <n v="8511.3386978785675"/>
    <n v="85113.386978785682"/>
    <m/>
  </r>
  <r>
    <x v="12"/>
    <x v="0"/>
    <x v="41"/>
    <s v="Chamki"/>
    <x v="14"/>
    <n v="167135"/>
    <n v="20380"/>
    <n v="39.837673547718609"/>
    <n v="18635.6986100951"/>
    <n v="186356.98610095101"/>
    <m/>
  </r>
  <r>
    <x v="12"/>
    <x v="4"/>
    <x v="42"/>
    <s v="Silky"/>
    <x v="22"/>
    <n v="6217"/>
    <n v="7020"/>
    <n v="-3.2518265571699345"/>
    <n v="6419.1660570592539"/>
    <n v="77029.992684711047"/>
    <m/>
  </r>
  <r>
    <x v="12"/>
    <x v="0"/>
    <x v="42"/>
    <s v="Chamki"/>
    <x v="23"/>
    <n v="26004"/>
    <n v="2776"/>
    <n v="0.9423118406070472"/>
    <n v="2538.4052670080468"/>
    <n v="25384.052670080469"/>
    <m/>
  </r>
  <r>
    <x v="12"/>
    <x v="0"/>
    <x v="43"/>
    <s v="Chamki"/>
    <x v="23"/>
    <n v="26004"/>
    <n v="25394"/>
    <n v="0.9423118406070472"/>
    <n v="23220.555961960501"/>
    <n v="232205.55961960502"/>
    <m/>
  </r>
  <r>
    <x v="12"/>
    <x v="0"/>
    <x v="44"/>
    <s v="Chamki"/>
    <x v="14"/>
    <n v="167135"/>
    <n v="10496"/>
    <n v="39.837673547718609"/>
    <n v="9597.6591075347478"/>
    <n v="95976.591075347475"/>
    <m/>
  </r>
  <r>
    <x v="12"/>
    <x v="0"/>
    <x v="45"/>
    <s v="Chamki"/>
    <x v="6"/>
    <n v="60735"/>
    <n v="9552"/>
    <n v="26.285530898047298"/>
    <n v="8734.4550109729335"/>
    <n v="87344.550109729331"/>
    <m/>
  </r>
  <r>
    <x v="12"/>
    <x v="0"/>
    <x v="46"/>
    <s v="Chamki"/>
    <x v="6"/>
    <n v="60735"/>
    <n v="13908"/>
    <n v="26.285530898047298"/>
    <n v="12717.629846378934"/>
    <n v="127176.29846378934"/>
    <m/>
  </r>
  <r>
    <x v="12"/>
    <x v="8"/>
    <x v="47"/>
    <s v="Chamki"/>
    <x v="24"/>
    <n v="9784"/>
    <n v="10672"/>
    <n v="0.25965387856857092"/>
    <n v="9758.5954645208494"/>
    <n v="97585.954645208491"/>
    <m/>
  </r>
  <r>
    <x v="12"/>
    <x v="4"/>
    <x v="48"/>
    <s v="Chamki"/>
    <x v="25"/>
    <n v="14999"/>
    <n v="15800"/>
    <n v="3.6756071472797061"/>
    <n v="14447.695683979518"/>
    <n v="130029.26115581566"/>
    <m/>
  </r>
  <r>
    <x v="12"/>
    <x v="4"/>
    <x v="49"/>
    <s v="Chamki"/>
    <x v="26"/>
    <n v="21934"/>
    <n v="6612"/>
    <n v="72.435094736894058"/>
    <n v="6046.0863204096568"/>
    <n v="54414.776883686907"/>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36473.11631309439"/>
    <n v="10"/>
    <n v="3082251.2801755676"/>
  </r>
  <r>
    <x v="1"/>
    <n v="0"/>
    <n v="10"/>
    <n v="0"/>
  </r>
  <r>
    <x v="2"/>
    <n v="26169.531821506953"/>
    <n v="10"/>
    <n v="261695.31821506954"/>
  </r>
  <r>
    <x v="3"/>
    <n v="0"/>
    <n v="10.5"/>
    <n v="0"/>
  </r>
  <r>
    <x v="4"/>
    <n v="133784.74762253111"/>
    <n v="10"/>
    <n v="1294342.5384052671"/>
  </r>
  <r>
    <x v="5"/>
    <n v="94636.06437454281"/>
    <n v="10"/>
    <n v="946360.64374542807"/>
  </r>
  <r>
    <x v="6"/>
    <n v="23730.797366495979"/>
    <n v="10"/>
    <n v="237307.97366495978"/>
  </r>
  <r>
    <x v="7"/>
    <n v="0"/>
    <n v="10"/>
    <n v="0"/>
  </r>
  <r>
    <x v="8"/>
    <n v="29529.078273591811"/>
    <n v="10"/>
    <n v="295290.78273591812"/>
  </r>
  <r>
    <x v="9"/>
    <n v="0"/>
    <m/>
    <n v="0"/>
  </r>
  <r>
    <x v="9"/>
    <n v="0"/>
    <m/>
    <n v="0"/>
  </r>
  <r>
    <x v="9"/>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6"/>
    <n v="1700"/>
    <m/>
    <s v="BAHL debit"/>
    <s v="Bank"/>
    <m/>
  </r>
  <r>
    <d v="2025-09-01T00:00:00"/>
    <x v="29"/>
    <m/>
    <m/>
    <m/>
    <m/>
    <m/>
  </r>
  <r>
    <d v="2025-09-01T00:00:00"/>
    <x v="29"/>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4" firstHeaderRow="0" firstDataRow="1" firstDataCol="1"/>
  <pivotFields count="4">
    <pivotField axis="axisRow" showAll="0" includeNewItemsInFilter="1">
      <items count="11">
        <item x="2"/>
        <item x="0"/>
        <item x="1"/>
        <item x="3"/>
        <item x="9"/>
        <item x="4"/>
        <item x="5"/>
        <item x="6"/>
        <item x="7"/>
        <item x="8"/>
        <item t="default"/>
      </items>
    </pivotField>
    <pivotField dataField="1" showAll="0"/>
    <pivotField showAll="0"/>
    <pivotField dataField="1"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Tiyaar" fld="1" baseField="0" baseItem="0"/>
    <dataField name="Sum of Total" fld="3" baseField="0" baseItem="0"/>
  </dataFields>
  <formats count="4">
    <format dxfId="71">
      <pivotArea field="0" grandRow="1" outline="0" collapsedLevelsAreSubtotals="1" axis="axisRow" fieldPosition="0">
        <references count="1">
          <reference field="4294967294" count="1" selected="0">
            <x v="1"/>
          </reference>
        </references>
      </pivotArea>
    </format>
    <format dxfId="72">
      <pivotArea field="0" grandRow="1" outline="0" collapsedLevelsAreSubtotals="1" axis="axisRow" fieldPosition="0">
        <references count="1">
          <reference field="4294967294" count="1" selected="0">
            <x v="0"/>
          </reference>
        </references>
      </pivotArea>
    </format>
    <format dxfId="73">
      <pivotArea collapsedLevelsAreSubtotals="1" fieldPosition="0">
        <references count="2">
          <reference field="4294967294" count="1" selected="0">
            <x v="1"/>
          </reference>
          <reference field="0" count="0"/>
        </references>
      </pivotArea>
    </format>
    <format dxfId="7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75:G126" firstHeaderRow="0" firstDataRow="1" firstDataCol="1" rowPageCount="3" colPageCount="1"/>
  <pivotFields count="14">
    <pivotField axis="axisPage" showAll="0">
      <items count="30">
        <item m="1" x="13"/>
        <item m="1" x="14"/>
        <item m="1" x="15"/>
        <item m="1" x="16"/>
        <item m="1" x="17"/>
        <item m="1" x="18"/>
        <item m="1" x="28"/>
        <item m="1" x="19"/>
        <item m="1" x="20"/>
        <item m="1" x="21"/>
        <item m="1" x="22"/>
        <item m="1" x="23"/>
        <item m="1" x="24"/>
        <item m="1" x="25"/>
        <item m="1" x="26"/>
        <item m="1" x="27"/>
        <item x="2"/>
        <item x="0"/>
        <item x="1"/>
        <item x="3"/>
        <item x="4"/>
        <item x="5"/>
        <item x="6"/>
        <item x="7"/>
        <item x="8"/>
        <item x="9"/>
        <item x="10"/>
        <item x="11"/>
        <item x="12"/>
        <item t="default"/>
      </items>
    </pivotField>
    <pivotField axis="axisPage" multipleItemSelectionAllowed="1" showAll="0">
      <items count="17">
        <item x="2"/>
        <item x="0"/>
        <item m="1" x="15"/>
        <item x="6"/>
        <item m="1" x="14"/>
        <item m="1" x="13"/>
        <item m="1" x="12"/>
        <item x="1"/>
        <item x="3"/>
        <item m="1" x="11"/>
        <item x="4"/>
        <item m="1" x="10"/>
        <item m="1" x="9"/>
        <item x="5"/>
        <item x="7"/>
        <item x="8"/>
        <item t="default"/>
      </items>
    </pivotField>
    <pivotField axis="axisRow" numFmtId="164" showAll="0">
      <items count="16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50"/>
        <item m="1" x="51"/>
        <item m="1" x="52"/>
        <item m="1" x="53"/>
        <item m="1" x="54"/>
        <item m="1" x="55"/>
        <item m="1" x="56"/>
        <item m="1" x="57"/>
        <item m="1" x="58"/>
        <item m="1" x="59"/>
        <item m="1" x="60"/>
        <item m="1" x="61"/>
        <item m="1" x="62"/>
        <item m="1" x="63"/>
        <item m="1" x="64"/>
        <item m="1" x="65"/>
        <item m="1" x="66"/>
        <item m="1" x="67"/>
        <item m="1" x="96"/>
        <item m="1" x="68"/>
        <item m="1" x="69"/>
        <item m="1" x="70"/>
        <item m="1" x="71"/>
        <item m="1" x="72"/>
        <item m="1" x="73"/>
        <item m="1" x="85"/>
        <item m="1" x="74"/>
        <item m="1" x="75"/>
        <item m="1" x="76"/>
        <item m="1" x="77"/>
        <item m="1" x="78"/>
        <item m="1" x="79"/>
        <item m="1" x="80"/>
        <item m="1" x="81"/>
        <item m="1" x="82"/>
        <item m="1" x="83"/>
        <item m="1" x="84"/>
        <item m="1" x="86"/>
        <item m="1" x="87"/>
        <item m="1" x="88"/>
        <item m="1" x="89"/>
        <item m="1" x="90"/>
        <item m="1" x="91"/>
        <item m="1" x="92"/>
        <item m="1" x="93"/>
        <item m="1" x="94"/>
        <item m="1" x="95"/>
        <item m="1" x="97"/>
        <item m="1" x="98"/>
        <item m="1" x="99"/>
        <item m="1" x="100"/>
        <item m="1" x="101"/>
        <item m="1" x="102"/>
        <item m="1" x="103"/>
        <item m="1" x="104"/>
        <item m="1" x="105"/>
        <item m="1" x="106"/>
        <item m="1" x="107"/>
        <item m="1" x="108"/>
        <item m="1" x="109"/>
        <item m="1" x="110"/>
        <item m="1" x="111"/>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t="default"/>
      </items>
    </pivotField>
    <pivotField showAll="0"/>
    <pivotField axis="axisPage" multipleItemSelectionAllowed="1" showAll="0">
      <items count="82">
        <item m="1" x="33"/>
        <item m="1" x="63"/>
        <item m="1" x="64"/>
        <item m="1" x="72"/>
        <item m="1" x="62"/>
        <item m="1" x="61"/>
        <item m="1" x="65"/>
        <item m="1" x="76"/>
        <item m="1" x="68"/>
        <item m="1" x="69"/>
        <item m="1" x="66"/>
        <item m="1" x="67"/>
        <item m="1" x="77"/>
        <item m="1" x="70"/>
        <item m="1" x="71"/>
        <item m="1" x="74"/>
        <item m="1" x="75"/>
        <item m="1" x="73"/>
        <item m="1" x="28"/>
        <item m="1" x="79"/>
        <item m="1" x="27"/>
        <item m="1" x="78"/>
        <item m="1" x="30"/>
        <item m="1" x="29"/>
        <item m="1" x="31"/>
        <item m="1" x="37"/>
        <item m="1" x="32"/>
        <item m="1" x="34"/>
        <item m="1" x="38"/>
        <item m="1" x="39"/>
        <item m="1" x="58"/>
        <item m="1" x="35"/>
        <item m="1" x="36"/>
        <item m="1" x="80"/>
        <item m="1" x="60"/>
        <item m="1" x="59"/>
        <item m="1" x="40"/>
        <item m="1" x="41"/>
        <item m="1" x="42"/>
        <item m="1" x="43"/>
        <item m="1" x="44"/>
        <item x="2"/>
        <item m="1" x="45"/>
        <item m="1" x="46"/>
        <item m="1" x="47"/>
        <item m="1" x="48"/>
        <item m="1" x="49"/>
        <item m="1" x="50"/>
        <item m="1" x="51"/>
        <item m="1" x="52"/>
        <item m="1" x="53"/>
        <item m="1" x="54"/>
        <item m="1" x="55"/>
        <item m="1" x="56"/>
        <item m="1" x="57"/>
        <item x="0"/>
        <item x="1"/>
        <item x="3"/>
        <item x="4"/>
        <item x="5"/>
        <item x="6"/>
        <item x="7"/>
        <item x="8"/>
        <item x="9"/>
        <item x="10"/>
        <item x="11"/>
        <item x="12"/>
        <item x="13"/>
        <item x="14"/>
        <item x="15"/>
        <item x="16"/>
        <item x="18"/>
        <item x="17"/>
        <item x="19"/>
        <item x="20"/>
        <item x="21"/>
        <item x="22"/>
        <item x="23"/>
        <item x="24"/>
        <item x="25"/>
        <item x="26"/>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1">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8:K82" firstHeaderRow="0" firstDataRow="1" firstDataCol="1"/>
  <pivotFields count="14">
    <pivotField axis="axisRow" numFmtId="14" showAll="0">
      <items count="30">
        <item m="1" x="13"/>
        <item m="1" x="14"/>
        <item m="1" x="15"/>
        <item m="1" x="16"/>
        <item m="1" x="17"/>
        <item m="1" x="18"/>
        <item m="1" x="28"/>
        <item m="1" x="19"/>
        <item m="1" x="20"/>
        <item m="1" x="21"/>
        <item m="1" x="22"/>
        <item m="1" x="23"/>
        <item m="1" x="24"/>
        <item m="1" x="25"/>
        <item m="1" x="26"/>
        <item m="1" x="27"/>
        <item x="2"/>
        <item x="0"/>
        <item x="1"/>
        <item x="3"/>
        <item x="4"/>
        <item x="5"/>
        <item x="6"/>
        <item x="7"/>
        <item x="8"/>
        <item x="9"/>
        <item x="10"/>
        <item x="11"/>
        <item x="1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
    <i>
      <x v="16"/>
    </i>
    <i>
      <x v="17"/>
    </i>
    <i>
      <x v="18"/>
    </i>
    <i>
      <x v="19"/>
    </i>
    <i>
      <x v="20"/>
    </i>
    <i>
      <x v="21"/>
    </i>
    <i>
      <x v="22"/>
    </i>
    <i>
      <x v="23"/>
    </i>
    <i>
      <x v="24"/>
    </i>
    <i>
      <x v="25"/>
    </i>
    <i>
      <x v="26"/>
    </i>
    <i>
      <x v="27"/>
    </i>
    <i>
      <x v="28"/>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8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2:I85" firstHeaderRow="0" firstDataRow="1" firstDataCol="1" rowPageCount="1" colPageCount="1"/>
  <pivotFields count="9">
    <pivotField axis="axisRow" numFmtId="14" showAll="0">
      <items count="36">
        <item m="1" x="18"/>
        <item m="1" x="19"/>
        <item m="1" x="20"/>
        <item m="1" x="21"/>
        <item m="1" x="22"/>
        <item m="1" x="23"/>
        <item m="1" x="24"/>
        <item m="1" x="34"/>
        <item m="1" x="25"/>
        <item m="1" x="26"/>
        <item m="1" x="27"/>
        <item m="1" x="28"/>
        <item m="1" x="29"/>
        <item m="1" x="30"/>
        <item m="1" x="31"/>
        <item m="1" x="32"/>
        <item x="1"/>
        <item x="2"/>
        <item m="1" x="33"/>
        <item x="3"/>
        <item x="0"/>
        <item x="4"/>
        <item x="6"/>
        <item x="7"/>
        <item x="8"/>
        <item x="10"/>
        <item x="11"/>
        <item x="12"/>
        <item x="5"/>
        <item x="9"/>
        <item x="13"/>
        <item x="14"/>
        <item x="15"/>
        <item x="16"/>
        <item x="17"/>
        <item t="default"/>
      </items>
    </pivotField>
    <pivotField axis="axisPage" showAll="0">
      <items count="5">
        <item x="1"/>
        <item x="0"/>
        <item m="1" x="2"/>
        <item m="1" x="3"/>
        <item t="default"/>
      </items>
    </pivotField>
    <pivotField axis="axisRow" showAll="0">
      <items count="32">
        <item m="1" x="21"/>
        <item x="15"/>
        <item m="1" x="17"/>
        <item x="4"/>
        <item m="1" x="22"/>
        <item m="1" x="23"/>
        <item m="1" x="18"/>
        <item m="1" x="19"/>
        <item m="1" x="20"/>
        <item x="5"/>
        <item x="7"/>
        <item m="1" x="24"/>
        <item m="1" x="25"/>
        <item m="1" x="26"/>
        <item m="1" x="27"/>
        <item m="1" x="28"/>
        <item m="1" x="29"/>
        <item x="1"/>
        <item x="2"/>
        <item m="1" x="30"/>
        <item x="3"/>
        <item x="0"/>
        <item x="6"/>
        <item x="8"/>
        <item x="9"/>
        <item x="10"/>
        <item x="11"/>
        <item x="12"/>
        <item x="13"/>
        <item x="14"/>
        <item x="16"/>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3">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5">
      <pivotArea dataOnly="0" labelOnly="1" outline="0" fieldPosition="0">
        <references count="1">
          <reference field="1" count="1">
            <x v="1"/>
          </reference>
        </references>
      </pivotArea>
    </format>
    <format dxfId="7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36">
        <item x="14"/>
        <item x="16"/>
        <item x="1"/>
        <item x="17"/>
        <item x="10"/>
        <item x="21"/>
        <item x="2"/>
        <item x="6"/>
        <item x="4"/>
        <item x="9"/>
        <item m="1" x="31"/>
        <item m="1" x="32"/>
        <item x="28"/>
        <item x="5"/>
        <item x="15"/>
        <item x="26"/>
        <item x="11"/>
        <item x="22"/>
        <item x="3"/>
        <item x="8"/>
        <item x="29"/>
        <item x="7"/>
        <item m="1" x="33"/>
        <item x="20"/>
        <item m="1" x="34"/>
        <item m="1" x="30"/>
        <item x="0"/>
        <item x="12"/>
        <item x="13"/>
        <item x="18"/>
        <item x="19"/>
        <item x="23"/>
        <item x="24"/>
        <item x="25"/>
        <item x="27"/>
        <item t="default"/>
      </items>
    </pivotField>
    <pivotField dataField="1" showAll="0"/>
    <pivotField dataField="1" showAll="0"/>
    <pivotField showAll="0"/>
    <pivotField showAll="0"/>
    <pivotField showAll="0"/>
  </pivotFields>
  <rowFields count="1">
    <field x="1"/>
  </rowFields>
  <rowItems count="31">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t="grand">
      <x/>
    </i>
  </rowItems>
  <colFields count="1">
    <field x="-2"/>
  </colFields>
  <colItems count="2">
    <i>
      <x/>
    </i>
    <i i="1">
      <x v="1"/>
    </i>
  </colItems>
  <dataFields count="2">
    <dataField name="Sum of Credit" fld="3" baseField="0" baseItem="0"/>
    <dataField name="Sum of Debit" fld="2" baseField="0" baseItem="0"/>
  </dataFields>
  <formats count="1">
    <format dxfId="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1" firstHeaderRow="0" firstDataRow="1" firstDataCol="1" rowPageCount="1" colPageCount="1"/>
  <pivotFields count="14">
    <pivotField showAll="0"/>
    <pivotField axis="axisPage" showAll="0">
      <items count="17">
        <item m="1" x="13"/>
        <item x="2"/>
        <item x="0"/>
        <item x="1"/>
        <item m="1" x="15"/>
        <item m="1" x="11"/>
        <item x="6"/>
        <item m="1" x="14"/>
        <item x="3"/>
        <item x="4"/>
        <item m="1" x="12"/>
        <item m="1" x="10"/>
        <item m="1" x="9"/>
        <item x="5"/>
        <item x="7"/>
        <item x="8"/>
        <item t="default"/>
      </items>
    </pivotField>
    <pivotField showAll="0"/>
    <pivotField showAll="0"/>
    <pivotField axis="axisRow" showAll="0">
      <items count="82">
        <item m="1" x="63"/>
        <item m="1" x="64"/>
        <item m="1" x="62"/>
        <item m="1" x="61"/>
        <item m="1" x="65"/>
        <item m="1" x="67"/>
        <item m="1" x="66"/>
        <item m="1" x="68"/>
        <item m="1" x="69"/>
        <item m="1" x="70"/>
        <item m="1" x="71"/>
        <item m="1" x="72"/>
        <item m="1" x="73"/>
        <item m="1" x="74"/>
        <item m="1" x="80"/>
        <item m="1" x="60"/>
        <item m="1" x="75"/>
        <item m="1" x="76"/>
        <item m="1" x="77"/>
        <item m="1" x="28"/>
        <item m="1" x="27"/>
        <item m="1" x="78"/>
        <item m="1" x="79"/>
        <item m="1" x="37"/>
        <item m="1" x="29"/>
        <item m="1" x="30"/>
        <item m="1" x="31"/>
        <item m="1" x="32"/>
        <item m="1" x="33"/>
        <item m="1" x="34"/>
        <item m="1" x="35"/>
        <item m="1" x="36"/>
        <item m="1" x="38"/>
        <item m="1" x="58"/>
        <item m="1" x="39"/>
        <item m="1" x="59"/>
        <item m="1" x="40"/>
        <item m="1" x="41"/>
        <item m="1" x="42"/>
        <item m="1" x="43"/>
        <item m="1" x="44"/>
        <item x="2"/>
        <item m="1" x="45"/>
        <item m="1" x="46"/>
        <item m="1" x="47"/>
        <item m="1" x="48"/>
        <item m="1" x="49"/>
        <item m="1" x="50"/>
        <item m="1" x="51"/>
        <item m="1" x="52"/>
        <item m="1" x="53"/>
        <item m="1" x="54"/>
        <item m="1" x="55"/>
        <item m="1" x="56"/>
        <item m="1" x="57"/>
        <item x="0"/>
        <item x="1"/>
        <item x="3"/>
        <item x="4"/>
        <item x="5"/>
        <item x="6"/>
        <item x="7"/>
        <item x="8"/>
        <item x="9"/>
        <item x="10"/>
        <item x="11"/>
        <item x="12"/>
        <item x="13"/>
        <item x="14"/>
        <item x="15"/>
        <item x="16"/>
        <item x="18"/>
        <item x="17"/>
        <item x="19"/>
        <item x="20"/>
        <item x="21"/>
        <item x="22"/>
        <item x="23"/>
        <item x="24"/>
        <item x="25"/>
        <item x="26"/>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8">
    <i>
      <x v="41"/>
    </i>
    <i>
      <x v="55"/>
    </i>
    <i>
      <x v="56"/>
    </i>
    <i>
      <x v="57"/>
    </i>
    <i>
      <x v="58"/>
    </i>
    <i>
      <x v="59"/>
    </i>
    <i>
      <x v="60"/>
    </i>
    <i>
      <x v="61"/>
    </i>
    <i>
      <x v="62"/>
    </i>
    <i>
      <x v="63"/>
    </i>
    <i>
      <x v="64"/>
    </i>
    <i>
      <x v="65"/>
    </i>
    <i>
      <x v="66"/>
    </i>
    <i>
      <x v="67"/>
    </i>
    <i>
      <x v="68"/>
    </i>
    <i>
      <x v="69"/>
    </i>
    <i>
      <x v="70"/>
    </i>
    <i>
      <x v="71"/>
    </i>
    <i>
      <x v="72"/>
    </i>
    <i>
      <x v="73"/>
    </i>
    <i>
      <x v="74"/>
    </i>
    <i>
      <x v="75"/>
    </i>
    <i>
      <x v="76"/>
    </i>
    <i>
      <x v="77"/>
    </i>
    <i>
      <x v="78"/>
    </i>
    <i>
      <x v="79"/>
    </i>
    <i>
      <x v="8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7">
      <pivotArea type="all" dataOnly="0" outline="0" fieldPosition="0"/>
    </format>
    <format dxfId="78">
      <pivotArea outline="0" collapsedLevelsAreSubtotals="1" fieldPosition="0"/>
    </format>
    <format dxfId="79">
      <pivotArea field="4" type="button" dataOnly="0" labelOnly="1" outline="0" axis="axisRow" fieldPosition="0"/>
    </format>
    <format dxfId="80">
      <pivotArea dataOnly="0" labelOnly="1" fieldPosition="0">
        <references count="1">
          <reference field="4" count="0"/>
        </references>
      </pivotArea>
    </format>
    <format dxfId="81">
      <pivotArea dataOnly="0" labelOnly="1" grandRow="1" outline="0" fieldPosition="0"/>
    </format>
    <format dxfId="82">
      <pivotArea dataOnly="0" labelOnly="1" outline="0" fieldPosition="0">
        <references count="1">
          <reference field="4294967294" count="2">
            <x v="0"/>
            <x v="1"/>
          </reference>
        </references>
      </pivotArea>
    </format>
    <format dxfId="83">
      <pivotArea grandRow="1" outline="0" collapsedLevelsAreSubtotals="1" fieldPosition="0"/>
    </format>
    <format dxfId="84">
      <pivotArea field="4" type="button" dataOnly="0" labelOnly="1" outline="0" axis="axisRow" fieldPosition="0"/>
    </format>
    <format dxfId="8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1">
        <i x="21" s="1"/>
        <i x="1" s="1"/>
        <i x="6" s="1"/>
        <i x="2" s="1"/>
        <i x="18" s="1"/>
        <i x="4" s="1"/>
        <i x="12" s="1"/>
        <i x="8" s="1"/>
        <i x="10" s="1"/>
        <i x="3" s="1"/>
        <i x="7" s="1"/>
        <i x="5" s="1"/>
        <i x="15" s="1"/>
        <i x="11" s="1"/>
        <i x="13" s="1"/>
        <i x="16" s="1"/>
        <i x="25" s="1"/>
        <i x="14" s="1"/>
        <i x="24" s="1"/>
        <i x="23" s="1"/>
        <i x="26" s="1"/>
        <i x="22" s="1"/>
        <i x="19" s="1"/>
        <i x="20" s="1"/>
        <i x="17" s="1"/>
        <i x="9" s="1"/>
        <i x="33" s="1" nd="1"/>
        <i x="63" s="1" nd="1"/>
        <i x="64" s="1" nd="1"/>
        <i x="72" s="1" nd="1"/>
        <i x="62" s="1" nd="1"/>
        <i x="61" s="1" nd="1"/>
        <i x="65" s="1" nd="1"/>
        <i x="76" s="1" nd="1"/>
        <i x="68" s="1" nd="1"/>
        <i x="69" s="1" nd="1"/>
        <i x="66" s="1" nd="1"/>
        <i x="67" s="1" nd="1"/>
        <i x="77" s="1" nd="1"/>
        <i x="70" s="1" nd="1"/>
        <i x="71" s="1" nd="1"/>
        <i x="74" s="1" nd="1"/>
        <i x="75" s="1" nd="1"/>
        <i x="73" s="1" nd="1"/>
        <i x="28" s="1" nd="1"/>
        <i x="79" s="1" nd="1"/>
        <i x="27" s="1" nd="1"/>
        <i x="78" s="1" nd="1"/>
        <i x="30" s="1" nd="1"/>
        <i x="29" s="1" nd="1"/>
        <i x="31" s="1" nd="1"/>
        <i x="37" s="1" nd="1"/>
        <i x="32" s="1" nd="1"/>
        <i x="34" s="1" nd="1"/>
        <i x="50" s="1" nd="1"/>
        <i x="38" s="1" nd="1"/>
        <i x="44" s="1" nd="1"/>
        <i x="39" s="1" nd="1"/>
        <i x="42" s="1" nd="1"/>
        <i x="47" s="1" nd="1"/>
        <i x="58" s="1" nd="1"/>
        <i x="40" s="1" nd="1"/>
        <i x="52" s="1" nd="1"/>
        <i x="55" s="1" nd="1"/>
        <i x="46" s="1" nd="1"/>
        <i x="35" s="1" nd="1"/>
        <i x="43" s="1" nd="1"/>
        <i x="36" s="1" nd="1"/>
        <i x="41" s="1" nd="1"/>
        <i x="45" s="1" nd="1"/>
        <i x="51" s="1" nd="1"/>
        <i x="48" s="1" nd="1"/>
        <i x="53" s="1" nd="1"/>
        <i x="49" s="1" nd="1"/>
        <i x="54" s="1" nd="1"/>
        <i x="56" s="1" nd="1"/>
        <i x="57" s="1" nd="1"/>
        <i x="80" s="1" nd="1"/>
        <i x="60" s="1" nd="1"/>
        <i x="5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9"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74">
      <calculatedColumnFormula>B26</calculatedColumnFormula>
    </tableColumn>
    <tableColumn id="2" xr3:uid="{7EDCC2ED-0339-42B3-9633-FFEA7A3DD9F3}" name="Tiyaar" dataDxfId="173">
      <calculatedColumnFormula>SUMIFS(ledger!G:G, ledger!B:B, B4, ledger!E:E, "&lt;&gt;*RD*") / 1.0936</calculatedColumnFormula>
    </tableColumn>
    <tableColumn id="3" xr3:uid="{CC1535DD-3FE7-4F55-8040-E7643388A78E}" name="Rate"/>
    <tableColumn id="4" xr3:uid="{059CB70B-ADAD-4985-84AA-0D530BAC5567}" name="Total" dataDxfId="172">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71" dataDxfId="170">
  <autoFilter ref="B7:D20" xr:uid="{449E5D32-DF9C-4018-96AB-CA98E118D910}"/>
  <tableColumns count="3">
    <tableColumn id="1" xr3:uid="{F663704C-91DD-4BB9-B7EB-EEB0C5EDED6C}" name="Description" dataDxfId="169"/>
    <tableColumn id="2" xr3:uid="{6D94D495-CD0B-4FD3-9771-81D731982A97}" name="Rate" dataDxfId="168" dataCellStyle="Comma"/>
    <tableColumn id="3" xr3:uid="{2D14CEAD-3602-40E7-A488-3584EBC9141E}" name="#" dataDxfId="167"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66" totalsRowDxfId="165"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64" dataDxfId="163" headerRowCellStyle="Comma" dataCellStyle="Comma">
  <autoFilter ref="B2:C5" xr:uid="{136E8F7F-D03F-4198-8335-91A003EA9E45}"/>
  <tableColumns count="2">
    <tableColumn id="1" xr3:uid="{279FA697-9952-479A-AC05-0D4992B41374}" name="Column1" dataDxfId="162" dataCellStyle="Comma"/>
    <tableColumn id="2" xr3:uid="{8A64998B-65EF-41CD-BCB0-3DDB7B359C54}" name="Column2" dataDxfId="161"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60"/>
    <tableColumn id="2" xr3:uid="{51D27FA2-8DDF-4369-BAF7-7D1FE90E16A0}" name="Column2" dataDxfId="15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58" totalsRowDxfId="157"/>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56">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1" totalsRowCount="1" headerRowDxfId="89" dataDxfId="88" headerRowCellStyle="Comma" dataCellStyle="Comma">
  <autoFilter ref="A1:K60" xr:uid="{11DACEC6-751B-4B1D-817F-5C5BCD38EF6D}"/>
  <tableColumns count="11">
    <tableColumn id="1" xr3:uid="{2FCE3FA8-A48C-4685-8919-AE44C6C71FD9}" name="Date" dataDxfId="18" dataCellStyle="Comma"/>
    <tableColumn id="2" xr3:uid="{5780FD5F-0890-44E6-B59C-8E37A559FE36}" name="Party Name" dataDxfId="17" dataCellStyle="Comma"/>
    <tableColumn id="3" xr3:uid="{5B3ECD85-9174-40AC-BFBD-49CAC97A83D3}" name="Bill Number" dataDxfId="16" dataCellStyle="Comma"/>
    <tableColumn id="4" xr3:uid="{11B50761-04B6-4262-AD4D-7182450037D1}" name="Quality" dataDxfId="15" dataCellStyle="Comma"/>
    <tableColumn id="5" xr3:uid="{2C556969-B713-4967-BD24-466AACCBE5F5}" name="Shipment Number" dataDxfId="14" totalsRowDxfId="13" dataCellStyle="Comma"/>
    <tableColumn id="6" xr3:uid="{F4E1FD2B-9017-4DEB-B772-BF447ECE56F7}" name="Kora/metre" dataDxfId="12" totalsRowDxfId="11" dataCellStyle="Comma"/>
    <tableColumn id="7" xr3:uid="{52ACC1DA-7A76-4A90-B809-3A1AE728E7EA}" name="Tiyaar/gaz" dataDxfId="10" totalsRowDxfId="9" dataCellStyle="Comma"/>
    <tableColumn id="8" xr3:uid="{31A0FF5E-56F0-44D1-9865-73256B964660}" name="shortage %" dataDxfId="8" totalsRowDxfId="7" dataCellStyle="Comma">
      <calculatedColumnFormula>_xlfn.XLOOKUP(Table1[[#This Row],[Shipment Number]], 'pivot '!A:A,'pivot '!G:G, "NF")</calculatedColumnFormula>
    </tableColumn>
    <tableColumn id="9" xr3:uid="{F99075E0-AC8E-094D-BB85-272AD2C6C568}" name="tiyar/meters" totalsRowFunction="custom" dataDxfId="6" totalsRowDxfId="5"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4" totalsRowDxfId="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2"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8" totalsRowCount="1" headerRowDxfId="155" headerRowBorderDxfId="154" tableBorderDxfId="153">
  <autoFilter ref="A1:I27" xr:uid="{F8E8C957-ABE7-4E4F-8D4E-7D44E26B334F}"/>
  <tableColumns count="9">
    <tableColumn id="1" xr3:uid="{C2E817D6-AB98-4DDD-8890-736B27F261CD}" name="Date" totalsRowLabel="." dataDxfId="152" totalsRowDxfId="97"/>
    <tableColumn id="2" xr3:uid="{CFB51890-CCDC-463C-81C9-3F8BD7469CB9}" name="Party Name"/>
    <tableColumn id="3" xr3:uid="{A113D971-1C9D-4733-99C4-BD0CC4333209}" name="Vehicle Number"/>
    <tableColumn id="4" xr3:uid="{49780304-3DD1-4AE9-98EE-2BC7EB8F3B57}" name="Weight" dataDxfId="151" totalsRowDxfId="96" dataCellStyle="Comma"/>
    <tableColumn id="5" xr3:uid="{FCAF1BC6-1D8C-42AD-8BBC-F924BF2DC7FE}" name="Rate" dataDxfId="150" totalsRowDxfId="95" dataCellStyle="Comma"/>
    <tableColumn id="6" xr3:uid="{8C70A624-4134-410C-9C45-9FDEB51D51BF}" name="Rent" dataDxfId="149" totalsRowDxfId="94" dataCellStyle="Comma"/>
    <tableColumn id="7" xr3:uid="{EBCE10AE-9634-4982-9C95-37ABC8A7078C}" name="Total" totalsRowFunction="sum" dataDxfId="148" totalsRowDxfId="93" dataCellStyle="Comma">
      <calculatedColumnFormula>D2*E2</calculatedColumnFormula>
    </tableColumn>
    <tableColumn id="9" xr3:uid="{D4788559-C94A-44D9-B9AE-E72B214355AC}" name="Paid" totalsRowFunction="sum" dataDxfId="147" totalsRowDxfId="92" dataCellStyle="Comma"/>
    <tableColumn id="8" xr3:uid="{E26F5BF0-1875-4FC6-994D-49F202ED562B}" name="balance" totalsRowFunction="sum" dataDxfId="146" totalsRowDxfId="9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21" totalsRowCount="1">
  <autoFilter ref="A1:G220" xr:uid="{CB032221-B416-47A8-9A76-693DE76CFD04}"/>
  <tableColumns count="7">
    <tableColumn id="1" xr3:uid="{554B1EED-65B6-4E9A-B646-82727FAC40DE}" name="Date" dataDxfId="145" totalsRowDxfId="101"/>
    <tableColumn id="2" xr3:uid="{32259059-42CF-4947-83DE-115AA430BE2B}" name="Party"/>
    <tableColumn id="3" xr3:uid="{A1320223-D55D-483C-91C3-AB19B95CC9D8}" name="Debit" totalsRowFunction="sum" dataDxfId="144" totalsRowDxfId="100" dataCellStyle="Comma"/>
    <tableColumn id="4" xr3:uid="{E9745767-9FF0-4B1C-9052-FF335D1D7588}" name="Credit" totalsRowFunction="sum" dataDxfId="143" totalsRowDxfId="99" dataCellStyle="Comma"/>
    <tableColumn id="5" xr3:uid="{5C88A48E-2467-4E6D-B626-2442B7FD0BE4}" name="Description"/>
    <tableColumn id="6" xr3:uid="{63CA4666-144E-4BE6-8B7C-7CB992BD3041}" name="Mode" totalsRowFunction="custom" dataDxfId="142" totalsRowDxfId="98">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41" tableBorderDxfId="140" totalsRowBorderDxfId="139">
  <autoFilter ref="J3:K6" xr:uid="{DCE01694-23ED-48BF-8B92-4186B9ED10A8}"/>
  <tableColumns count="2">
    <tableColumn id="1" xr3:uid="{C8484DAF-2989-4C2F-9AEC-A6917E1C57F6}" name="Type" dataDxfId="138"/>
    <tableColumn id="2" xr3:uid="{B07B7A2A-4D4E-4654-BED6-FE2F0A7BEC34}" name="Amount" dataDxfId="13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36" headerRowBorderDxfId="135" tableBorderDxfId="134" totalsRowBorderDxfId="133">
  <autoFilter ref="M3:O6" xr:uid="{D166BDD1-ACD7-45D7-8AE9-7350373F8CEB}"/>
  <tableColumns count="3">
    <tableColumn id="1" xr3:uid="{64F0205E-DEA7-4571-BA86-E4374A5FEE28}" name="Type" totalsRowLabel="Total" dataDxfId="132" totalsRowDxfId="131"/>
    <tableColumn id="2" xr3:uid="{15FA05F9-789C-4459-9BE0-5C1EC84D3365}" name="amount" totalsRowFunction="custom" dataDxfId="130" totalsRowDxfId="129">
      <totalsRowFormula>SUM(N5:N6)</totalsRowFormula>
    </tableColumn>
    <tableColumn id="3" xr3:uid="{3681D409-90C6-44D0-BDE2-4B5943A516F0}" name="Actual" totalsRowFunction="custom" totalsRowDxfId="12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27" totalsRowDxfId="126"/>
    <tableColumn id="2" xr3:uid="{5B9D0FEE-4304-4C5C-A05C-5B27CF7841D3}" name="Type"/>
    <tableColumn id="3" xr3:uid="{6A91CA0D-C802-4C6F-9F39-CA53687E8EDE}" name="Description"/>
    <tableColumn id="4" xr3:uid="{A251D40C-AB87-4BB4-85F8-444B20E32FDF}" name="Total" totalsRowFunction="custom" dataDxfId="125" totalsRowDxfId="12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123" headerRowBorderDxfId="122">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2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12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119" headerRowBorderDxfId="118">
  <autoFilter ref="A4:H12" xr:uid="{A4C80688-A8BA-4BA7-90B4-791CD99446B4}"/>
  <sortState xmlns:xlrd2="http://schemas.microsoft.com/office/spreadsheetml/2017/richdata2" ref="A5:H5">
    <sortCondition ref="A4:A5"/>
  </sortState>
  <tableColumns count="8">
    <tableColumn id="1" xr3:uid="{4A818912-918E-4111-ACFC-BC93FEF7C1AD}" name="Date" dataDxfId="117" totalsRowDxfId="90"/>
    <tableColumn id="8" xr3:uid="{477ACFD5-62AF-4F69-974B-E9B974C11D7D}" name="Party Name" dataDxfId="11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115">
      <calculatedColumnFormula>SUMIFS(Table14[Debit], Table14[Date], Table2[[#This Row],[Date]], Table14[Party], Table2[[#This Row],[Party Name]])</calculatedColumnFormula>
    </tableColumn>
    <tableColumn id="7" xr3:uid="{BB689DF2-5D1E-436D-84C4-9745D88E8F3D}" name="Balance" totalsRowFunction="sum" dataDxfId="114">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113" totalsRowDxfId="112"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111" totalsRowDxfId="1"/>
    <tableColumn id="2" xr3:uid="{053BFC14-4828-417C-9F9F-95B6E232A945}" name="Amount" totalsRowFunction="custom" dataDxfId="110" totalsRowDxfId="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09" totalsRowDxfId="108"/>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7" totalsRowDxfId="10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05" totalsRowDxfId="10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103">
      <calculatedColumnFormula>Billing!O5</calculatedColumnFormula>
    </tableColumn>
    <tableColumn id="2" xr3:uid="{7093A59E-B58F-487D-888A-9AA8156B5F9A}" name="Amount Paid" dataDxfId="102">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2"/>
  <sheetViews>
    <sheetView topLeftCell="A2" zoomScale="89" workbookViewId="0">
      <selection activeCell="G17" sqref="G17"/>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336473.11631309439</v>
      </c>
      <c r="D4">
        <v>10</v>
      </c>
      <c r="E4" s="14">
        <f>(SUMIFS(ledger!G:G, ledger!B:B, B4, ledger!E:E, "&lt;&gt;*RD*",ledger!D:D, "Silky") / 1.0936)*12 + (SUMIFS(ledger!G:G, ledger!B:B, B4, ledger!E:E, "&lt;&gt;*RD*",ledger!D:D, "Chamki") / 1.0936)*10</f>
        <v>3082251.2801755676</v>
      </c>
      <c r="I4" s="4" t="s">
        <v>9</v>
      </c>
      <c r="J4" s="5">
        <v>26169.531821506953</v>
      </c>
      <c r="K4" s="18">
        <v>261695.31821506954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336473.11631309439</v>
      </c>
      <c r="K5" s="18">
        <v>3082251.2801755676</v>
      </c>
      <c r="O5" s="25" t="str" cm="1">
        <f t="array" ref="O5:O13">_xlfn.UNIQUE(Table1[Party Name])</f>
        <v>BSC</v>
      </c>
      <c r="P5" s="23" cm="1">
        <f t="array" ref="P5">_xlfn.BYROW(B26,_xlfn.LAMBDA(_xlpm.party,SUMIFS(ledger!G:G,ledger!B:B,_xlpm.party,ledger!E:E,"&lt;&gt;*RD*")))+_xlfn.IFNA(C44,0)</f>
        <v>821010</v>
      </c>
      <c r="Q5" s="23" cm="1">
        <f t="array" ref="Q5">_xlfn.BYROW(B26, _xlfn.LAMBDA(_xlpm.party, SUMIFS(ledger!G:G, ledger!B:B, _xlpm.party, ledger!E:E, "&lt;&gt;*RD*") / 1.0936 ))+_xlfn.IFNA(D44,0)</f>
        <v>750740.67300658382</v>
      </c>
      <c r="R5" s="23" cm="1">
        <f t="array" ref="R5">(_xlfn.BYROW(B26,_xlfn.LAMBDA(_xlpm.party,SUMIFS(ledger!G:G,ledger!B:B,_xlpm.party,ledger!E:E,"&lt;&gt;*RD*",ledger!D:D,"Chamki")+SUMIFS(ledger!G:G, ledger!B:B, _xlpm.party, ledger!E:E, "&lt;&gt;*RD*", ledger!D:D, "Crinkle")))/1.0936)+_xlfn.IFNA(E44,0)</f>
        <v>750740.67300658382</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7507406.7300658375</v>
      </c>
      <c r="U5" s="23" cm="1">
        <f t="array" ref="U5">(_xlfn.BYROW(B26,_xlfn.LAMBDA(_xlpm.party,SUMIFS(ledger!G:G,ledger!B:B,_xlpm.party,ledger!E:E,"&lt;&gt;*RD*",ledger!D:D, "Silky")/1.0936))* 12)+_xlfn.IFNA(H44,0)</f>
        <v>0</v>
      </c>
      <c r="V5" s="44">
        <f>T5+U5</f>
        <v>7507406.7300658375</v>
      </c>
      <c r="W5" s="23">
        <f>(SUMIF(Table14[Party],O5,Table14[Credit]))+_xlfn.IFNA(J44,0)</f>
        <v>6270100</v>
      </c>
      <c r="X5" s="98">
        <f>V5-W5</f>
        <v>1237306.7300658375</v>
      </c>
      <c r="Y5" s="22">
        <v>10</v>
      </c>
      <c r="Z5" s="22">
        <v>12</v>
      </c>
    </row>
    <row r="6" spans="2:26" x14ac:dyDescent="0.3">
      <c r="B6" t="str">
        <f t="shared" si="0"/>
        <v>Arshad</v>
      </c>
      <c r="C6" s="18">
        <f>SUMIFS(ledger!G:G, ledger!B:B, B6, ledger!E:E, "&lt;&gt;*RD*") / 1.0936</f>
        <v>26169.531821506953</v>
      </c>
      <c r="D6">
        <v>10</v>
      </c>
      <c r="E6" s="14">
        <f>(SUMIFS(ledger!G:G, ledger!B:B, B6, ledger!E:E, "&lt;&gt;*RD*",ledger!D:D, "Silky") / 1.0936)*12 + (SUMIFS(ledger!G:G, ledger!B:B, B6, ledger!E:E, "&lt;&gt;*RD*",ledger!D:D, "Chamki") / 1.0936)*10</f>
        <v>261695.31821506954</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112299</v>
      </c>
      <c r="Q7" s="23" cm="1">
        <f t="array" ref="Q7">_xlfn.BYROW(B28, _xlfn.LAMBDA(_xlpm.party, SUMIFS(ledger!G:G, ledger!B:B, _xlpm.party, ledger!E:E, "&lt;&gt;*RD*") / 1.0936 ))+_xlfn.IFNA(D46,0)</f>
        <v>102687.45427944405</v>
      </c>
      <c r="R7" s="23" cm="1">
        <f t="array" ref="R7">(_xlfn.BYROW(B28,_xlfn.LAMBDA(_xlpm.party,SUMIFS(ledger!G:G,ledger!B:B,_xlpm.party,ledger!E:E,"&lt;&gt;*RD*",ledger!D:D,"Chamki")+SUMIFS(ledger!G:G, ledger!B:B, _xlpm.party, ledger!E:E, "&lt;&gt;*RD*", ledger!D:D, "Crinkle")))/1.0936)+_xlfn.IFNA(E46,0)</f>
        <v>102687.45427944405</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1026874.5427944404</v>
      </c>
      <c r="U7" s="23" cm="1">
        <f t="array" ref="U7">(_xlfn.BYROW(B28,_xlfn.LAMBDA(_xlpm.party,SUMIFS(ledger!G:G,ledger!B:B,_xlpm.party,ledger!E:E,"&lt;&gt;*RD*",ledger!D:D, "Silky")/1.0936))* 12)+_xlfn.IFNA(H46,0)</f>
        <v>0</v>
      </c>
      <c r="V7" s="44">
        <f t="shared" si="1"/>
        <v>1026874.5427944404</v>
      </c>
      <c r="W7" s="23">
        <f>(SUMIF(Table14[Party],O7,Table14[Credit]))+_xlfn.IFNA(J46,0)</f>
        <v>554210</v>
      </c>
      <c r="X7" s="98">
        <f>V7-W7</f>
        <v>472664.54279444041</v>
      </c>
      <c r="Y7" s="22">
        <v>10</v>
      </c>
      <c r="Z7" s="22">
        <v>12</v>
      </c>
    </row>
    <row r="8" spans="2:26" x14ac:dyDescent="0.3">
      <c r="B8" t="str">
        <f t="shared" si="0"/>
        <v>Sufi Nawaz Sahab</v>
      </c>
      <c r="C8" s="18">
        <f>SUMIFS(ledger!G:G, ledger!B:B, B8, ledger!E:E, "&lt;&gt;*RD*") / 1.0936</f>
        <v>133784.74762253111</v>
      </c>
      <c r="D8">
        <v>10</v>
      </c>
      <c r="E8" s="14">
        <f>((SUMIFS(ledger!G:G, ledger!B:B, B8, ledger!E:E, "&lt;&gt;*RD*",ledger!D:D, "Silky") / 1.0936) *12) + ((SUMIFS(ledger!G:G, ledger!B:B, B8, ledger!E:E, "&lt;&gt;*RD*",ledger!D:D, "Chamki") / 1.0936)* 9)</f>
        <v>1294342.5384052671</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600000</v>
      </c>
      <c r="X8" s="98">
        <f t="shared" ref="X8:X17" si="2">V8-W8</f>
        <v>273134.14411119244</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133784.74762253111</v>
      </c>
      <c r="K9" s="18">
        <v>1294342.5384052671</v>
      </c>
      <c r="O9" s="25" t="str">
        <v>Sufi Nawaz Sahab</v>
      </c>
      <c r="P9" s="23" cm="1">
        <f t="array" ref="P9">_xlfn.BYROW(B30,_xlfn.LAMBDA(_xlpm.party,SUMIFS(ledger!G:G,ledger!B:B,_xlpm.party,ledger!E:E,"&lt;&gt;*RD*")))+_xlfn.IFNA(C48,0)</f>
        <v>298842</v>
      </c>
      <c r="Q9" s="23" cm="1">
        <f t="array" ref="Q9">_xlfn.BYROW(B30, _xlfn.LAMBDA(_xlpm.party, SUMIFS(ledger!G:G, ledger!B:B, _xlpm.party, ledger!E:E, "&lt;&gt;*RD*") / 1.0936 ))+_xlfn.IFNA(D48,0)</f>
        <v>273264.44769568404</v>
      </c>
      <c r="R9" s="23" cm="1">
        <f t="array" ref="R9">(_xlfn.BYROW(B30,_xlfn.LAMBDA(_xlpm.party,SUMIFS(ledger!G:G,ledger!B:B,_xlpm.party,ledger!E:E,"&lt;&gt;*RD*",ledger!D:D,"Chamki")+SUMIFS(ledger!G:G, ledger!B:B, _xlpm.party, ledger!E:E, "&lt;&gt;*RD*", ledger!D:D, "Crinkle")))/1.0936)+_xlfn.IFNA(E48,0)</f>
        <v>223087.96634967084</v>
      </c>
      <c r="S9" s="78" cm="1">
        <f t="array" ref="S9">(_xlfn.BYROW(B30,_xlfn.LAMBDA(_xlpm.party,SUMIFS(ledger!G:G,ledger!B:B,_xlpm.party,ledger!E:E,"&lt;&gt;*RD*",ledger!D:D,"Silky")))/1.0936)+_xlfn.IFNA(F48,0)</f>
        <v>50176.48134601317</v>
      </c>
      <c r="T9" s="23" cm="1">
        <f t="array" ref="T9">(_xlfn.BYROW(B30,_xlfn.LAMBDA(_xlpm.party,(SUMIFS(ledger!G:G,ledger!B:B,_xlpm.party,ledger!E:E,"&lt;&gt;*RD*",ledger!D:D, "Chamki")+SUMIFS(ledger!G:G, ledger!B:B, _xlpm.party, ledger!E:E, "&lt;&gt;*RD*", ledger!D:D, "Crinkle"))/1.0936))*L30)+_xlfn.IFNA(G48,0)</f>
        <v>2007791.6971470376</v>
      </c>
      <c r="U9" s="23" cm="1">
        <f t="array" ref="U9">(_xlfn.BYROW(B30,_xlfn.LAMBDA(_xlpm.party,SUMIFS(ledger!G:G,ledger!B:B,_xlpm.party,ledger!E:E,"&lt;&gt;*RD*",ledger!D:D, "Silky")/1.0936))* 12)+_xlfn.IFNA(H48,0)</f>
        <v>602117.77615215804</v>
      </c>
      <c r="V9" s="44">
        <f t="shared" si="1"/>
        <v>2609909.4732991955</v>
      </c>
      <c r="W9" s="23">
        <f>(SUMIF(Table14[Party],O9,Table14[Credit]))+_xlfn.IFNA(J48,0)</f>
        <v>1979100</v>
      </c>
      <c r="X9" s="98">
        <f t="shared" si="2"/>
        <v>630809.47329919552</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1300000</v>
      </c>
      <c r="X10" s="98">
        <f t="shared" si="2"/>
        <v>1210570.5925384052</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f t="shared" si="3"/>
        <v>0</v>
      </c>
      <c r="C13" s="18">
        <f>SUMIFS(ledger!G:G, ledger!B:B, B13, ledger!E:E, "&lt;&gt;*RD*") / 1.0936</f>
        <v>0</v>
      </c>
      <c r="E13" s="14">
        <f>(SUMIFS(ledger!G:G, ledger!B:B, B13, ledger!E:E, "&lt;&gt;*RD*",ledger!D:D, "Silky") / 1.0936)*12 + (SUMIFS(ledger!G:G, ledger!B:B, B13, ledger!E:E, "&lt;&gt;*RD*",ledger!D:D, "Chamki") / 1.0936)*10</f>
        <v>0</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28</v>
      </c>
      <c r="J14" s="14">
        <v>644323.335771763</v>
      </c>
      <c r="K14" s="14">
        <v>6117248.53694221</v>
      </c>
      <c r="O14" s="25"/>
      <c r="P14" s="23" cm="1">
        <f t="array" ref="P14">_xlfn.BYROW(B35,_xlfn.LAMBDA(_xlpm.party,SUMIFS(ledger!G:G,ledger!B:B,_xlpm.party,ledger!E:E,"&lt;&gt;*RD*")))+_xlfn.IFNA(C53,0)</f>
        <v>0</v>
      </c>
      <c r="Q14" s="23" cm="1">
        <f t="array" ref="Q14">_xlfn.BYROW(B35, _xlfn.LAMBDA(_xlpm.party, SUMIFS(ledger!G:G, ledger!B:B, _xlpm.party, ledger!E:E, "&lt;&gt;*RD*") / 1.0936 ))+_xlfn.IFNA(D53,0)</f>
        <v>0</v>
      </c>
      <c r="R14" s="23" cm="1">
        <f t="array" ref="R14">(_xlfn.BYROW(B35,_xlfn.LAMBDA(_xlpm.party,SUMIFS(ledger!G:G,ledger!B:B,_xlpm.party,ledger!E:E,"&lt;&gt;*RD*",ledger!D:D,"Chamki")+SUMIFS(ledger!G:G, ledger!B:B, _xlpm.party, ledger!E:E, "&lt;&gt;*RD*", ledger!D:D, "Crinkle")))/1.0936)+_xlfn.IFNA(E53,0)</f>
        <v>0</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0</v>
      </c>
      <c r="U14" s="23" cm="1">
        <f t="array" ref="U14">(_xlfn.BYROW(B35,_xlfn.LAMBDA(_xlpm.party,SUMIFS(ledger!G:G,ledger!B:B,_xlpm.party,ledger!E:E,"&lt;&gt;*RD*",ledger!D:D, "Silky")/1.0936))* 12)+_xlfn.IFNA(H53,0)</f>
        <v>0</v>
      </c>
      <c r="V14" s="44">
        <f t="shared" si="4"/>
        <v>0</v>
      </c>
      <c r="W14" s="23">
        <f>(SUMIF(Table14[Party],O14,Table14[Credit]))+_xlfn.IFNA(J53,0)</f>
        <v>0</v>
      </c>
      <c r="X14" s="42">
        <f t="shared" si="2"/>
        <v>0</v>
      </c>
      <c r="Y14" s="22">
        <v>10</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6399728.4198975861</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SUM(OFFSET(I26,0,0,COUNTA(I:I)-ROW(I26)+9))</f>
        <v>6399728.4198975861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4">_xlfn.UNIQUE(Table1[Party Name])</f>
        <v>BSC</v>
      </c>
      <c r="C26" s="23" cm="1">
        <f t="array" ref="C26:C34">_xlfn.BYROW(_xlfn.ANCHORARRAY(B26),_xlfn.LAMBDA(_xlpm.party,SUMIFS(ledger!G:G,ledger!B:B,_xlpm.party,ledger!E:E,"&lt;&gt;*RD*")))</f>
        <v>367967</v>
      </c>
      <c r="D26" s="23" cm="1">
        <f t="array" ref="D26:D34">_xlfn.BYROW(_xlfn.ANCHORARRAY(B26), _xlfn.LAMBDA(_xlpm.party, SUMIFS(ledger!G:G, ledger!B:B, _xlpm.party, ledger!E:E, "&lt;&gt;*RD*") / 1.0936 ))</f>
        <v>336473.11631309439</v>
      </c>
      <c r="E26" s="71" cm="1">
        <f t="array" ref="E26:E34">(_xlfn.BYROW(_xlfn.ANCHORARRAY(B26),_xlfn.LAMBDA(_xlpm.party,SUMIFS(ledger!G:G,ledger!B:B,_xlpm.party,ledger!E:E,"&lt;&gt;*RD*",ledger!D:D,"Chamki")+SUMIFS(ledger!G:G, ledger!B:B, _xlpm.party, ledger!E:E, "&lt;&gt;*RD*", ledger!D:D, "Crinkle")))/1.0936)</f>
        <v>336473.11631309439</v>
      </c>
      <c r="F26" s="78" cm="1">
        <f t="array" ref="F26:F34">(_xlfn.BYROW(_xlfn.ANCHORARRAY(B26),_xlfn.LAMBDA(_xlpm.party,SUMIFS(ledger!G:G,ledger!B:B,_xlpm.party,ledger!E:E,"&lt;&gt;*RD*",ledger!D:D,"Silky")))/1.0936)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3364731.1631309437</v>
      </c>
      <c r="H26" s="23" cm="1">
        <f t="array" ref="H26">(_xlfn.BYROW(B26,_xlfn.LAMBDA(_xlpm.party,SUMIFS(ledger!G:G,ledger!B:B,_xlpm.party,ledger!E:E,"&lt;&gt;*RD*",ledger!D:D, "Silky")/1.0936))* M26)</f>
        <v>0</v>
      </c>
      <c r="I26" s="44">
        <f t="shared" ref="I26:I34" si="7">G26+H26</f>
        <v>3364731.1631309437</v>
      </c>
      <c r="J26" s="23">
        <f>(SUMIF(Table14[Party],B26,Table14[Credit]))</f>
        <v>2441262</v>
      </c>
      <c r="K26" s="42">
        <f>I26-J26</f>
        <v>923469.16313094366</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28619</v>
      </c>
      <c r="D28" s="23">
        <v>26169.531821506953</v>
      </c>
      <c r="E28" s="71">
        <v>26169.531821506953</v>
      </c>
      <c r="F28" s="78">
        <v>0</v>
      </c>
      <c r="G28" s="23" cm="1">
        <f t="array" ref="G28">(_xlfn.BYROW(B28,_xlfn.LAMBDA(_xlpm.party,(SUMIFS(ledger!G:G,ledger!B:B,_xlpm.party,ledger!E:E,"&lt;&gt;*RD*",ledger!D:D, "Chamki")+SUMIFS(ledger!G:G, ledger!B:B, _xlpm.party, ledger!E:E, "&lt;&gt;*RD*", ledger!D:D, "Crinkle"))/1.0936))*L28)</f>
        <v>261695.31821506954</v>
      </c>
      <c r="H28" s="23" cm="1">
        <f t="array" ref="H28">(_xlfn.BYROW(B28,_xlfn.LAMBDA(_xlpm.party,SUMIFS(ledger!G:G,ledger!B:B,_xlpm.party,ledger!E:E,"&lt;&gt;*RD*",ledger!D:D, "Silky")/1.0936))* M28)</f>
        <v>0</v>
      </c>
      <c r="I28" s="44">
        <f t="shared" si="7"/>
        <v>261695.31821506954</v>
      </c>
      <c r="J28" s="23">
        <f>(SUMIF(Table14[Party],B28,Table14[Credit]))</f>
        <v>454210</v>
      </c>
      <c r="K28" s="42">
        <f>I28-J28</f>
        <v>-192514.68178493046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250000</v>
      </c>
      <c r="K29" s="42">
        <f t="shared" ref="K29:K32" si="8">I29-J29</f>
        <v>-250000</v>
      </c>
      <c r="L29" s="22">
        <v>10.5</v>
      </c>
      <c r="M29" s="22">
        <v>13</v>
      </c>
    </row>
    <row r="30" spans="1:26" x14ac:dyDescent="0.3">
      <c r="B30" s="25" t="str">
        <v>Sufi Nawaz Sahab</v>
      </c>
      <c r="C30" s="23">
        <v>146307</v>
      </c>
      <c r="D30" s="23">
        <v>133784.74762253111</v>
      </c>
      <c r="E30" s="71">
        <v>103691.4776883687</v>
      </c>
      <c r="F30" s="78">
        <v>30093.269934162403</v>
      </c>
      <c r="G30" s="23" cm="1">
        <f t="array" ref="G30">(_xlfn.BYROW(B30,_xlfn.LAMBDA(_xlpm.party,(SUMIFS(ledger!G:G,ledger!B:B,_xlpm.party,ledger!E:E,"&lt;&gt;*RD*",ledger!D:D, "Chamki")+SUMIFS(ledger!G:G, ledger!B:B, _xlpm.party, ledger!E:E, "&lt;&gt;*RD*", ledger!D:D, "Crinkle"))/1.0936))*L30)</f>
        <v>933223.29919531825</v>
      </c>
      <c r="H30" s="23" cm="1">
        <f t="array" ref="H30">(_xlfn.BYROW(B30,_xlfn.LAMBDA(_xlpm.party,SUMIFS(ledger!G:G,ledger!B:B,_xlpm.party,ledger!E:E,"&lt;&gt;*RD*",ledger!D:D, "Silky")/1.0936))* M30)</f>
        <v>361119.23920994881</v>
      </c>
      <c r="I30" s="44">
        <f t="shared" si="7"/>
        <v>1294342.5384052671</v>
      </c>
      <c r="J30" s="23">
        <f>(SUMIF(Table14[Party],B30,Table14[Credit]))</f>
        <v>1679100</v>
      </c>
      <c r="K30" s="42">
        <f t="shared" si="8"/>
        <v>-384757.46159473294</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1000000</v>
      </c>
      <c r="K31" s="42">
        <f t="shared" si="8"/>
        <v>-53639.356254571932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c r="C35" s="23"/>
      <c r="D35" s="23"/>
      <c r="E35" s="71"/>
      <c r="F35" s="22"/>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c r="M35" s="22"/>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c r="M36" s="22"/>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c r="M37" s="22"/>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c r="M38" s="22"/>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2">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2">+_xlfn.XLOOKUP(_xlfn.ANCHORARRAY(B26),[1]Billing!$B$21:$B$29,[1]Billing!$F$21:$F$29)</f>
        <v>0</v>
      </c>
      <c r="G44" s="23" cm="1">
        <f t="array" ref="G44:G52">_xlfn.XLOOKUP(_xlfn.ANCHORARRAY(B26),[1]Billing!$B$21:$B$29,[1]Billing!$G$21:$G$29)</f>
        <v>4142675.5669348943</v>
      </c>
      <c r="H44" s="23" cm="1">
        <f t="array" ref="H44:H52">+_xlfn.XLOOKUP(_xlfn.ANCHORARRAY(B26),[1]Billing!$B$21:$B$29,[1]Billing!$H$21:$H$29)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workbookViewId="0">
      <selection activeCell="B7" sqref="B7"/>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2">_xlfn.UNIQUE(Table1[Party Name])</f>
        <v>BSC</v>
      </c>
    </row>
    <row r="5" spans="2:10" x14ac:dyDescent="0.3">
      <c r="J5" t="str">
        <v>Ejaz Sahab</v>
      </c>
    </row>
    <row r="6" spans="2:10" ht="21" x14ac:dyDescent="0.4">
      <c r="B6" s="72" t="s">
        <v>23</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 INDEX(Billing!P5:P19, _xlfn.SEQUENCE(ROWS(_xlfn.ANCHORARRAY(Billing!$O$5)))), "Not Found")</f>
        <v>90939</v>
      </c>
      <c r="J8" t="str">
        <v>Sufi Nawaz Sahab</v>
      </c>
    </row>
    <row r="9" spans="2:10" ht="18" x14ac:dyDescent="0.35">
      <c r="B9" s="63"/>
      <c r="C9" s="74"/>
      <c r="D9" s="74"/>
      <c r="J9" t="str">
        <v>Sajad Khan</v>
      </c>
    </row>
    <row r="10" spans="2:10" ht="18" x14ac:dyDescent="0.35">
      <c r="B10" s="63" t="s">
        <v>41</v>
      </c>
      <c r="C10" s="74"/>
      <c r="D10" s="76" cm="1">
        <f t="array" ref="D10">_xlfn.XLOOKUP($B$6,_xlfn.ANCHORARRAY( Billing!$O$5), INDEX(Billing!Q5:Q20, _xlfn.SEQUENCE(ROWS(_xlfn.ANCHORARRAY(Billing!$O$5)))), "Not Found")</f>
        <v>83155.632772494515</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10.5</v>
      </c>
      <c r="D12" s="74" cm="1">
        <f t="array" ref="D12">_xlfn.XLOOKUP($B$6,_xlfn.ANCHORARRAY( Billing!$O$5), INDEX(Billing!R5:R19, _xlfn.SEQUENCE(ROWS(_xlfn.ANCHORARRAY(Billing!$O$5)))), "Not Found")</f>
        <v>83155.632772494515</v>
      </c>
      <c r="J12" t="str">
        <v>Ubaidullah</v>
      </c>
    </row>
    <row r="13" spans="2:10" ht="18" x14ac:dyDescent="0.35">
      <c r="B13" s="73"/>
      <c r="C13" s="75"/>
      <c r="D13" s="75"/>
    </row>
    <row r="14" spans="2:10" ht="18" x14ac:dyDescent="0.35">
      <c r="B14" s="63" t="s">
        <v>43</v>
      </c>
      <c r="C14" s="74" cm="1">
        <f t="array" aca="1" ref="C14" ca="1">_xlfn.XLOOKUP($B$6,_xlfn.ANCHORARRAY( Billing!$B$26), OFFSET(Billing!M26, 0, 0, ROWS(_xlfn.ANCHORARRAY(Billing!$B$26))), "Not Found")</f>
        <v>13</v>
      </c>
      <c r="D14" s="74" cm="1">
        <f t="array" ref="D14">_xlfn.XLOOKUP($B$6,_xlfn.ANCHORARRAY( Billing!$O$5), INDEX(Billing!S5:S19, _xlfn.SEQUENCE(ROWS(_xlfn.ANCHORARRAY(Billing!$O$5)))),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873134.14411119244</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600000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273134.14411119244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3332140</v>
      </c>
    </row>
    <row r="5" spans="1:4" x14ac:dyDescent="0.3">
      <c r="B5" t="s">
        <v>51</v>
      </c>
      <c r="C5" s="11">
        <f>SUM(Table8[Price])</f>
        <v>1000350</v>
      </c>
    </row>
    <row r="6" spans="1:4" x14ac:dyDescent="0.3">
      <c r="B6" t="s">
        <v>52</v>
      </c>
      <c r="C6" s="11">
        <f>SUM(Table2[Price])</f>
        <v>478400</v>
      </c>
    </row>
    <row r="7" spans="1:4" x14ac:dyDescent="0.3">
      <c r="B7" t="s">
        <v>53</v>
      </c>
      <c r="C7" s="11">
        <f>SUMIFS(Table14[Debit], Table14[Party],Table12[[#This Row],[Type]])</f>
        <v>38935</v>
      </c>
    </row>
    <row r="8" spans="1:4" x14ac:dyDescent="0.3">
      <c r="B8" t="s">
        <v>54</v>
      </c>
      <c r="C8" s="11">
        <f>Electricity!E3</f>
        <v>0</v>
      </c>
    </row>
    <row r="9" spans="1:4" x14ac:dyDescent="0.3">
      <c r="B9" t="s">
        <v>55</v>
      </c>
      <c r="C9" s="11">
        <f>Table11[[#Totals],[Amount]]+'Salary Acc'!I35</f>
        <v>308400</v>
      </c>
    </row>
    <row r="10" spans="1:4" x14ac:dyDescent="0.3">
      <c r="B10" t="s">
        <v>56</v>
      </c>
      <c r="C10" s="11">
        <f>Table5[[#Totals],[Amount]]</f>
        <v>46699</v>
      </c>
    </row>
    <row r="11" spans="1:4" x14ac:dyDescent="0.3">
      <c r="B11" t="s">
        <v>57</v>
      </c>
      <c r="C11" s="11">
        <f>Table13[[#Totals],[Debit]]</f>
        <v>86035</v>
      </c>
    </row>
    <row r="12" spans="1:4" x14ac:dyDescent="0.3">
      <c r="B12" t="s">
        <v>58</v>
      </c>
      <c r="C12" s="11">
        <f>Table15[[#Totals],[Amount]]</f>
        <v>257261</v>
      </c>
    </row>
    <row r="13" spans="1:4" x14ac:dyDescent="0.3">
      <c r="C13" s="11"/>
    </row>
    <row r="14" spans="1:4" x14ac:dyDescent="0.3">
      <c r="C14" s="14">
        <f>SUM(Table12[Amount])</f>
        <v>5548220</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I15" sqref="I15"/>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6399728.4198975861</v>
      </c>
      <c r="D3" t="s">
        <v>71</v>
      </c>
    </row>
    <row r="4" spans="1:4" x14ac:dyDescent="0.3">
      <c r="B4" s="11" t="s">
        <v>47</v>
      </c>
      <c r="C4" s="11">
        <f>Table12[[#Totals],[Amount]]</f>
        <v>5548220</v>
      </c>
    </row>
    <row r="5" spans="1:4" x14ac:dyDescent="0.3">
      <c r="A5" s="6"/>
      <c r="B5" s="15" t="s">
        <v>72</v>
      </c>
      <c r="C5" s="15">
        <f ca="1">C3-C4</f>
        <v>851508.41989758611</v>
      </c>
    </row>
    <row r="10" spans="1:4" ht="15" thickBot="1" x14ac:dyDescent="0.35">
      <c r="B10" t="s">
        <v>69</v>
      </c>
      <c r="C10" s="14" t="s">
        <v>70</v>
      </c>
    </row>
    <row r="11" spans="1:4" x14ac:dyDescent="0.3">
      <c r="B11" s="64" t="s">
        <v>0</v>
      </c>
      <c r="C11" s="65">
        <f ca="1">C3</f>
        <v>6399728.4198975861</v>
      </c>
    </row>
    <row r="12" spans="1:4" x14ac:dyDescent="0.3">
      <c r="B12" s="66" t="s">
        <v>73</v>
      </c>
      <c r="C12" s="67">
        <f>SUM(Table14[Credit])</f>
        <v>6084987</v>
      </c>
    </row>
    <row r="13" spans="1:4" ht="15" thickBot="1" x14ac:dyDescent="0.35">
      <c r="B13" s="82" t="s">
        <v>74</v>
      </c>
      <c r="C13" s="81">
        <f ca="1">(C11-C12)</f>
        <v>314741.41989758611</v>
      </c>
    </row>
    <row r="14" spans="1:4" ht="15" thickBot="1" x14ac:dyDescent="0.35">
      <c r="B14" s="66"/>
      <c r="C14" s="67"/>
    </row>
    <row r="15" spans="1:4" x14ac:dyDescent="0.3">
      <c r="B15" s="64" t="s">
        <v>47</v>
      </c>
      <c r="C15" s="65">
        <f>C4</f>
        <v>5548220</v>
      </c>
    </row>
    <row r="16" spans="1:4" x14ac:dyDescent="0.3">
      <c r="B16" s="66" t="s">
        <v>75</v>
      </c>
      <c r="C16" s="67">
        <f>SUM(Table14[Debit])</f>
        <v>5515440</v>
      </c>
    </row>
    <row r="17" spans="2:6" ht="15" thickBot="1" x14ac:dyDescent="0.35">
      <c r="B17" s="82" t="s">
        <v>76</v>
      </c>
      <c r="C17" s="81">
        <f>C15-C16</f>
        <v>32780</v>
      </c>
    </row>
    <row r="18" spans="2:6" ht="15" thickBot="1" x14ac:dyDescent="0.35">
      <c r="B18" s="66"/>
      <c r="C18" s="67"/>
    </row>
    <row r="19" spans="2:6" ht="15" thickBot="1" x14ac:dyDescent="0.35">
      <c r="B19" s="83" t="s">
        <v>77</v>
      </c>
      <c r="C19" s="84">
        <f>Table18[[#Totals],[amount]]</f>
        <v>569547</v>
      </c>
    </row>
    <row r="20" spans="2:6" ht="15" thickBot="1" x14ac:dyDescent="0.35">
      <c r="B20" s="79"/>
      <c r="C20" s="80"/>
    </row>
    <row r="21" spans="2:6" ht="15" thickBot="1" x14ac:dyDescent="0.35">
      <c r="B21" s="68" t="s">
        <v>78</v>
      </c>
      <c r="C21" s="69">
        <f ca="1">(C13-C17)+C19</f>
        <v>851508.41989758611</v>
      </c>
      <c r="E21" s="87" t="s">
        <v>79</v>
      </c>
      <c r="F21" s="88">
        <f ca="1">C5*0.05</f>
        <v>42575.420994879307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80</v>
      </c>
      <c r="C2" t="s">
        <v>48</v>
      </c>
      <c r="D2" t="s">
        <v>75</v>
      </c>
      <c r="E2" t="s">
        <v>73</v>
      </c>
      <c r="F2" t="s">
        <v>81</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0</v>
      </c>
      <c r="E19">
        <f>SUMIFS(Table14[Credit], Table14[Date], Table13[[#This Row],[Date]], Table14[Party], "Transport")</f>
        <v>0</v>
      </c>
    </row>
    <row r="20" spans="2:5" x14ac:dyDescent="0.3">
      <c r="B20" s="1">
        <v>45903</v>
      </c>
      <c r="D20">
        <f>SUMIFS(Table14[Debit], Table14[Date], Table13[[#This Row],[Date]], Table14[Party], "Transport")</f>
        <v>0</v>
      </c>
      <c r="E20">
        <f>SUMIFS(Table14[Credit], Table14[Date], Table13[[#This Row],[Date]], Table14[Party], "Transport")</f>
        <v>0</v>
      </c>
    </row>
    <row r="21" spans="2:5" x14ac:dyDescent="0.3">
      <c r="B21" s="1">
        <v>45904</v>
      </c>
      <c r="D21">
        <f>SUMIFS(Table14[Debit], Table14[Date], Table13[[#This Row],[Date]], Table14[Party], "Transport")</f>
        <v>0</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86035</v>
      </c>
      <c r="E35">
        <f>SUBTOTAL(109,Table13[Credit])</f>
        <v>0</v>
      </c>
      <c r="F35">
        <f>Table13[[#Totals],[Debit]]-Table13[[#Totals],[Credit]]</f>
        <v>86035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dimension ref="A1:AB126"/>
  <sheetViews>
    <sheetView topLeftCell="F1" zoomScale="103" workbookViewId="0">
      <selection activeCell="H64" sqref="H6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5546875" style="10" bestFit="1" customWidth="1"/>
    <col min="5" max="5" width="16.109375" style="10" bestFit="1" customWidth="1"/>
    <col min="6" max="6" width="18" style="10" bestFit="1" customWidth="1"/>
    <col min="7" max="7" width="13.109375" style="10" bestFit="1" customWidth="1"/>
    <col min="8" max="8" width="18" style="10" bestFit="1" customWidth="1"/>
    <col min="9" max="9" width="13" style="10"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80</v>
      </c>
      <c r="B1" s="30" t="s">
        <v>2</v>
      </c>
      <c r="C1" s="30" t="s">
        <v>82</v>
      </c>
      <c r="D1" s="30" t="s">
        <v>83</v>
      </c>
      <c r="E1" s="30" t="s">
        <v>84</v>
      </c>
      <c r="F1" s="30" t="s">
        <v>85</v>
      </c>
      <c r="G1" s="30" t="s">
        <v>86</v>
      </c>
      <c r="H1" s="31" t="s">
        <v>87</v>
      </c>
      <c r="I1" s="31" t="s">
        <v>88</v>
      </c>
      <c r="J1" s="31" t="s">
        <v>89</v>
      </c>
      <c r="K1" s="31" t="s">
        <v>44</v>
      </c>
    </row>
    <row r="2" spans="1:28" x14ac:dyDescent="0.3">
      <c r="A2" s="28">
        <v>45886</v>
      </c>
      <c r="B2" s="29" t="s">
        <v>21</v>
      </c>
      <c r="C2" s="29" t="s">
        <v>90</v>
      </c>
      <c r="D2" s="29" t="s">
        <v>91</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90</v>
      </c>
      <c r="D3" s="29" t="s">
        <v>91</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90</v>
      </c>
      <c r="D4" s="29" t="s">
        <v>91</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90</v>
      </c>
      <c r="D5" s="29" t="s">
        <v>91</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90</v>
      </c>
      <c r="D6" s="29" t="s">
        <v>91</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90</v>
      </c>
      <c r="D7" s="29" t="s">
        <v>91</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90</v>
      </c>
      <c r="D8" s="29" t="s">
        <v>92</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90</v>
      </c>
      <c r="D9" s="29" t="s">
        <v>91</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90</v>
      </c>
      <c r="D10" s="29" t="s">
        <v>93</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91</v>
      </c>
      <c r="E11" s="11">
        <v>1605</v>
      </c>
      <c r="F11" s="11">
        <v>103550</v>
      </c>
      <c r="G11" s="11">
        <v>43689</v>
      </c>
      <c r="H11" s="32">
        <f>_xlfn.XLOOKUP(Table1[[#This Row],[Shipment Number]], 'pivot '!A:A,'pivot '!G:G, "NF")</f>
        <v>3.6049079901958692</v>
      </c>
      <c r="I11" s="32">
        <f>IF(E11="RD",0,Table1[[#This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91</v>
      </c>
      <c r="E12" s="11">
        <v>1624</v>
      </c>
      <c r="F12" s="11">
        <v>30782</v>
      </c>
      <c r="G12" s="11">
        <v>2242</v>
      </c>
      <c r="H12" s="32"/>
      <c r="I12" s="32">
        <f>IF(E12="RD",0,Table1[[#This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91</v>
      </c>
      <c r="E13" s="11">
        <v>1646</v>
      </c>
      <c r="F13" s="11">
        <v>24008</v>
      </c>
      <c r="G13" s="11">
        <v>25952</v>
      </c>
      <c r="H13" s="32">
        <f>_xlfn.XLOOKUP(Table1[[#This Row],[Shipment Number]], 'pivot '!A:A,'pivot '!G:G, "NF")</f>
        <v>1.1546260975675722</v>
      </c>
      <c r="I13" s="32">
        <f>IF(E13="RD",0,Table1[[#This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91</v>
      </c>
      <c r="E14" s="11">
        <v>1605</v>
      </c>
      <c r="F14" s="11">
        <v>103550</v>
      </c>
      <c r="G14" s="11">
        <v>8742</v>
      </c>
      <c r="H14" s="32">
        <f>_xlfn.XLOOKUP(Table1[[#This Row],[Shipment Number]], 'pivot '!A:A,'pivot '!G:G, "NF")</f>
        <v>3.6049079901958692</v>
      </c>
      <c r="I14" s="32">
        <f>IF(E14="RD",0,Table1[[#This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91</v>
      </c>
      <c r="E15" s="11">
        <v>1640</v>
      </c>
      <c r="F15" s="11">
        <v>50373</v>
      </c>
      <c r="G15" s="11">
        <v>48705</v>
      </c>
      <c r="H15" s="32">
        <f>_xlfn.XLOOKUP(Table1[[#This Row],[Shipment Number]], 'pivot '!A:A,'pivot '!G:G, "NF")</f>
        <v>1.4266519823564607</v>
      </c>
      <c r="I15" s="32">
        <f>IF(E15="RD",0,Table1[[#This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91</v>
      </c>
      <c r="E16" s="11">
        <v>1649</v>
      </c>
      <c r="F16" s="11">
        <v>3826</v>
      </c>
      <c r="G16" s="11">
        <v>4140</v>
      </c>
      <c r="H16" s="32">
        <f>_xlfn.XLOOKUP(Table1[[#This Row],[Shipment Number]], 'pivot '!A:A,'pivot '!G:G, "NF")</f>
        <v>1.0543117184963648</v>
      </c>
      <c r="I16" s="32">
        <f>IF(E16="RD",0,Table1[[#This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91</v>
      </c>
      <c r="E17" s="20">
        <v>1607</v>
      </c>
      <c r="F17" s="11">
        <f>101237-40502</f>
        <v>60735</v>
      </c>
      <c r="G17" s="11">
        <v>1980</v>
      </c>
      <c r="H17" s="32">
        <f>_xlfn.XLOOKUP(Table1[[#This Row],[Shipment Number]], 'pivot '!A:A,'pivot '!G:G, "NF")</f>
        <v>26.285530898047298</v>
      </c>
      <c r="I17" s="32">
        <f>IF(E17="RD",0,Table1[[#This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91</v>
      </c>
      <c r="E18" s="11">
        <v>1647</v>
      </c>
      <c r="F18" s="11">
        <v>20004</v>
      </c>
      <c r="G18" s="11">
        <v>21621</v>
      </c>
      <c r="H18" s="32">
        <f>_xlfn.XLOOKUP(Table1[[#This Row],[Shipment Number]], 'pivot '!A:A,'pivot '!G:G, "NF")</f>
        <v>1.1673524841483669</v>
      </c>
      <c r="I18" s="32">
        <f>IF(E18="RD",0,Table1[[#This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91</v>
      </c>
      <c r="E19" s="20">
        <v>1607</v>
      </c>
      <c r="F19" s="11">
        <f>101237-40502</f>
        <v>60735</v>
      </c>
      <c r="G19" s="11">
        <v>6406</v>
      </c>
      <c r="H19" s="32">
        <f>_xlfn.XLOOKUP(Table1[[#This Row],[Shipment Number]], 'pivot '!A:A,'pivot '!G:G, "NF")</f>
        <v>26.285530898047298</v>
      </c>
      <c r="I19" s="32">
        <f>IF(E19="RD",0,Table1[[#This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91</v>
      </c>
      <c r="E20" s="11">
        <v>1643</v>
      </c>
      <c r="F20" s="11">
        <v>26739</v>
      </c>
      <c r="G20" s="11">
        <v>7452</v>
      </c>
      <c r="H20" s="32">
        <f>_xlfn.XLOOKUP(Table1[[#This Row],[Shipment Number]], 'pivot '!A:A,'pivot '!G:G, "NF")</f>
        <v>2.1297287800330906</v>
      </c>
      <c r="I20" s="32">
        <f>IF(E20="RD",0,Table1[[#This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91</v>
      </c>
      <c r="E21" s="11">
        <v>1640</v>
      </c>
      <c r="F21" s="11">
        <v>50373</v>
      </c>
      <c r="G21" s="11">
        <v>5597</v>
      </c>
      <c r="H21" s="32">
        <f>_xlfn.XLOOKUP(Table1[[#This Row],[Shipment Number]], 'pivot '!A:A,'pivot '!G:G, "NF")</f>
        <v>1.4266519823564607</v>
      </c>
      <c r="I21" s="32">
        <f>IF(E21="RD",0,Table1[[#This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91</v>
      </c>
      <c r="E22" s="11">
        <v>1643</v>
      </c>
      <c r="F22" s="11">
        <v>26739</v>
      </c>
      <c r="G22" s="11">
        <v>21167</v>
      </c>
      <c r="H22" s="32">
        <f>_xlfn.XLOOKUP(Table1[[#This Row],[Shipment Number]], 'pivot '!A:A,'pivot '!G:G, "NF")</f>
        <v>2.1297287800330906</v>
      </c>
      <c r="I22" s="32">
        <f>IF(E22="RD",0,Table1[[#This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91</v>
      </c>
      <c r="E23" s="11" t="s">
        <v>94</v>
      </c>
      <c r="F23" s="11"/>
      <c r="G23" s="11">
        <v>2010</v>
      </c>
      <c r="H23" s="32" t="e">
        <f>_xlfn.XLOOKUP(Table1[[#This Row],[Shipment Number]], 'pivot '!A:A,'pivot '!G:G, "NF")</f>
        <v>#DIV/0!</v>
      </c>
      <c r="I23" s="32">
        <f>IF(E23="RD",0,Table1[[#This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91</v>
      </c>
      <c r="E24" s="11">
        <v>1605</v>
      </c>
      <c r="F24" s="11">
        <v>103550</v>
      </c>
      <c r="G24" s="11">
        <v>16253</v>
      </c>
      <c r="H24" s="32">
        <f>_xlfn.XLOOKUP(Table1[[#This Row],[Shipment Number]], 'pivot '!A:A,'pivot '!G:G, "NF")</f>
        <v>3.6049079901958692</v>
      </c>
      <c r="I24" s="32">
        <f>IF(E24="RD",0,Table1[[#This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91</v>
      </c>
      <c r="E25" s="11">
        <v>1605</v>
      </c>
      <c r="F25" s="11">
        <v>103550</v>
      </c>
      <c r="G25" s="11">
        <v>33788</v>
      </c>
      <c r="H25" s="32">
        <f>_xlfn.XLOOKUP(Table1[[#This Row],[Shipment Number]], 'pivot '!A:A,'pivot '!G:G, "NF")</f>
        <v>3.6049079901958692</v>
      </c>
      <c r="I25" s="32">
        <f>IF(E25="RD",0,Table1[[#This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91</v>
      </c>
      <c r="E26" s="20">
        <v>1607</v>
      </c>
      <c r="F26" s="11">
        <f>101237-40502</f>
        <v>60735</v>
      </c>
      <c r="G26" s="11">
        <v>8575</v>
      </c>
      <c r="H26" s="32">
        <f>_xlfn.XLOOKUP(Table1[[#This Row],[Shipment Number]], 'pivot '!A:A,'pivot '!G:G, "NF")</f>
        <v>26.285530898047298</v>
      </c>
      <c r="I26" s="32">
        <f>IF(E26="RD",0,Table1[[#This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91</v>
      </c>
      <c r="E27" s="11">
        <v>1644</v>
      </c>
      <c r="F27" s="11">
        <v>32450</v>
      </c>
      <c r="G27" s="11">
        <v>4298</v>
      </c>
      <c r="H27" s="32">
        <f>_xlfn.XLOOKUP(Table1[[#This Row],[Shipment Number]], 'pivot '!A:A,'pivot '!G:G, "NF")</f>
        <v>1.1646977004744201</v>
      </c>
      <c r="I27" s="32">
        <f>IF(E27="RD",0,Table1[[#This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91</v>
      </c>
      <c r="E28" s="11">
        <v>1651</v>
      </c>
      <c r="F28" s="11">
        <v>20493</v>
      </c>
      <c r="G28" s="11">
        <v>22478</v>
      </c>
      <c r="H28" s="32">
        <f>_xlfn.XLOOKUP(Table1[[#This Row],[Shipment Number]], 'pivot '!A:A,'pivot '!G:G, "NF")</f>
        <v>-0.29831229326579489</v>
      </c>
      <c r="I28" s="32">
        <f>IF(E28="RD",0,Table1[[#This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91</v>
      </c>
      <c r="E29" s="20">
        <v>1607</v>
      </c>
      <c r="F29" s="11">
        <f>101237-40502</f>
        <v>60735</v>
      </c>
      <c r="G29" s="11">
        <v>8540</v>
      </c>
      <c r="H29" s="32">
        <f>_xlfn.XLOOKUP(Table1[[#This Row],[Shipment Number]], 'pivot '!A:A,'pivot '!G:G, "NF")</f>
        <v>26.285530898047298</v>
      </c>
      <c r="I29" s="32">
        <f>IF(E29="RD",0,Table1[[#This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91</v>
      </c>
      <c r="E30" s="11">
        <v>1641</v>
      </c>
      <c r="F30" s="11">
        <v>6605</v>
      </c>
      <c r="G30" s="11">
        <v>7214</v>
      </c>
      <c r="H30" s="32">
        <f>_xlfn.XLOOKUP(Table1[[#This Row],[Shipment Number]], 'pivot '!A:A,'pivot '!G:G, "NF")</f>
        <v>0.1277545164018079</v>
      </c>
      <c r="I30" s="32">
        <f>IF(E30="RD",0,Table1[[#This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91</v>
      </c>
      <c r="E31" s="11">
        <v>1605</v>
      </c>
      <c r="F31" s="11">
        <v>103550</v>
      </c>
      <c r="G31" s="11">
        <v>6688</v>
      </c>
      <c r="H31" s="32">
        <f>_xlfn.XLOOKUP(Table1[[#This Row],[Shipment Number]], 'pivot '!A:A,'pivot '!G:G, "NF")</f>
        <v>3.6049079901958692</v>
      </c>
      <c r="I31" s="32">
        <f>IF(E31="RD",0,Table1[[#This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91</v>
      </c>
      <c r="E32" s="11">
        <v>1652</v>
      </c>
      <c r="F32" s="11">
        <v>10175</v>
      </c>
      <c r="G32" s="11">
        <v>1914</v>
      </c>
      <c r="H32" s="32">
        <f>_xlfn.XLOOKUP(Table1[[#This Row],[Shipment Number]], 'pivot '!A:A,'pivot '!G:G, "NF")</f>
        <v>-5.5718417093686412E-3</v>
      </c>
      <c r="I32" s="32">
        <f>IF(E32="RD",0,Table1[[#This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91</v>
      </c>
      <c r="E33" s="11">
        <v>1652</v>
      </c>
      <c r="F33" s="11">
        <v>10175</v>
      </c>
      <c r="G33" s="11">
        <v>9214</v>
      </c>
      <c r="H33" s="32">
        <f>_xlfn.XLOOKUP(Table1[[#This Row],[Shipment Number]], 'pivot '!A:A,'pivot '!G:G, "NF")</f>
        <v>-5.5718417093686412E-3</v>
      </c>
      <c r="I33" s="32">
        <f>IF(E33="RD",0,Table1[[#This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91</v>
      </c>
      <c r="E34" s="11">
        <v>1655</v>
      </c>
      <c r="F34" s="11">
        <v>167135</v>
      </c>
      <c r="G34" s="11">
        <v>21448</v>
      </c>
      <c r="H34" s="32">
        <f>_xlfn.XLOOKUP(Table1[[#This Row],[Shipment Number]], 'pivot '!A:A,'pivot '!G:G, "NF")</f>
        <v>39.837673547718609</v>
      </c>
      <c r="I34" s="32">
        <f>IF(E34="RD",0,Table1[[#This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91</v>
      </c>
      <c r="E35" s="11">
        <v>1644</v>
      </c>
      <c r="F35" s="11">
        <v>32450</v>
      </c>
      <c r="G35" s="11">
        <v>11858</v>
      </c>
      <c r="H35" s="32">
        <f>_xlfn.XLOOKUP(Table1[[#This Row],[Shipment Number]], 'pivot '!A:A,'pivot '!G:G, "NF")</f>
        <v>1.1646977004744201</v>
      </c>
      <c r="I35" s="32">
        <f>IF(E35="RD",0,Table1[[#This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91</v>
      </c>
      <c r="E36" s="11">
        <v>1644</v>
      </c>
      <c r="F36" s="11">
        <v>32450</v>
      </c>
      <c r="G36" s="11">
        <v>18918</v>
      </c>
      <c r="H36" s="32">
        <f>_xlfn.XLOOKUP(Table1[[#This Row],[Shipment Number]], 'pivot '!A:A,'pivot '!G:G, "NF")</f>
        <v>1.1646977004744201</v>
      </c>
      <c r="I36" s="32">
        <f>IF(E36="RD",0,Table1[[#This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91</v>
      </c>
      <c r="E37" s="11">
        <v>1655</v>
      </c>
      <c r="F37" s="11">
        <v>167135</v>
      </c>
      <c r="G37" s="11">
        <v>19780</v>
      </c>
      <c r="H37" s="32">
        <f>_xlfn.XLOOKUP(Table1[[#This Row],[Shipment Number]], 'pivot '!A:A,'pivot '!G:G, "NF")</f>
        <v>39.837673547718609</v>
      </c>
      <c r="I37" s="32">
        <f>IF(E37="RD",0,Table1[[#This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91</v>
      </c>
      <c r="E38" s="11">
        <v>1650</v>
      </c>
      <c r="F38" s="11">
        <v>30156</v>
      </c>
      <c r="G38" s="11">
        <v>4342</v>
      </c>
      <c r="H38" s="32">
        <f>_xlfn.XLOOKUP(Table1[[#This Row],[Shipment Number]], 'pivot '!A:A,'pivot '!G:G, "NF")</f>
        <v>1.6331850771986467</v>
      </c>
      <c r="I38" s="32">
        <f>IF(E38="RD",0,Table1[[#This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91</v>
      </c>
      <c r="E39" s="11">
        <v>1650</v>
      </c>
      <c r="F39" s="11">
        <v>30156</v>
      </c>
      <c r="G39" s="11">
        <v>28098</v>
      </c>
      <c r="H39" s="32">
        <f>_xlfn.XLOOKUP(Table1[[#This Row],[Shipment Number]], 'pivot '!A:A,'pivot '!G:G, "NF")</f>
        <v>1.6331850771986467</v>
      </c>
      <c r="I39" s="32">
        <f>IF(E39="RD",0,Table1[[#This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91</v>
      </c>
      <c r="E40" s="11">
        <v>1653</v>
      </c>
      <c r="F40" s="11">
        <v>21812</v>
      </c>
      <c r="G40" s="11">
        <v>13125</v>
      </c>
      <c r="H40" s="32">
        <f>_xlfn.XLOOKUP(Table1[[#This Row],[Shipment Number]], 'pivot '!A:A,'pivot '!G:G, "NF")</f>
        <v>1.6039639663327563</v>
      </c>
      <c r="I40" s="32">
        <f>IF(E40="RD",0,Table1[[#This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91</v>
      </c>
      <c r="E41" s="20" t="s">
        <v>245</v>
      </c>
      <c r="F41" s="11">
        <v>40502</v>
      </c>
      <c r="G41" s="11">
        <v>33502</v>
      </c>
      <c r="H41" s="32">
        <f>_xlfn.XLOOKUP(Table1[[#This Row],[Shipment Number]], 'pivot '!A:A,'pivot '!G:G, "NF")</f>
        <v>3.3481309203728671</v>
      </c>
      <c r="I41" s="32">
        <f>IF(E41="RD",0,Table1[[#This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91</v>
      </c>
      <c r="E42" s="11">
        <v>1655</v>
      </c>
      <c r="F42" s="11">
        <v>167135</v>
      </c>
      <c r="G42" s="11">
        <v>11702</v>
      </c>
      <c r="H42" s="32">
        <f>_xlfn.XLOOKUP(Table1[[#This Row],[Shipment Number]], 'pivot '!A:A,'pivot '!G:G, "NF")</f>
        <v>39.837673547718609</v>
      </c>
      <c r="I42" s="32">
        <f>IF(E42="RD",0,Table1[[#This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91</v>
      </c>
      <c r="E43" s="11">
        <v>1655</v>
      </c>
      <c r="F43" s="11">
        <v>167135</v>
      </c>
      <c r="G43" s="11">
        <v>26158</v>
      </c>
      <c r="H43" s="32">
        <f>_xlfn.XLOOKUP(Table1[[#This Row],[Shipment Number]], 'pivot '!A:A,'pivot '!G:G, "NF")</f>
        <v>39.837673547718609</v>
      </c>
      <c r="I43" s="32">
        <f>IF(E43="RD",0,Table1[[#This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91</v>
      </c>
      <c r="E44" s="11">
        <v>1653</v>
      </c>
      <c r="F44" s="11">
        <v>21812</v>
      </c>
      <c r="G44" s="11">
        <v>10346</v>
      </c>
      <c r="H44" s="32">
        <f>_xlfn.XLOOKUP(Table1[[#This Row],[Shipment Number]], 'pivot '!A:A,'pivot '!G:G, "NF")</f>
        <v>1.6039639663327563</v>
      </c>
      <c r="I44" s="32">
        <f>IF(E44="RD",0,Table1[[#This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92</v>
      </c>
      <c r="E45" s="11">
        <v>1628</v>
      </c>
      <c r="F45" s="11">
        <v>48198</v>
      </c>
      <c r="G45" s="11">
        <v>7587</v>
      </c>
      <c r="H45" s="32">
        <f>_xlfn.XLOOKUP(Table1[[#This Row],[Shipment Number]], 'pivot '!A:A,'pivot '!G:G, "NF")</f>
        <v>85.60596464237544</v>
      </c>
      <c r="I45" s="32">
        <f>IF(E45="RD",0,Table1[[#This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91</v>
      </c>
      <c r="E46" s="11" t="s">
        <v>94</v>
      </c>
      <c r="F46" s="11"/>
      <c r="G46" s="11">
        <v>2244</v>
      </c>
      <c r="H46" s="32" t="e">
        <f>_xlfn.XLOOKUP(Table1[[#This Row],[Shipment Number]], 'pivot '!A:A,'pivot '!G:G, "NF")</f>
        <v>#DIV/0!</v>
      </c>
      <c r="I46" s="32">
        <f>IF(E46="RD",0,Table1[[#This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93</v>
      </c>
      <c r="E47" s="11">
        <v>1662</v>
      </c>
      <c r="F47" s="11">
        <v>13594</v>
      </c>
      <c r="G47" s="11">
        <v>14872</v>
      </c>
      <c r="H47" s="32">
        <f>_xlfn.XLOOKUP(Table1[[#This Row],[Shipment Number]], 'pivot '!A:A,'pivot '!G:G, "NF")</f>
        <v>-3.7679603689369401E-2</v>
      </c>
      <c r="I47" s="32">
        <f>IF(E47="RD",0,Table1[[#This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93</v>
      </c>
      <c r="E48" s="11">
        <v>1663</v>
      </c>
      <c r="F48" s="11">
        <v>10374</v>
      </c>
      <c r="G48" s="11">
        <v>11018</v>
      </c>
      <c r="H48" s="32">
        <f>_xlfn.XLOOKUP(Table1[[#This Row],[Shipment Number]], 'pivot '!A:A,'pivot '!G:G, "NF")</f>
        <v>2.882381802799145</v>
      </c>
      <c r="I48" s="32">
        <f>IF(E48="RD",0,Table1[[#This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21</v>
      </c>
      <c r="C49" s="29">
        <v>759</v>
      </c>
      <c r="D49" s="29" t="s">
        <v>92</v>
      </c>
      <c r="E49" s="11">
        <v>1598</v>
      </c>
      <c r="F49" s="11">
        <v>22631</v>
      </c>
      <c r="G49" s="11">
        <v>23305</v>
      </c>
      <c r="H49" s="32">
        <f>_xlfn.XLOOKUP(Table1[[#This Row],[Shipment Number]], 'pivot '!A:A,'pivot '!G:G, "NF")</f>
        <v>5.8355745045743106</v>
      </c>
      <c r="I49" s="32">
        <f>IF(E49="RD",0,Table1[[#This Row],[Tiyaar/gaz]]/1.0936)</f>
        <v>21310.35113386979</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213103.51133869789</v>
      </c>
      <c r="K49" s="29"/>
      <c r="P49"/>
      <c r="Q49"/>
      <c r="R49"/>
      <c r="S49"/>
      <c r="T49"/>
      <c r="U49"/>
      <c r="V49"/>
      <c r="W49"/>
      <c r="X49"/>
      <c r="Y49"/>
    </row>
    <row r="50" spans="1:25" x14ac:dyDescent="0.3">
      <c r="A50" s="28">
        <v>45899</v>
      </c>
      <c r="B50" s="29" t="s">
        <v>25</v>
      </c>
      <c r="C50" s="29">
        <v>760</v>
      </c>
      <c r="D50" s="29" t="s">
        <v>91</v>
      </c>
      <c r="E50" s="11" t="s">
        <v>245</v>
      </c>
      <c r="F50" s="11">
        <v>40502</v>
      </c>
      <c r="G50" s="11">
        <v>9308</v>
      </c>
      <c r="H50" s="32">
        <f>_xlfn.XLOOKUP(Table1[[#This Row],[Shipment Number]], 'pivot '!A:A,'pivot '!G:G, "NF")</f>
        <v>3.3481309203728671</v>
      </c>
      <c r="I50" s="32">
        <f>IF(E50="RD",0,Table1[[#This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91</v>
      </c>
      <c r="E51" s="11">
        <v>1655</v>
      </c>
      <c r="F51" s="11">
        <v>167135</v>
      </c>
      <c r="G51" s="11">
        <v>20380</v>
      </c>
      <c r="H51" s="32">
        <f>_xlfn.XLOOKUP(Table1[[#This Row],[Shipment Number]], 'pivot '!A:A,'pivot '!G:G, "NF")</f>
        <v>39.837673547718609</v>
      </c>
      <c r="I51" s="32">
        <f>IF(E51="RD",0,Table1[[#This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93</v>
      </c>
      <c r="E52" s="11">
        <v>1661</v>
      </c>
      <c r="F52" s="11">
        <v>6217</v>
      </c>
      <c r="G52" s="11">
        <v>7020</v>
      </c>
      <c r="H52" s="32">
        <f>_xlfn.XLOOKUP(Table1[[#This Row],[Shipment Number]], 'pivot '!A:A,'pivot '!G:G, "NF")</f>
        <v>-3.2518265571699345</v>
      </c>
      <c r="I52" s="32">
        <f>IF(E52="RD",0,Table1[[#This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762</v>
      </c>
      <c r="D53" s="29" t="s">
        <v>91</v>
      </c>
      <c r="E53" s="11">
        <v>1658</v>
      </c>
      <c r="F53" s="11">
        <v>26004</v>
      </c>
      <c r="G53" s="11">
        <v>2776</v>
      </c>
      <c r="H53" s="32">
        <f>_xlfn.XLOOKUP(Table1[[#This Row],[Shipment Number]], 'pivot '!A:A,'pivot '!G:G, "NF")</f>
        <v>0.9423118406070472</v>
      </c>
      <c r="I53" s="32">
        <f>IF(E53="RD",0,Table1[[#This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763</v>
      </c>
      <c r="D54" s="29" t="s">
        <v>91</v>
      </c>
      <c r="E54" s="11">
        <v>1658</v>
      </c>
      <c r="F54" s="11">
        <v>26004</v>
      </c>
      <c r="G54" s="11">
        <v>25394</v>
      </c>
      <c r="H54" s="32">
        <f>_xlfn.XLOOKUP(Table1[[#This Row],[Shipment Number]], 'pivot '!A:A,'pivot '!G:G, "NF")</f>
        <v>0.9423118406070472</v>
      </c>
      <c r="I54" s="32">
        <f>IF(E54="RD",0,Table1[[#This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764</v>
      </c>
      <c r="D55" s="29" t="s">
        <v>91</v>
      </c>
      <c r="E55" s="11">
        <v>1655</v>
      </c>
      <c r="F55" s="11">
        <v>167135</v>
      </c>
      <c r="G55" s="11">
        <v>10496</v>
      </c>
      <c r="H55" s="32">
        <f>_xlfn.XLOOKUP(Table1[[#This Row],[Shipment Number]], 'pivot '!A:A,'pivot '!G:G, "NF")</f>
        <v>39.837673547718609</v>
      </c>
      <c r="I55" s="32">
        <f>IF(E55="RD",0,Table1[[#This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765</v>
      </c>
      <c r="D56" s="29" t="s">
        <v>91</v>
      </c>
      <c r="E56" s="11">
        <v>1607</v>
      </c>
      <c r="F56" s="11">
        <f t="shared" ref="F56:F57" si="0">101237-40502</f>
        <v>60735</v>
      </c>
      <c r="G56" s="11">
        <v>9552</v>
      </c>
      <c r="H56" s="32">
        <f>_xlfn.XLOOKUP(Table1[[#This Row],[Shipment Number]], 'pivot '!A:A,'pivot '!G:G, "NF")</f>
        <v>26.285530898047298</v>
      </c>
      <c r="I56" s="32">
        <f>IF(E56="RD",0,Table1[[#This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766</v>
      </c>
      <c r="D57" s="29" t="s">
        <v>91</v>
      </c>
      <c r="E57" s="11">
        <v>1607</v>
      </c>
      <c r="F57" s="11">
        <f t="shared" si="0"/>
        <v>60735</v>
      </c>
      <c r="G57" s="11">
        <v>13908</v>
      </c>
      <c r="H57" s="32">
        <f>_xlfn.XLOOKUP(Table1[[#This Row],[Shipment Number]], 'pivot '!A:A,'pivot '!G:G, "NF")</f>
        <v>26.285530898047298</v>
      </c>
      <c r="I57" s="32">
        <f>IF(E57="RD",0,Table1[[#This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767</v>
      </c>
      <c r="D58" s="29" t="s">
        <v>91</v>
      </c>
      <c r="E58" s="11">
        <v>1656</v>
      </c>
      <c r="F58" s="11">
        <v>9784</v>
      </c>
      <c r="G58" s="11">
        <v>10672</v>
      </c>
      <c r="H58" s="32">
        <f>_xlfn.XLOOKUP(Table1[[#This Row],[Shipment Number]], 'pivot '!A:A,'pivot '!G:G, "NF")</f>
        <v>0.25965387856857092</v>
      </c>
      <c r="I58" s="32">
        <f>IF(E58="RD",0,Table1[[#This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768</v>
      </c>
      <c r="D59" s="29" t="s">
        <v>91</v>
      </c>
      <c r="E59" s="11">
        <v>1654</v>
      </c>
      <c r="F59" s="11">
        <v>14999</v>
      </c>
      <c r="G59" s="11">
        <v>15800</v>
      </c>
      <c r="H59" s="32">
        <f>_xlfn.XLOOKUP(Table1[[#This Row],[Shipment Number]], 'pivot '!A:A,'pivot '!G:G, "NF")</f>
        <v>3.6756071472797061</v>
      </c>
      <c r="I59" s="32">
        <f>IF(E59="RD",0,Table1[[#This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769</v>
      </c>
      <c r="D60" s="29" t="s">
        <v>91</v>
      </c>
      <c r="E60" s="11">
        <v>1659</v>
      </c>
      <c r="F60" s="11">
        <v>21934</v>
      </c>
      <c r="G60" s="11">
        <v>6612</v>
      </c>
      <c r="H60" s="32">
        <f>_xlfn.XLOOKUP(Table1[[#This Row],[Shipment Number]], 'pivot '!A:A,'pivot '!G:G, "NF")</f>
        <v>72.435094736894058</v>
      </c>
      <c r="I60" s="32">
        <f>IF(E60="RD",0,Table1[[#This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c r="B61"/>
      <c r="C61"/>
      <c r="D61"/>
      <c r="E61" s="14"/>
      <c r="F61" s="14"/>
      <c r="G61" s="14"/>
      <c r="H61" s="50"/>
      <c r="I61" s="50" cm="1">
        <f t="array" aca="1" ref="I61" ca="1">SUMPRODUCT( SUBTOTAL(109, OFFSET(Table1[tiyar/meters], ROW(Table1[tiyar/meters])-MIN(ROW(Table1[tiyar/meters])), 0, 1)), --(Table1[Bill Number]&lt;&gt;"July Closing CF") )</f>
        <v>644323.335771763</v>
      </c>
      <c r="J61" s="50" cm="1">
        <f t="array" aca="1" ref="J61" ca="1">SUMPRODUCT( SUBTOTAL(109, OFFSET(Table1[billing], ROW(Table1[billing])-MIN(ROW(Table1[billing])), 0, 1)), --(Table1[Bill Number]&lt;&gt;"July Closing CF") )</f>
        <v>6399728.419897587</v>
      </c>
      <c r="K61">
        <f>SUMIFS(Table1[billing], Table1[Bill Number], "&lt;&gt;July Closing CF")</f>
        <v>6399728.419897587</v>
      </c>
      <c r="L61"/>
      <c r="M61"/>
      <c r="P61"/>
      <c r="Q61"/>
      <c r="R61"/>
      <c r="S61"/>
    </row>
    <row r="62" spans="1:25" x14ac:dyDescent="0.3">
      <c r="L62"/>
      <c r="M62"/>
      <c r="P62"/>
      <c r="Q62"/>
      <c r="R62"/>
      <c r="S62"/>
    </row>
    <row r="63" spans="1:25" x14ac:dyDescent="0.3">
      <c r="L63"/>
      <c r="M63"/>
      <c r="P63"/>
      <c r="Q63"/>
      <c r="R63"/>
      <c r="S63"/>
    </row>
    <row r="64" spans="1:25" x14ac:dyDescent="0.3">
      <c r="L64"/>
      <c r="M64"/>
      <c r="P64"/>
      <c r="Q64"/>
      <c r="R64"/>
      <c r="S64"/>
    </row>
    <row r="65" spans="4:19" x14ac:dyDescent="0.3">
      <c r="L65"/>
      <c r="M65"/>
      <c r="P65"/>
      <c r="Q65"/>
      <c r="R65"/>
      <c r="S65"/>
    </row>
    <row r="66" spans="4:19" x14ac:dyDescent="0.3">
      <c r="L66"/>
      <c r="M66"/>
      <c r="P66"/>
      <c r="Q66"/>
      <c r="R66"/>
      <c r="S66"/>
    </row>
    <row r="67" spans="4:19" x14ac:dyDescent="0.3">
      <c r="L67"/>
      <c r="M67"/>
      <c r="P67"/>
      <c r="Q67"/>
      <c r="R67"/>
      <c r="S67"/>
    </row>
    <row r="68" spans="4:19" x14ac:dyDescent="0.3">
      <c r="I68" s="3" t="s">
        <v>6</v>
      </c>
      <c r="J68" t="s">
        <v>97</v>
      </c>
      <c r="K68" t="s">
        <v>98</v>
      </c>
      <c r="L68"/>
      <c r="M68"/>
      <c r="P68"/>
      <c r="Q68"/>
      <c r="R68"/>
      <c r="S68"/>
    </row>
    <row r="69" spans="4:19" x14ac:dyDescent="0.3">
      <c r="I69" s="27">
        <v>45885</v>
      </c>
      <c r="J69" s="50">
        <v>2050.1097293343087</v>
      </c>
      <c r="K69" s="14">
        <v>20501.097293343086</v>
      </c>
      <c r="L69"/>
      <c r="M69"/>
      <c r="P69"/>
      <c r="Q69"/>
      <c r="R69"/>
      <c r="S69"/>
    </row>
    <row r="70" spans="4:19" x14ac:dyDescent="0.3">
      <c r="I70" s="27">
        <v>45886</v>
      </c>
      <c r="J70" s="50">
        <v>972869.42209217278</v>
      </c>
      <c r="K70" s="14">
        <v>9691041.9714703746</v>
      </c>
      <c r="L70"/>
      <c r="M70"/>
      <c r="P70"/>
      <c r="Q70"/>
      <c r="R70"/>
      <c r="S70"/>
    </row>
    <row r="71" spans="4:19" x14ac:dyDescent="0.3">
      <c r="D71" s="3" t="s">
        <v>2</v>
      </c>
      <c r="E71" t="s">
        <v>95</v>
      </c>
      <c r="I71" s="27">
        <v>45888</v>
      </c>
      <c r="J71" s="50">
        <v>71674.286759327006</v>
      </c>
      <c r="K71" s="14">
        <v>716742.86759327003</v>
      </c>
      <c r="L71"/>
      <c r="M71"/>
      <c r="P71"/>
      <c r="Q71"/>
      <c r="R71"/>
      <c r="S71"/>
    </row>
    <row r="72" spans="4:19" x14ac:dyDescent="0.3">
      <c r="D72" s="3" t="s">
        <v>80</v>
      </c>
      <c r="E72" t="s">
        <v>95</v>
      </c>
      <c r="I72" s="27">
        <v>45890</v>
      </c>
      <c r="J72" s="50">
        <v>50132.589612289696</v>
      </c>
      <c r="K72" s="14">
        <v>501325.89612289687</v>
      </c>
      <c r="L72"/>
      <c r="M72"/>
      <c r="P72"/>
      <c r="Q72"/>
      <c r="R72"/>
      <c r="S72"/>
    </row>
    <row r="73" spans="4:19" x14ac:dyDescent="0.3">
      <c r="D73" s="3" t="s">
        <v>84</v>
      </c>
      <c r="E73" t="s">
        <v>95</v>
      </c>
      <c r="I73" s="27">
        <v>45891</v>
      </c>
      <c r="J73" s="50">
        <v>37560.351133869786</v>
      </c>
      <c r="K73" s="14">
        <v>375603.51133869792</v>
      </c>
      <c r="L73"/>
      <c r="M73"/>
      <c r="N73"/>
      <c r="O73"/>
      <c r="P73"/>
      <c r="Q73"/>
    </row>
    <row r="74" spans="4:19" x14ac:dyDescent="0.3">
      <c r="I74" s="27">
        <v>45892</v>
      </c>
      <c r="J74" s="50">
        <v>76884.601316752029</v>
      </c>
      <c r="K74" s="14">
        <v>764915.87417703005</v>
      </c>
      <c r="L74"/>
      <c r="M74"/>
      <c r="N74"/>
      <c r="O74"/>
      <c r="P74"/>
      <c r="Q74"/>
    </row>
    <row r="75" spans="4:19" x14ac:dyDescent="0.3">
      <c r="D75" s="3" t="s">
        <v>6</v>
      </c>
      <c r="E75" t="s">
        <v>96</v>
      </c>
      <c r="F75" t="s">
        <v>97</v>
      </c>
      <c r="G75" t="s">
        <v>98</v>
      </c>
      <c r="I75" s="27">
        <v>45894</v>
      </c>
      <c r="J75" s="50">
        <v>81706.291148500371</v>
      </c>
      <c r="K75" s="14">
        <v>806219.82443306514</v>
      </c>
      <c r="L75"/>
      <c r="M75"/>
      <c r="N75"/>
      <c r="O75"/>
      <c r="P75"/>
      <c r="Q75"/>
    </row>
    <row r="76" spans="4:19" x14ac:dyDescent="0.3">
      <c r="D76" s="16" t="s">
        <v>90</v>
      </c>
      <c r="E76" s="101"/>
      <c r="F76" s="33">
        <v>972869.42209217278</v>
      </c>
      <c r="G76" s="101">
        <v>9691041.9714703746</v>
      </c>
      <c r="I76" s="27">
        <v>45895</v>
      </c>
      <c r="J76" s="50">
        <v>17298.829553767377</v>
      </c>
      <c r="K76" s="14">
        <v>155689.46598390638</v>
      </c>
      <c r="L76"/>
      <c r="M76"/>
      <c r="N76"/>
      <c r="O76"/>
      <c r="P76"/>
      <c r="Q76"/>
    </row>
    <row r="77" spans="4:19" x14ac:dyDescent="0.3">
      <c r="D77" s="16">
        <v>716</v>
      </c>
      <c r="E77" s="101">
        <v>43689</v>
      </c>
      <c r="F77" s="33">
        <v>39949.70738844185</v>
      </c>
      <c r="G77" s="101">
        <v>399497.07388441847</v>
      </c>
      <c r="I77" s="27">
        <v>45896</v>
      </c>
      <c r="J77" s="50">
        <v>59752.194586686186</v>
      </c>
      <c r="K77" s="14">
        <v>555856.80321872712</v>
      </c>
      <c r="L77"/>
      <c r="M77"/>
      <c r="N77"/>
      <c r="O77"/>
      <c r="P77"/>
      <c r="Q77"/>
    </row>
    <row r="78" spans="4:19" x14ac:dyDescent="0.3">
      <c r="D78" s="16">
        <v>722</v>
      </c>
      <c r="E78" s="101">
        <v>25952</v>
      </c>
      <c r="F78" s="33">
        <v>23730.797366495979</v>
      </c>
      <c r="G78" s="101">
        <v>237307.97366495978</v>
      </c>
      <c r="I78" s="27">
        <v>45897</v>
      </c>
      <c r="J78" s="50">
        <v>41335.040234089247</v>
      </c>
      <c r="K78" s="14">
        <v>413350.40234089253</v>
      </c>
      <c r="L78"/>
      <c r="M78"/>
      <c r="N78"/>
      <c r="O78"/>
      <c r="P78"/>
      <c r="Q78"/>
    </row>
    <row r="79" spans="4:19" x14ac:dyDescent="0.3">
      <c r="D79" s="16">
        <v>723</v>
      </c>
      <c r="E79" s="101">
        <v>8742</v>
      </c>
      <c r="F79" s="33">
        <v>7993.7820043891743</v>
      </c>
      <c r="G79" s="101">
        <v>79937.820043891741</v>
      </c>
      <c r="I79" s="27">
        <v>45898</v>
      </c>
      <c r="J79" s="50">
        <v>40317.300658376014</v>
      </c>
      <c r="K79" s="14">
        <v>393712.50914411119</v>
      </c>
      <c r="L79"/>
      <c r="M79"/>
      <c r="N79"/>
      <c r="O79"/>
      <c r="P79"/>
      <c r="Q79"/>
    </row>
    <row r="80" spans="4:19" x14ac:dyDescent="0.3">
      <c r="D80" s="16">
        <v>724</v>
      </c>
      <c r="E80" s="101">
        <v>48705</v>
      </c>
      <c r="F80" s="33">
        <v>44536.393562545723</v>
      </c>
      <c r="G80" s="101">
        <v>445363.9356254572</v>
      </c>
      <c r="I80" s="27">
        <v>45899</v>
      </c>
      <c r="J80" s="50">
        <v>53495.793708851503</v>
      </c>
      <c r="K80" s="14">
        <v>582306.14484272129</v>
      </c>
      <c r="L80"/>
      <c r="M80"/>
      <c r="N80"/>
      <c r="O80"/>
      <c r="P80"/>
      <c r="Q80"/>
    </row>
    <row r="81" spans="4:17" x14ac:dyDescent="0.3">
      <c r="D81" s="16">
        <v>725</v>
      </c>
      <c r="E81" s="101">
        <v>4140</v>
      </c>
      <c r="F81" s="33">
        <v>3785.6620336503297</v>
      </c>
      <c r="G81" s="101">
        <v>37856.6203365033</v>
      </c>
      <c r="I81" s="27">
        <v>45900</v>
      </c>
      <c r="J81" s="50">
        <v>112115.94732991954</v>
      </c>
      <c r="K81" s="14">
        <v>1113504.0234089247</v>
      </c>
      <c r="L81"/>
      <c r="M81"/>
      <c r="N81"/>
      <c r="O81"/>
      <c r="P81"/>
      <c r="Q81"/>
    </row>
    <row r="82" spans="4:17" x14ac:dyDescent="0.3">
      <c r="D82" s="16">
        <v>726</v>
      </c>
      <c r="E82" s="101">
        <v>1980</v>
      </c>
      <c r="F82" s="33">
        <v>1810.534016093636</v>
      </c>
      <c r="G82" s="101">
        <v>18105.340160936361</v>
      </c>
      <c r="I82" s="27" t="s">
        <v>28</v>
      </c>
      <c r="J82" s="50">
        <v>1617192.7578639358</v>
      </c>
      <c r="K82" s="14">
        <v>16090770.391367963</v>
      </c>
      <c r="L82"/>
      <c r="M82"/>
      <c r="N82"/>
      <c r="O82"/>
      <c r="P82"/>
      <c r="Q82"/>
    </row>
    <row r="83" spans="4:17" x14ac:dyDescent="0.3">
      <c r="D83" s="16">
        <v>727</v>
      </c>
      <c r="E83" s="101">
        <v>21621</v>
      </c>
      <c r="F83" s="33">
        <v>19770.48280907096</v>
      </c>
      <c r="G83" s="101">
        <v>197704.82809070961</v>
      </c>
      <c r="L83"/>
      <c r="M83"/>
      <c r="N83"/>
      <c r="O83"/>
      <c r="P83"/>
      <c r="Q83"/>
    </row>
    <row r="84" spans="4:17" x14ac:dyDescent="0.3">
      <c r="D84" s="16">
        <v>728</v>
      </c>
      <c r="E84" s="101">
        <v>6406</v>
      </c>
      <c r="F84" s="33">
        <v>5857.7176298463792</v>
      </c>
      <c r="G84" s="101">
        <v>58577.17629846379</v>
      </c>
      <c r="L84"/>
      <c r="M84"/>
      <c r="N84"/>
      <c r="O84"/>
      <c r="P84"/>
      <c r="Q84"/>
    </row>
    <row r="85" spans="4:17" x14ac:dyDescent="0.3">
      <c r="D85" s="16">
        <v>729</v>
      </c>
      <c r="E85" s="101">
        <v>7452</v>
      </c>
      <c r="F85" s="33">
        <v>6814.1916605705928</v>
      </c>
      <c r="G85" s="101">
        <v>68141.916605705934</v>
      </c>
      <c r="L85"/>
      <c r="M85"/>
      <c r="N85"/>
      <c r="O85"/>
      <c r="P85"/>
      <c r="Q85"/>
    </row>
    <row r="86" spans="4:17" x14ac:dyDescent="0.3">
      <c r="D86" s="16">
        <v>731</v>
      </c>
      <c r="E86" s="101">
        <v>5597</v>
      </c>
      <c r="F86" s="33">
        <v>5117.9590343818581</v>
      </c>
      <c r="G86" s="101">
        <v>51179.590343818578</v>
      </c>
      <c r="L86"/>
      <c r="M86"/>
      <c r="N86"/>
      <c r="O86"/>
      <c r="P86"/>
      <c r="Q86"/>
    </row>
    <row r="87" spans="4:17" x14ac:dyDescent="0.3">
      <c r="D87" s="16">
        <v>732</v>
      </c>
      <c r="E87" s="101">
        <v>21167</v>
      </c>
      <c r="F87" s="33">
        <v>19355.340160936357</v>
      </c>
      <c r="G87" s="101">
        <v>193553.40160936356</v>
      </c>
      <c r="L87"/>
      <c r="M87"/>
      <c r="N87"/>
      <c r="O87"/>
      <c r="P87"/>
      <c r="Q87"/>
    </row>
    <row r="88" spans="4:17" x14ac:dyDescent="0.3">
      <c r="D88" s="16">
        <v>733</v>
      </c>
      <c r="E88" s="101">
        <v>2010</v>
      </c>
      <c r="F88" s="33">
        <v>0</v>
      </c>
      <c r="G88" s="101">
        <v>0</v>
      </c>
      <c r="L88"/>
      <c r="M88"/>
      <c r="N88"/>
      <c r="O88"/>
      <c r="P88"/>
      <c r="Q88"/>
    </row>
    <row r="89" spans="4:17" x14ac:dyDescent="0.3">
      <c r="D89" s="16">
        <v>734</v>
      </c>
      <c r="E89" s="101">
        <v>16253</v>
      </c>
      <c r="F89" s="33">
        <v>14861.923920994881</v>
      </c>
      <c r="G89" s="101">
        <v>148619.23920994881</v>
      </c>
      <c r="L89"/>
      <c r="M89"/>
      <c r="N89"/>
      <c r="O89"/>
      <c r="P89"/>
      <c r="Q89"/>
    </row>
    <row r="90" spans="4:17" x14ac:dyDescent="0.3">
      <c r="D90" s="16">
        <v>735</v>
      </c>
      <c r="E90" s="101">
        <v>33788</v>
      </c>
      <c r="F90" s="33">
        <v>30896.122896854427</v>
      </c>
      <c r="G90" s="101">
        <v>308961.22896854428</v>
      </c>
      <c r="L90"/>
      <c r="M90"/>
      <c r="N90"/>
      <c r="O90"/>
      <c r="P90"/>
      <c r="Q90"/>
    </row>
    <row r="91" spans="4:17" x14ac:dyDescent="0.3">
      <c r="D91" s="16">
        <v>736</v>
      </c>
      <c r="E91" s="101">
        <v>8575</v>
      </c>
      <c r="F91" s="33">
        <v>7841.0753474762259</v>
      </c>
      <c r="G91" s="101">
        <v>78410.753474762256</v>
      </c>
      <c r="L91"/>
      <c r="M91"/>
      <c r="N91"/>
      <c r="O91"/>
      <c r="P91"/>
      <c r="Q91"/>
    </row>
    <row r="92" spans="4:17" x14ac:dyDescent="0.3">
      <c r="D92" s="16">
        <v>737</v>
      </c>
      <c r="E92" s="101">
        <v>4298</v>
      </c>
      <c r="F92" s="33">
        <v>3930.1389904901248</v>
      </c>
      <c r="G92" s="101">
        <v>35371.250914411125</v>
      </c>
      <c r="L92"/>
      <c r="M92"/>
      <c r="N92"/>
      <c r="O92"/>
      <c r="P92"/>
      <c r="Q92"/>
    </row>
    <row r="93" spans="4:17" x14ac:dyDescent="0.3">
      <c r="D93" s="16">
        <v>738</v>
      </c>
      <c r="E93" s="101">
        <v>22478</v>
      </c>
      <c r="F93" s="33">
        <v>20554.133138258963</v>
      </c>
      <c r="G93" s="101">
        <v>205541.33138258965</v>
      </c>
      <c r="L93"/>
      <c r="M93"/>
      <c r="N93"/>
      <c r="O93"/>
      <c r="P93"/>
      <c r="Q93"/>
    </row>
    <row r="94" spans="4:17" x14ac:dyDescent="0.3">
      <c r="D94" s="16">
        <v>739</v>
      </c>
      <c r="E94" s="101">
        <v>8540</v>
      </c>
      <c r="F94" s="33">
        <v>7809.0709583028538</v>
      </c>
      <c r="G94" s="101">
        <v>78090.70958302854</v>
      </c>
      <c r="L94"/>
      <c r="M94"/>
      <c r="N94"/>
      <c r="O94"/>
      <c r="P94"/>
      <c r="Q94"/>
    </row>
    <row r="95" spans="4:17" x14ac:dyDescent="0.3">
      <c r="D95" s="16">
        <v>740</v>
      </c>
      <c r="E95" s="101">
        <v>7214</v>
      </c>
      <c r="F95" s="33">
        <v>6596.5618141916611</v>
      </c>
      <c r="G95" s="101">
        <v>65965.61814191661</v>
      </c>
      <c r="L95"/>
      <c r="M95"/>
      <c r="N95"/>
      <c r="O95"/>
      <c r="P95"/>
      <c r="Q95"/>
    </row>
    <row r="96" spans="4:17" x14ac:dyDescent="0.3">
      <c r="D96" s="16">
        <v>741</v>
      </c>
      <c r="E96" s="101">
        <v>6688</v>
      </c>
      <c r="F96" s="33">
        <v>6115.5815654718363</v>
      </c>
      <c r="G96" s="101">
        <v>61155.815654718361</v>
      </c>
      <c r="L96"/>
      <c r="M96"/>
      <c r="N96"/>
      <c r="O96"/>
      <c r="P96"/>
      <c r="Q96"/>
    </row>
    <row r="97" spans="4:17" x14ac:dyDescent="0.3">
      <c r="D97" s="16">
        <v>742</v>
      </c>
      <c r="E97" s="101">
        <v>1914</v>
      </c>
      <c r="F97" s="33">
        <v>1750.1828822238481</v>
      </c>
      <c r="G97" s="101">
        <v>17501.82882223848</v>
      </c>
      <c r="L97"/>
      <c r="M97"/>
      <c r="N97"/>
      <c r="O97"/>
      <c r="P97"/>
      <c r="Q97"/>
    </row>
    <row r="98" spans="4:17" x14ac:dyDescent="0.3">
      <c r="D98" s="16">
        <v>743</v>
      </c>
      <c r="E98" s="101">
        <v>9214</v>
      </c>
      <c r="F98" s="33">
        <v>8425.3840526700806</v>
      </c>
      <c r="G98" s="101">
        <v>84253.840526700806</v>
      </c>
      <c r="L98"/>
      <c r="M98"/>
      <c r="N98"/>
      <c r="O98"/>
      <c r="P98"/>
      <c r="Q98"/>
    </row>
    <row r="99" spans="4:17" x14ac:dyDescent="0.3">
      <c r="D99" s="16">
        <v>744</v>
      </c>
      <c r="E99" s="101">
        <v>21448</v>
      </c>
      <c r="F99" s="33">
        <v>19612.289685442578</v>
      </c>
      <c r="G99" s="101">
        <v>196122.89685442578</v>
      </c>
      <c r="L99"/>
      <c r="M99"/>
      <c r="N99"/>
      <c r="O99"/>
      <c r="P99"/>
      <c r="Q99"/>
    </row>
    <row r="100" spans="4:17" x14ac:dyDescent="0.3">
      <c r="D100" s="16">
        <v>745</v>
      </c>
      <c r="E100" s="101">
        <v>11858</v>
      </c>
      <c r="F100" s="33">
        <v>10843.087051938552</v>
      </c>
      <c r="G100" s="101">
        <v>97587.783467446963</v>
      </c>
      <c r="L100"/>
      <c r="M100"/>
      <c r="N100"/>
      <c r="O100"/>
      <c r="P100"/>
      <c r="Q100"/>
    </row>
    <row r="101" spans="4:17" x14ac:dyDescent="0.3">
      <c r="D101" s="16">
        <v>746</v>
      </c>
      <c r="E101" s="101">
        <v>18918</v>
      </c>
      <c r="F101" s="33">
        <v>17298.829553767377</v>
      </c>
      <c r="G101" s="101">
        <v>155689.46598390638</v>
      </c>
      <c r="L101"/>
      <c r="M101"/>
      <c r="N101"/>
      <c r="O101"/>
      <c r="P101"/>
      <c r="Q101"/>
    </row>
    <row r="102" spans="4:17" x14ac:dyDescent="0.3">
      <c r="D102" s="16">
        <v>747</v>
      </c>
      <c r="E102" s="101">
        <v>19780</v>
      </c>
      <c r="F102" s="33">
        <v>18087.051938551573</v>
      </c>
      <c r="G102" s="101">
        <v>180870.51938551571</v>
      </c>
      <c r="L102"/>
      <c r="M102"/>
      <c r="N102"/>
      <c r="O102"/>
      <c r="P102"/>
      <c r="Q102"/>
    </row>
    <row r="103" spans="4:17" x14ac:dyDescent="0.3">
      <c r="D103" s="16">
        <v>748</v>
      </c>
      <c r="E103" s="101">
        <v>4342</v>
      </c>
      <c r="F103" s="33">
        <v>3970.3730797366497</v>
      </c>
      <c r="G103" s="101">
        <v>35733.35771762985</v>
      </c>
      <c r="L103"/>
      <c r="M103"/>
      <c r="N103"/>
      <c r="O103"/>
      <c r="P103"/>
      <c r="Q103"/>
    </row>
    <row r="104" spans="4:17" x14ac:dyDescent="0.3">
      <c r="D104" s="16">
        <v>749</v>
      </c>
      <c r="E104" s="101">
        <v>28098</v>
      </c>
      <c r="F104" s="33">
        <v>25693.123628383324</v>
      </c>
      <c r="G104" s="101">
        <v>231238.11265544992</v>
      </c>
      <c r="L104"/>
      <c r="M104"/>
      <c r="N104"/>
      <c r="O104"/>
      <c r="P104"/>
      <c r="Q104"/>
    </row>
    <row r="105" spans="4:17" x14ac:dyDescent="0.3">
      <c r="D105" s="16">
        <v>750</v>
      </c>
      <c r="E105" s="101">
        <v>13125</v>
      </c>
      <c r="F105" s="33">
        <v>12001.645940014632</v>
      </c>
      <c r="G105" s="101">
        <v>108014.81346013169</v>
      </c>
    </row>
    <row r="106" spans="4:17" x14ac:dyDescent="0.3">
      <c r="D106" s="16">
        <v>721</v>
      </c>
      <c r="E106" s="101">
        <v>2242</v>
      </c>
      <c r="F106" s="33">
        <v>2050.1097293343087</v>
      </c>
      <c r="G106" s="101">
        <v>20501.097293343086</v>
      </c>
    </row>
    <row r="107" spans="4:17" x14ac:dyDescent="0.3">
      <c r="D107" s="16">
        <v>751</v>
      </c>
      <c r="E107" s="101">
        <v>33502</v>
      </c>
      <c r="F107" s="33">
        <v>30634.601316752014</v>
      </c>
      <c r="G107" s="101">
        <v>306346.01316752017</v>
      </c>
    </row>
    <row r="108" spans="4:17" x14ac:dyDescent="0.3">
      <c r="D108" s="16">
        <v>752</v>
      </c>
      <c r="E108" s="101">
        <v>11702</v>
      </c>
      <c r="F108" s="33">
        <v>10700.438917337236</v>
      </c>
      <c r="G108" s="101">
        <v>107004.38917337236</v>
      </c>
    </row>
    <row r="109" spans="4:17" x14ac:dyDescent="0.3">
      <c r="D109" s="16">
        <v>753</v>
      </c>
      <c r="E109" s="101">
        <v>26158</v>
      </c>
      <c r="F109" s="33">
        <v>23919.166057059258</v>
      </c>
      <c r="G109" s="101">
        <v>239191.66057059256</v>
      </c>
    </row>
    <row r="110" spans="4:17" x14ac:dyDescent="0.3">
      <c r="D110" s="16">
        <v>754</v>
      </c>
      <c r="E110" s="101">
        <v>10346</v>
      </c>
      <c r="F110" s="33">
        <v>9460.4974396488669</v>
      </c>
      <c r="G110" s="101">
        <v>85144.476956839804</v>
      </c>
    </row>
    <row r="111" spans="4:17" x14ac:dyDescent="0.3">
      <c r="D111" s="16">
        <v>755</v>
      </c>
      <c r="E111" s="101">
        <v>7587</v>
      </c>
      <c r="F111" s="33">
        <v>6937.6371616678862</v>
      </c>
      <c r="G111" s="101">
        <v>69376.371616678865</v>
      </c>
    </row>
    <row r="112" spans="4:17" x14ac:dyDescent="0.3">
      <c r="D112" s="16">
        <v>756</v>
      </c>
      <c r="E112" s="101">
        <v>2244</v>
      </c>
      <c r="F112" s="33">
        <v>0</v>
      </c>
      <c r="G112" s="101">
        <v>0</v>
      </c>
    </row>
    <row r="113" spans="4:7" x14ac:dyDescent="0.3">
      <c r="D113" s="16">
        <v>757</v>
      </c>
      <c r="E113" s="101">
        <v>14872</v>
      </c>
      <c r="F113" s="33">
        <v>13599.122165325531</v>
      </c>
      <c r="G113" s="101">
        <v>163189.46598390635</v>
      </c>
    </row>
    <row r="114" spans="4:7" x14ac:dyDescent="0.3">
      <c r="D114" s="16">
        <v>758</v>
      </c>
      <c r="E114" s="101">
        <v>11018</v>
      </c>
      <c r="F114" s="33">
        <v>10074.981711777617</v>
      </c>
      <c r="G114" s="101">
        <v>120899.78054133139</v>
      </c>
    </row>
    <row r="115" spans="4:7" x14ac:dyDescent="0.3">
      <c r="D115" s="16">
        <v>759</v>
      </c>
      <c r="E115" s="101">
        <v>23305</v>
      </c>
      <c r="F115" s="33">
        <v>21310.35113386979</v>
      </c>
      <c r="G115" s="101">
        <v>213103.51133869789</v>
      </c>
    </row>
    <row r="116" spans="4:7" x14ac:dyDescent="0.3">
      <c r="D116" s="16">
        <v>760</v>
      </c>
      <c r="E116" s="101">
        <v>9308</v>
      </c>
      <c r="F116" s="33">
        <v>8511.3386978785675</v>
      </c>
      <c r="G116" s="101">
        <v>85113.386978785682</v>
      </c>
    </row>
    <row r="117" spans="4:7" x14ac:dyDescent="0.3">
      <c r="D117" s="16">
        <v>761</v>
      </c>
      <c r="E117" s="101">
        <v>20380</v>
      </c>
      <c r="F117" s="33">
        <v>18635.6986100951</v>
      </c>
      <c r="G117" s="101">
        <v>186356.98610095101</v>
      </c>
    </row>
    <row r="118" spans="4:7" x14ac:dyDescent="0.3">
      <c r="D118" s="16">
        <v>762</v>
      </c>
      <c r="E118" s="101">
        <v>9796</v>
      </c>
      <c r="F118" s="33">
        <v>8957.5713240673012</v>
      </c>
      <c r="G118" s="101">
        <v>102414.04535479151</v>
      </c>
    </row>
    <row r="119" spans="4:7" x14ac:dyDescent="0.3">
      <c r="D119" s="16">
        <v>763</v>
      </c>
      <c r="E119" s="101">
        <v>25394</v>
      </c>
      <c r="F119" s="33">
        <v>23220.555961960501</v>
      </c>
      <c r="G119" s="101">
        <v>232205.55961960502</v>
      </c>
    </row>
    <row r="120" spans="4:7" x14ac:dyDescent="0.3">
      <c r="D120" s="16">
        <v>764</v>
      </c>
      <c r="E120" s="101">
        <v>10496</v>
      </c>
      <c r="F120" s="33">
        <v>9597.6591075347478</v>
      </c>
      <c r="G120" s="101">
        <v>95976.591075347475</v>
      </c>
    </row>
    <row r="121" spans="4:7" x14ac:dyDescent="0.3">
      <c r="D121" s="16">
        <v>765</v>
      </c>
      <c r="E121" s="101">
        <v>9552</v>
      </c>
      <c r="F121" s="33">
        <v>8734.4550109729335</v>
      </c>
      <c r="G121" s="101">
        <v>87344.550109729331</v>
      </c>
    </row>
    <row r="122" spans="4:7" x14ac:dyDescent="0.3">
      <c r="D122" s="16">
        <v>766</v>
      </c>
      <c r="E122" s="101">
        <v>13908</v>
      </c>
      <c r="F122" s="33">
        <v>12717.629846378934</v>
      </c>
      <c r="G122" s="101">
        <v>127176.29846378934</v>
      </c>
    </row>
    <row r="123" spans="4:7" x14ac:dyDescent="0.3">
      <c r="D123" s="16">
        <v>767</v>
      </c>
      <c r="E123" s="101">
        <v>10672</v>
      </c>
      <c r="F123" s="33">
        <v>9758.5954645208494</v>
      </c>
      <c r="G123" s="101">
        <v>97585.954645208491</v>
      </c>
    </row>
    <row r="124" spans="4:7" x14ac:dyDescent="0.3">
      <c r="D124" s="16">
        <v>768</v>
      </c>
      <c r="E124" s="101">
        <v>15800</v>
      </c>
      <c r="F124" s="33">
        <v>14447.695683979518</v>
      </c>
      <c r="G124" s="101">
        <v>130029.26115581566</v>
      </c>
    </row>
    <row r="125" spans="4:7" x14ac:dyDescent="0.3">
      <c r="D125" s="16">
        <v>769</v>
      </c>
      <c r="E125" s="101">
        <v>6612</v>
      </c>
      <c r="F125" s="33">
        <v>6046.0863204096568</v>
      </c>
      <c r="G125" s="101">
        <v>54414.776883686907</v>
      </c>
    </row>
    <row r="126" spans="4:7" x14ac:dyDescent="0.3">
      <c r="D126" s="16" t="s">
        <v>28</v>
      </c>
      <c r="E126" s="101">
        <v>708886</v>
      </c>
      <c r="F126" s="33">
        <v>1617192.7578639355</v>
      </c>
      <c r="G126" s="101">
        <v>16090770.391367961</v>
      </c>
    </row>
  </sheetData>
  <phoneticPr fontId="7" alignment="center"/>
  <pageMargins left="0.7" right="0.7" top="0.75" bottom="0.75" header="0.3" footer="0.3"/>
  <pageSetup paperSize="12" fitToWidth="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5"/>
  <sheetViews>
    <sheetView topLeftCell="A16" zoomScale="95" workbookViewId="0">
      <selection activeCell="J61" sqref="J61"/>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77734375" bestFit="1" customWidth="1"/>
    <col min="6" max="6" width="12.88671875" bestFit="1" customWidth="1"/>
    <col min="7" max="7" width="10.88671875" bestFit="1" customWidth="1"/>
    <col min="8" max="8" width="10.77734375" bestFit="1" customWidth="1"/>
    <col min="9" max="9" width="13.77734375" bestFit="1" customWidth="1"/>
    <col min="10" max="10" width="12.88671875" customWidth="1"/>
    <col min="11" max="11" width="11.5546875" customWidth="1"/>
    <col min="14" max="14" width="11" customWidth="1"/>
  </cols>
  <sheetData>
    <row r="1" spans="1:14" x14ac:dyDescent="0.3">
      <c r="A1" s="8" t="s">
        <v>80</v>
      </c>
      <c r="B1" s="8" t="s">
        <v>2</v>
      </c>
      <c r="C1" s="8" t="s">
        <v>99</v>
      </c>
      <c r="D1" s="12" t="s">
        <v>100</v>
      </c>
      <c r="E1" s="12" t="s">
        <v>4</v>
      </c>
      <c r="F1" s="12" t="s">
        <v>101</v>
      </c>
      <c r="G1" s="12" t="s">
        <v>5</v>
      </c>
      <c r="H1" s="12" t="s">
        <v>102</v>
      </c>
      <c r="I1" s="13" t="s">
        <v>103</v>
      </c>
      <c r="J1" s="11"/>
    </row>
    <row r="2" spans="1:14" x14ac:dyDescent="0.3">
      <c r="A2" s="93">
        <v>45885</v>
      </c>
      <c r="B2" s="90" t="s">
        <v>104</v>
      </c>
      <c r="C2" s="90" t="s">
        <v>105</v>
      </c>
      <c r="D2" s="91"/>
      <c r="E2" s="91"/>
      <c r="F2" s="91"/>
      <c r="G2" s="91">
        <f>D2*E2</f>
        <v>0</v>
      </c>
      <c r="H2" s="91"/>
      <c r="I2" s="92">
        <v>1252847</v>
      </c>
    </row>
    <row r="3" spans="1:14" x14ac:dyDescent="0.3">
      <c r="A3" s="93">
        <v>45885</v>
      </c>
      <c r="B3" s="90" t="s">
        <v>106</v>
      </c>
      <c r="C3" s="90" t="s">
        <v>105</v>
      </c>
      <c r="D3" s="91"/>
      <c r="E3" s="91"/>
      <c r="F3" s="91"/>
      <c r="G3" s="91">
        <f>D3*E3</f>
        <v>0</v>
      </c>
      <c r="H3" s="91"/>
      <c r="I3" s="92">
        <f>42600-70000</f>
        <v>-27400</v>
      </c>
      <c r="J3" s="11"/>
    </row>
    <row r="4" spans="1:14" x14ac:dyDescent="0.3">
      <c r="A4" s="1">
        <v>45881</v>
      </c>
      <c r="B4" t="s">
        <v>104</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106</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104</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104</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104</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104</v>
      </c>
      <c r="C9">
        <v>4649</v>
      </c>
      <c r="D9" s="11">
        <v>265</v>
      </c>
      <c r="E9" s="11">
        <v>765</v>
      </c>
      <c r="F9" s="11">
        <v>26650</v>
      </c>
      <c r="G9" s="11">
        <f t="shared" ref="G9:G12" si="2">D9*E9</f>
        <v>202725</v>
      </c>
      <c r="H9" s="11"/>
      <c r="I9" s="11">
        <f>(D9*E9)-Table3[[#This Row],[Paid]]</f>
        <v>202725</v>
      </c>
      <c r="J9" s="11"/>
    </row>
    <row r="10" spans="1:14" x14ac:dyDescent="0.3">
      <c r="A10" s="1">
        <v>45887</v>
      </c>
      <c r="B10" t="s">
        <v>104</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104</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104</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104</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104</v>
      </c>
      <c r="C14">
        <v>3229</v>
      </c>
      <c r="D14" s="11">
        <v>215</v>
      </c>
      <c r="E14" s="11">
        <v>765</v>
      </c>
      <c r="F14" s="11">
        <v>36000</v>
      </c>
      <c r="G14" s="11">
        <f t="shared" si="3"/>
        <v>164475</v>
      </c>
      <c r="H14" s="11"/>
      <c r="I14" s="11">
        <f>(D14*E14)-Table3[[#This Row],[Paid]]</f>
        <v>164475</v>
      </c>
      <c r="N14" s="17">
        <f>SUM(Table3[Total])</f>
        <v>3332140</v>
      </c>
    </row>
    <row r="15" spans="1:14" x14ac:dyDescent="0.3">
      <c r="A15" s="1">
        <v>45892</v>
      </c>
      <c r="B15" t="s">
        <v>104</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104</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104</v>
      </c>
      <c r="C17">
        <v>3229</v>
      </c>
      <c r="D17" s="11">
        <v>245</v>
      </c>
      <c r="E17" s="11">
        <v>765</v>
      </c>
      <c r="F17" s="11">
        <v>40000</v>
      </c>
      <c r="G17" s="11">
        <f t="shared" si="4"/>
        <v>187425</v>
      </c>
      <c r="H17" s="11"/>
      <c r="I17" s="11">
        <f>(D17*E17)-Table3[[#This Row],[Paid]]</f>
        <v>187425</v>
      </c>
    </row>
    <row r="18" spans="1:11" x14ac:dyDescent="0.3">
      <c r="A18" s="1">
        <v>45893</v>
      </c>
      <c r="B18" t="s">
        <v>106</v>
      </c>
      <c r="C18" t="s">
        <v>107</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104</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104</v>
      </c>
      <c r="C20">
        <v>447</v>
      </c>
      <c r="D20" s="11">
        <v>291</v>
      </c>
      <c r="E20" s="11">
        <v>765</v>
      </c>
      <c r="F20" s="11">
        <v>25500</v>
      </c>
      <c r="G20" s="11">
        <f t="shared" si="5"/>
        <v>222615</v>
      </c>
      <c r="H20" s="11"/>
      <c r="I20" s="11">
        <f>(D20*E20)-Table3[[#This Row],[Paid]]</f>
        <v>222615</v>
      </c>
    </row>
    <row r="21" spans="1:11" x14ac:dyDescent="0.3">
      <c r="A21" s="1">
        <v>45896</v>
      </c>
      <c r="B21" t="s">
        <v>106</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104</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104</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106</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104</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104</v>
      </c>
      <c r="C26">
        <v>3229</v>
      </c>
      <c r="D26" s="11">
        <v>220</v>
      </c>
      <c r="E26" s="11">
        <v>765</v>
      </c>
      <c r="F26" s="11">
        <v>37000</v>
      </c>
      <c r="G26" s="11">
        <f t="shared" ref="G26:G27" si="7">D26*E26</f>
        <v>168300</v>
      </c>
      <c r="H26" s="11"/>
      <c r="I26" s="11">
        <f>(D26*E26)-Table3[[#This Row],[Paid]]</f>
        <v>168300</v>
      </c>
    </row>
    <row r="27" spans="1:11" x14ac:dyDescent="0.3">
      <c r="A27" s="1">
        <v>45901</v>
      </c>
      <c r="B27" t="s">
        <v>104</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t="s">
        <v>108</v>
      </c>
      <c r="D28" s="14"/>
      <c r="E28" s="14"/>
      <c r="F28" s="14"/>
      <c r="G28" s="14">
        <f>SUBTOTAL(109,Table3[Total])</f>
        <v>3332140</v>
      </c>
      <c r="H28" s="14">
        <f>SUBTOTAL(109,Table3[Paid])</f>
        <v>2717100</v>
      </c>
      <c r="I28" s="14">
        <f>SUBTOTAL(109,Table3[balance])</f>
        <v>1840487</v>
      </c>
    </row>
    <row r="29" spans="1:11" x14ac:dyDescent="0.3">
      <c r="K29" s="14"/>
    </row>
    <row r="40" spans="5:9" x14ac:dyDescent="0.3">
      <c r="E40" s="3" t="s">
        <v>2</v>
      </c>
      <c r="F40" t="s">
        <v>95</v>
      </c>
    </row>
    <row r="42" spans="5:9" x14ac:dyDescent="0.3">
      <c r="E42" s="3" t="s">
        <v>109</v>
      </c>
      <c r="F42" t="s">
        <v>110</v>
      </c>
      <c r="G42" t="s">
        <v>111</v>
      </c>
      <c r="H42" t="s">
        <v>112</v>
      </c>
      <c r="I42" t="s">
        <v>113</v>
      </c>
    </row>
    <row r="43" spans="5:9" x14ac:dyDescent="0.3">
      <c r="E43" s="27">
        <v>45881</v>
      </c>
      <c r="F43" s="14">
        <v>288</v>
      </c>
      <c r="G43" s="14">
        <v>220320</v>
      </c>
      <c r="H43" s="14">
        <v>0</v>
      </c>
      <c r="I43" s="14">
        <v>220320</v>
      </c>
    </row>
    <row r="44" spans="5:9" x14ac:dyDescent="0.3">
      <c r="E44" s="49">
        <v>6691</v>
      </c>
      <c r="F44" s="14">
        <v>288</v>
      </c>
      <c r="G44" s="14">
        <v>220320</v>
      </c>
      <c r="H44" s="14">
        <v>0</v>
      </c>
      <c r="I44" s="14">
        <v>220320</v>
      </c>
    </row>
    <row r="45" spans="5:9" x14ac:dyDescent="0.3">
      <c r="E45" s="27">
        <v>45882</v>
      </c>
      <c r="F45" s="14">
        <v>100</v>
      </c>
      <c r="G45" s="14">
        <v>70000</v>
      </c>
      <c r="H45" s="14">
        <v>0</v>
      </c>
      <c r="I45" s="14">
        <v>70000</v>
      </c>
    </row>
    <row r="46" spans="5:9" x14ac:dyDescent="0.3">
      <c r="E46" s="49">
        <v>1055</v>
      </c>
      <c r="F46" s="14">
        <v>100</v>
      </c>
      <c r="G46" s="14">
        <v>70000</v>
      </c>
      <c r="H46" s="14">
        <v>0</v>
      </c>
      <c r="I46" s="14">
        <v>70000</v>
      </c>
    </row>
    <row r="47" spans="5:9" x14ac:dyDescent="0.3">
      <c r="E47" s="27">
        <v>45884</v>
      </c>
      <c r="F47" s="14">
        <v>388</v>
      </c>
      <c r="G47" s="14">
        <v>296820</v>
      </c>
      <c r="H47" s="14">
        <v>0</v>
      </c>
      <c r="I47" s="14">
        <v>296820</v>
      </c>
    </row>
    <row r="48" spans="5:9" x14ac:dyDescent="0.3">
      <c r="E48" s="49">
        <v>8395</v>
      </c>
      <c r="F48" s="14">
        <v>388</v>
      </c>
      <c r="G48" s="14">
        <v>296820</v>
      </c>
      <c r="H48" s="14">
        <v>0</v>
      </c>
      <c r="I48" s="14">
        <v>296820</v>
      </c>
    </row>
    <row r="49" spans="5:9" x14ac:dyDescent="0.3">
      <c r="E49" s="27">
        <v>45885</v>
      </c>
      <c r="F49" s="14">
        <v>236</v>
      </c>
      <c r="G49" s="14">
        <v>180540</v>
      </c>
      <c r="H49" s="14">
        <v>0</v>
      </c>
      <c r="I49" s="14">
        <v>1405987</v>
      </c>
    </row>
    <row r="50" spans="5:9" x14ac:dyDescent="0.3">
      <c r="E50" s="49">
        <v>3229</v>
      </c>
      <c r="F50" s="14">
        <v>236</v>
      </c>
      <c r="G50" s="14">
        <v>180540</v>
      </c>
      <c r="H50" s="14">
        <v>0</v>
      </c>
      <c r="I50" s="14">
        <v>180540</v>
      </c>
    </row>
    <row r="51" spans="5:9" x14ac:dyDescent="0.3">
      <c r="E51" s="49" t="s">
        <v>105</v>
      </c>
      <c r="F51" s="14"/>
      <c r="G51" s="14">
        <v>0</v>
      </c>
      <c r="H51" s="14"/>
      <c r="I51" s="14">
        <v>1225447</v>
      </c>
    </row>
    <row r="52" spans="5:9" x14ac:dyDescent="0.3">
      <c r="E52" s="27">
        <v>45886</v>
      </c>
      <c r="F52" s="14">
        <v>265</v>
      </c>
      <c r="G52" s="14">
        <v>202725</v>
      </c>
      <c r="H52" s="14">
        <v>26650</v>
      </c>
      <c r="I52" s="14">
        <v>176075</v>
      </c>
    </row>
    <row r="53" spans="5:9" x14ac:dyDescent="0.3">
      <c r="E53" s="49" t="s">
        <v>114</v>
      </c>
      <c r="F53" s="14"/>
      <c r="G53" s="14">
        <v>0</v>
      </c>
      <c r="H53" s="14">
        <v>26650</v>
      </c>
      <c r="I53" s="14">
        <v>-26650</v>
      </c>
    </row>
    <row r="54" spans="5:9" x14ac:dyDescent="0.3">
      <c r="E54" s="49">
        <v>4649</v>
      </c>
      <c r="F54" s="14">
        <v>265</v>
      </c>
      <c r="G54" s="14">
        <v>202725</v>
      </c>
      <c r="H54" s="14"/>
      <c r="I54" s="14">
        <v>202725</v>
      </c>
    </row>
    <row r="55" spans="5:9" x14ac:dyDescent="0.3">
      <c r="E55" s="27">
        <v>45888</v>
      </c>
      <c r="F55" s="14">
        <v>292</v>
      </c>
      <c r="G55" s="14">
        <v>223380</v>
      </c>
      <c r="H55" s="14">
        <v>331500</v>
      </c>
      <c r="I55" s="14">
        <v>-108120</v>
      </c>
    </row>
    <row r="56" spans="5:9" x14ac:dyDescent="0.3">
      <c r="E56" s="49">
        <v>52</v>
      </c>
      <c r="F56" s="14">
        <v>292</v>
      </c>
      <c r="G56" s="14">
        <v>223380</v>
      </c>
      <c r="H56" s="14">
        <v>331500</v>
      </c>
      <c r="I56" s="14">
        <v>-108120</v>
      </c>
    </row>
    <row r="57" spans="5:9" x14ac:dyDescent="0.3">
      <c r="E57" s="27">
        <v>45889</v>
      </c>
      <c r="F57" s="14">
        <v>347</v>
      </c>
      <c r="G57" s="14">
        <v>265455</v>
      </c>
      <c r="H57" s="14">
        <v>102000</v>
      </c>
      <c r="I57" s="14">
        <v>163455</v>
      </c>
    </row>
    <row r="58" spans="5:9" x14ac:dyDescent="0.3">
      <c r="E58" s="49">
        <v>739</v>
      </c>
      <c r="F58" s="14">
        <v>347</v>
      </c>
      <c r="G58" s="14">
        <v>265455</v>
      </c>
      <c r="H58" s="14">
        <v>102000</v>
      </c>
      <c r="I58" s="14">
        <v>163455</v>
      </c>
    </row>
    <row r="59" spans="5:9" x14ac:dyDescent="0.3">
      <c r="E59" s="27">
        <v>45890</v>
      </c>
      <c r="F59" s="14">
        <v>471</v>
      </c>
      <c r="G59" s="14">
        <v>360315</v>
      </c>
      <c r="H59" s="14">
        <v>407400</v>
      </c>
      <c r="I59" s="14">
        <v>-47085</v>
      </c>
    </row>
    <row r="60" spans="5:9" x14ac:dyDescent="0.3">
      <c r="E60" s="49">
        <v>3229</v>
      </c>
      <c r="F60" s="14">
        <v>215</v>
      </c>
      <c r="G60" s="14">
        <v>164475</v>
      </c>
      <c r="H60" s="14"/>
      <c r="I60" s="14">
        <v>164475</v>
      </c>
    </row>
    <row r="61" spans="5:9" x14ac:dyDescent="0.3">
      <c r="E61" s="49">
        <v>1288</v>
      </c>
      <c r="F61" s="14">
        <v>256</v>
      </c>
      <c r="G61" s="14">
        <v>195840</v>
      </c>
      <c r="H61" s="14">
        <v>407400</v>
      </c>
      <c r="I61" s="14">
        <v>-211560</v>
      </c>
    </row>
    <row r="62" spans="5:9" x14ac:dyDescent="0.3">
      <c r="E62" s="27">
        <v>45894</v>
      </c>
      <c r="F62" s="14">
        <v>526</v>
      </c>
      <c r="G62" s="14">
        <v>402390</v>
      </c>
      <c r="H62" s="14">
        <v>69450</v>
      </c>
      <c r="I62" s="14">
        <v>332940</v>
      </c>
    </row>
    <row r="63" spans="5:9" x14ac:dyDescent="0.3">
      <c r="E63" s="49">
        <v>3229</v>
      </c>
      <c r="F63" s="14">
        <v>245</v>
      </c>
      <c r="G63" s="14">
        <v>187425</v>
      </c>
      <c r="H63" s="14"/>
      <c r="I63" s="14">
        <v>187425</v>
      </c>
    </row>
    <row r="64" spans="5:9" x14ac:dyDescent="0.3">
      <c r="E64" s="49">
        <v>5045</v>
      </c>
      <c r="F64" s="14">
        <v>281</v>
      </c>
      <c r="G64" s="14">
        <v>214965</v>
      </c>
      <c r="H64" s="14">
        <v>69450</v>
      </c>
      <c r="I64" s="14">
        <v>145515</v>
      </c>
    </row>
    <row r="65" spans="5:9" x14ac:dyDescent="0.3">
      <c r="E65" s="27">
        <v>45893</v>
      </c>
      <c r="F65" s="14">
        <v>29</v>
      </c>
      <c r="G65" s="14">
        <v>20300</v>
      </c>
      <c r="H65" s="14">
        <v>0</v>
      </c>
      <c r="I65" s="14">
        <v>20300</v>
      </c>
    </row>
    <row r="66" spans="5:9" x14ac:dyDescent="0.3">
      <c r="E66" s="49" t="s">
        <v>107</v>
      </c>
      <c r="F66" s="14">
        <v>29</v>
      </c>
      <c r="G66" s="14">
        <v>20300</v>
      </c>
      <c r="H66" s="14">
        <v>0</v>
      </c>
      <c r="I66" s="14">
        <v>20300</v>
      </c>
    </row>
    <row r="67" spans="5:9" x14ac:dyDescent="0.3">
      <c r="E67" s="27">
        <v>45895</v>
      </c>
      <c r="F67" s="14">
        <v>516</v>
      </c>
      <c r="G67" s="14">
        <v>394740</v>
      </c>
      <c r="H67" s="14">
        <v>346500</v>
      </c>
      <c r="I67" s="14">
        <v>48240</v>
      </c>
    </row>
    <row r="68" spans="5:9" x14ac:dyDescent="0.3">
      <c r="E68" s="49">
        <v>561</v>
      </c>
      <c r="F68" s="14">
        <v>225</v>
      </c>
      <c r="G68" s="14">
        <v>172125</v>
      </c>
      <c r="H68" s="14">
        <v>346500</v>
      </c>
      <c r="I68" s="14">
        <v>-174375</v>
      </c>
    </row>
    <row r="69" spans="5:9" x14ac:dyDescent="0.3">
      <c r="E69" s="49">
        <v>447</v>
      </c>
      <c r="F69" s="14">
        <v>291</v>
      </c>
      <c r="G69" s="14">
        <v>222615</v>
      </c>
      <c r="H69" s="14"/>
      <c r="I69" s="14">
        <v>222615</v>
      </c>
    </row>
    <row r="70" spans="5:9" x14ac:dyDescent="0.3">
      <c r="E70" s="27">
        <v>45887</v>
      </c>
      <c r="F70" s="14"/>
      <c r="G70" s="14">
        <v>0</v>
      </c>
      <c r="H70" s="14">
        <v>300000</v>
      </c>
      <c r="I70" s="14">
        <v>-300000</v>
      </c>
    </row>
    <row r="71" spans="5:9" x14ac:dyDescent="0.3">
      <c r="E71" s="49" t="s">
        <v>114</v>
      </c>
      <c r="F71" s="14"/>
      <c r="G71" s="14">
        <v>0</v>
      </c>
      <c r="H71" s="14">
        <v>300000</v>
      </c>
      <c r="I71" s="14">
        <v>-300000</v>
      </c>
    </row>
    <row r="72" spans="5:9" x14ac:dyDescent="0.3">
      <c r="E72" s="27">
        <v>45892</v>
      </c>
      <c r="F72" s="14"/>
      <c r="G72" s="14">
        <v>0</v>
      </c>
      <c r="H72" s="14">
        <v>302100</v>
      </c>
      <c r="I72" s="14">
        <v>-302100</v>
      </c>
    </row>
    <row r="73" spans="5:9" x14ac:dyDescent="0.3">
      <c r="E73" s="49" t="s">
        <v>114</v>
      </c>
      <c r="F73" s="14"/>
      <c r="G73" s="14">
        <v>0</v>
      </c>
      <c r="H73" s="14">
        <v>302100</v>
      </c>
      <c r="I73" s="14">
        <v>-302100</v>
      </c>
    </row>
    <row r="74" spans="5:9" x14ac:dyDescent="0.3">
      <c r="E74" s="27">
        <v>45896</v>
      </c>
      <c r="F74" s="14">
        <v>133</v>
      </c>
      <c r="G74" s="14">
        <v>93100</v>
      </c>
      <c r="H74" s="14">
        <v>75000</v>
      </c>
      <c r="I74" s="14">
        <v>18100</v>
      </c>
    </row>
    <row r="75" spans="5:9" x14ac:dyDescent="0.3">
      <c r="E75" s="49">
        <v>5946</v>
      </c>
      <c r="F75" s="14">
        <v>133</v>
      </c>
      <c r="G75" s="14">
        <v>93100</v>
      </c>
      <c r="H75" s="14">
        <v>75000</v>
      </c>
      <c r="I75" s="14">
        <v>18100</v>
      </c>
    </row>
    <row r="76" spans="5:9" x14ac:dyDescent="0.3">
      <c r="E76" s="27">
        <v>45897</v>
      </c>
      <c r="F76" s="14">
        <v>265</v>
      </c>
      <c r="G76" s="14">
        <v>202725</v>
      </c>
      <c r="H76" s="14">
        <v>345250</v>
      </c>
      <c r="I76" s="14">
        <v>-142525</v>
      </c>
    </row>
    <row r="77" spans="5:9" x14ac:dyDescent="0.3">
      <c r="E77" s="49">
        <v>1910</v>
      </c>
      <c r="F77" s="14">
        <v>265</v>
      </c>
      <c r="G77" s="14">
        <v>202725</v>
      </c>
      <c r="H77" s="14">
        <v>345250</v>
      </c>
      <c r="I77" s="14">
        <v>-142525</v>
      </c>
    </row>
    <row r="78" spans="5:9" x14ac:dyDescent="0.3">
      <c r="E78" s="27">
        <v>45899</v>
      </c>
      <c r="F78" s="14"/>
      <c r="G78" s="14">
        <v>0</v>
      </c>
      <c r="H78" s="14">
        <v>340250</v>
      </c>
      <c r="I78" s="14">
        <v>-340250</v>
      </c>
    </row>
    <row r="79" spans="5:9" x14ac:dyDescent="0.3">
      <c r="E79" s="49" t="s">
        <v>114</v>
      </c>
      <c r="F79" s="14"/>
      <c r="G79" s="14">
        <v>0</v>
      </c>
      <c r="H79" s="14">
        <v>340250</v>
      </c>
      <c r="I79" s="14">
        <v>-340250</v>
      </c>
    </row>
    <row r="80" spans="5:9" x14ac:dyDescent="0.3">
      <c r="E80" s="27">
        <v>45900</v>
      </c>
      <c r="F80" s="14">
        <v>220</v>
      </c>
      <c r="G80" s="14">
        <v>168300</v>
      </c>
      <c r="H80" s="14">
        <v>37000</v>
      </c>
      <c r="I80" s="14">
        <v>131300</v>
      </c>
    </row>
    <row r="81" spans="5:9" x14ac:dyDescent="0.3">
      <c r="E81" s="49">
        <v>3229</v>
      </c>
      <c r="F81" s="14">
        <v>220</v>
      </c>
      <c r="G81" s="14">
        <v>168300</v>
      </c>
      <c r="H81" s="14"/>
      <c r="I81" s="14">
        <v>168300</v>
      </c>
    </row>
    <row r="82" spans="5:9" x14ac:dyDescent="0.3">
      <c r="E82" s="49" t="s">
        <v>114</v>
      </c>
      <c r="F82" s="14"/>
      <c r="G82" s="14">
        <v>0</v>
      </c>
      <c r="H82" s="14">
        <v>37000</v>
      </c>
      <c r="I82" s="14">
        <v>-37000</v>
      </c>
    </row>
    <row r="83" spans="5:9" x14ac:dyDescent="0.3">
      <c r="E83" s="27">
        <v>45901</v>
      </c>
      <c r="F83" s="14">
        <v>302</v>
      </c>
      <c r="G83" s="14">
        <v>231030</v>
      </c>
      <c r="H83" s="14">
        <v>34000</v>
      </c>
      <c r="I83" s="14">
        <v>197030</v>
      </c>
    </row>
    <row r="84" spans="5:9" x14ac:dyDescent="0.3">
      <c r="E84" s="49">
        <v>7286</v>
      </c>
      <c r="F84" s="14">
        <v>302</v>
      </c>
      <c r="G84" s="14">
        <v>231030</v>
      </c>
      <c r="H84" s="14">
        <v>34000</v>
      </c>
      <c r="I84" s="14">
        <v>197030</v>
      </c>
    </row>
    <row r="85" spans="5:9" x14ac:dyDescent="0.3">
      <c r="E85" s="27" t="s">
        <v>28</v>
      </c>
      <c r="F85" s="14">
        <v>4378</v>
      </c>
      <c r="G85" s="14">
        <v>3332140</v>
      </c>
      <c r="H85" s="14">
        <v>2717100</v>
      </c>
      <c r="I85" s="14">
        <v>1840487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21"/>
  <sheetViews>
    <sheetView tabSelected="1" topLeftCell="A207" zoomScale="101" workbookViewId="0">
      <selection activeCell="I222" sqref="I22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6640625" bestFit="1" customWidth="1"/>
    <col min="12" max="12" width="12"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80</v>
      </c>
      <c r="B1" t="s">
        <v>121</v>
      </c>
      <c r="C1" t="s">
        <v>75</v>
      </c>
      <c r="D1" t="s">
        <v>73</v>
      </c>
      <c r="E1" t="s">
        <v>38</v>
      </c>
      <c r="F1" t="s">
        <v>122</v>
      </c>
      <c r="G1" t="s">
        <v>123</v>
      </c>
    </row>
    <row r="2" spans="1:16" x14ac:dyDescent="0.3">
      <c r="A2" s="94">
        <v>45886</v>
      </c>
      <c r="B2" s="89" t="s">
        <v>124</v>
      </c>
      <c r="C2" s="11"/>
      <c r="D2" s="95">
        <f>[1]Cashbook!$R$10</f>
        <v>-145318</v>
      </c>
      <c r="E2" s="89"/>
      <c r="F2" s="96" t="s">
        <v>119</v>
      </c>
    </row>
    <row r="3" spans="1:16" x14ac:dyDescent="0.3">
      <c r="A3" s="94">
        <v>45886</v>
      </c>
      <c r="B3" s="89" t="s">
        <v>124</v>
      </c>
      <c r="C3" s="11"/>
      <c r="D3" s="95">
        <f>[1]Cashbook!$R$11</f>
        <v>-716401</v>
      </c>
      <c r="E3" s="89"/>
      <c r="F3" s="96" t="s">
        <v>120</v>
      </c>
      <c r="J3" s="55" t="s">
        <v>48</v>
      </c>
      <c r="K3" s="40" t="s">
        <v>49</v>
      </c>
      <c r="M3" s="55" t="s">
        <v>48</v>
      </c>
      <c r="N3" s="58" t="s">
        <v>115</v>
      </c>
      <c r="O3" s="99" t="s">
        <v>116</v>
      </c>
      <c r="P3" t="s">
        <v>117</v>
      </c>
    </row>
    <row r="4" spans="1:16" x14ac:dyDescent="0.3">
      <c r="A4" s="1">
        <v>45886</v>
      </c>
      <c r="B4" t="s">
        <v>21</v>
      </c>
      <c r="C4" s="11"/>
      <c r="D4" s="11">
        <v>26650</v>
      </c>
      <c r="E4" t="s">
        <v>125</v>
      </c>
      <c r="F4" s="52" t="s">
        <v>119</v>
      </c>
      <c r="J4" s="53" t="s">
        <v>75</v>
      </c>
      <c r="K4" s="54">
        <f>Table14[[#Totals],[Debit]]</f>
        <v>5515440</v>
      </c>
      <c r="M4" s="53" t="s">
        <v>118</v>
      </c>
      <c r="N4" s="59">
        <f>SUMIFS(Table14[Withdrawal],Table14[Party],"Cash",Table14[Mode],"Transfer")</f>
        <v>120000</v>
      </c>
    </row>
    <row r="5" spans="1:16" x14ac:dyDescent="0.3">
      <c r="A5" s="43">
        <v>45886</v>
      </c>
      <c r="B5" t="s">
        <v>104</v>
      </c>
      <c r="C5" s="47">
        <v>26650</v>
      </c>
      <c r="D5" s="47"/>
      <c r="E5" t="s">
        <v>126</v>
      </c>
      <c r="F5" s="52" t="s">
        <v>119</v>
      </c>
      <c r="J5" s="53" t="s">
        <v>73</v>
      </c>
      <c r="K5" s="54">
        <f>Table14[[#Totals],[Credit]]</f>
        <v>6084987</v>
      </c>
      <c r="M5" s="53" t="s">
        <v>119</v>
      </c>
      <c r="N5" s="54">
        <f>(SUMIFS(Table14[Credit],Table14[Mode],"Bank")-SUMIFS(Table14[Debit],Table14[Mode],"Bank")-SUMIFS(Table14[Withdrawal],Table14[Mode],"Transfer"))</f>
        <v>559390</v>
      </c>
      <c r="O5">
        <v>320</v>
      </c>
    </row>
    <row r="6" spans="1:16" x14ac:dyDescent="0.3">
      <c r="A6" s="97">
        <v>45887</v>
      </c>
      <c r="B6" t="s">
        <v>127</v>
      </c>
      <c r="C6" s="11"/>
      <c r="D6" s="11">
        <v>17500</v>
      </c>
      <c r="E6" t="s">
        <v>128</v>
      </c>
      <c r="F6" s="52" t="s">
        <v>119</v>
      </c>
      <c r="J6" s="60" t="s">
        <v>46</v>
      </c>
      <c r="K6" s="61">
        <f>(K5-K4)</f>
        <v>569547</v>
      </c>
      <c r="M6" s="53" t="s">
        <v>120</v>
      </c>
      <c r="N6" s="54">
        <f>((SUMIFS(Table14[Credit],Table14[Mode],"Cash")-SUMIFS(Table14[Debit],Table14[Mode],"Cash"))+SUMIFS(Table14[Withdrawal],Table14[Party],"Cash",Table14[Mode],"Transfer"))</f>
        <v>10157</v>
      </c>
      <c r="O6">
        <v>1520</v>
      </c>
    </row>
    <row r="7" spans="1:16" x14ac:dyDescent="0.3">
      <c r="A7" s="97">
        <v>45887</v>
      </c>
      <c r="B7" t="s">
        <v>58</v>
      </c>
      <c r="C7" s="11">
        <v>4500</v>
      </c>
      <c r="D7" s="11"/>
      <c r="E7" t="s">
        <v>129</v>
      </c>
      <c r="F7" s="52" t="s">
        <v>119</v>
      </c>
      <c r="M7" s="56" t="s">
        <v>5</v>
      </c>
      <c r="N7" s="57">
        <f>SUM(N5:N6)</f>
        <v>569547</v>
      </c>
      <c r="O7" s="100">
        <f>SUM(O5,O6)</f>
        <v>1840</v>
      </c>
      <c r="P7" s="14">
        <f>Table18[[#Totals],[amount]]-Table18[[#Totals],[Actual]]</f>
        <v>567707</v>
      </c>
    </row>
    <row r="8" spans="1:16" x14ac:dyDescent="0.3">
      <c r="A8" s="97">
        <v>45887</v>
      </c>
      <c r="B8" t="s">
        <v>21</v>
      </c>
      <c r="C8" s="11"/>
      <c r="D8" s="11">
        <v>400000</v>
      </c>
      <c r="E8" t="s">
        <v>89</v>
      </c>
      <c r="F8" s="52" t="s">
        <v>119</v>
      </c>
    </row>
    <row r="9" spans="1:16" x14ac:dyDescent="0.3">
      <c r="A9" s="97">
        <v>45887</v>
      </c>
      <c r="B9" t="s">
        <v>104</v>
      </c>
      <c r="C9" s="11">
        <v>300000</v>
      </c>
      <c r="D9" s="11"/>
      <c r="E9" t="s">
        <v>130</v>
      </c>
      <c r="F9" s="52" t="s">
        <v>119</v>
      </c>
    </row>
    <row r="10" spans="1:16" x14ac:dyDescent="0.3">
      <c r="A10" s="97">
        <v>45887</v>
      </c>
      <c r="B10" t="s">
        <v>58</v>
      </c>
      <c r="C10" s="11">
        <v>1100</v>
      </c>
      <c r="D10" s="11"/>
      <c r="E10" t="s">
        <v>131</v>
      </c>
      <c r="F10" s="52" t="s">
        <v>120</v>
      </c>
    </row>
    <row r="11" spans="1:16" x14ac:dyDescent="0.3">
      <c r="A11" s="97">
        <v>45887</v>
      </c>
      <c r="B11" t="s">
        <v>57</v>
      </c>
      <c r="C11" s="11">
        <v>1000</v>
      </c>
      <c r="D11" s="11"/>
      <c r="E11" t="s">
        <v>132</v>
      </c>
      <c r="F11" s="52" t="s">
        <v>120</v>
      </c>
    </row>
    <row r="12" spans="1:16" x14ac:dyDescent="0.3">
      <c r="A12" s="97">
        <v>45887</v>
      </c>
      <c r="B12" t="s">
        <v>53</v>
      </c>
      <c r="C12" s="11">
        <v>260</v>
      </c>
      <c r="D12" s="11"/>
      <c r="E12" t="s">
        <v>133</v>
      </c>
      <c r="F12" s="52" t="s">
        <v>119</v>
      </c>
    </row>
    <row r="13" spans="1:16" x14ac:dyDescent="0.3">
      <c r="A13" s="97">
        <v>45887</v>
      </c>
      <c r="B13" t="s">
        <v>57</v>
      </c>
      <c r="C13" s="47">
        <v>4869</v>
      </c>
      <c r="D13" s="47"/>
      <c r="E13" t="s">
        <v>134</v>
      </c>
      <c r="F13" s="52" t="s">
        <v>119</v>
      </c>
    </row>
    <row r="14" spans="1:16" x14ac:dyDescent="0.3">
      <c r="A14" s="43">
        <v>45887</v>
      </c>
      <c r="B14" t="s">
        <v>25</v>
      </c>
      <c r="C14" s="47"/>
      <c r="D14" s="47">
        <v>100000</v>
      </c>
      <c r="E14" t="s">
        <v>135</v>
      </c>
      <c r="F14" s="52" t="s">
        <v>119</v>
      </c>
    </row>
    <row r="15" spans="1:16" x14ac:dyDescent="0.3">
      <c r="A15" s="97">
        <v>45887</v>
      </c>
      <c r="B15" t="s">
        <v>25</v>
      </c>
      <c r="C15" s="47"/>
      <c r="D15" s="47">
        <v>140000</v>
      </c>
      <c r="E15" t="s">
        <v>89</v>
      </c>
      <c r="F15" s="52" t="s">
        <v>119</v>
      </c>
    </row>
    <row r="16" spans="1:16" x14ac:dyDescent="0.3">
      <c r="A16" s="43">
        <v>45888</v>
      </c>
      <c r="B16" t="s">
        <v>22</v>
      </c>
      <c r="C16" s="11"/>
      <c r="D16" s="11">
        <v>72000</v>
      </c>
      <c r="E16" t="s">
        <v>89</v>
      </c>
      <c r="F16" s="52" t="s">
        <v>120</v>
      </c>
    </row>
    <row r="17" spans="1:6" x14ac:dyDescent="0.3">
      <c r="A17" s="97">
        <v>45888</v>
      </c>
      <c r="B17" t="s">
        <v>104</v>
      </c>
      <c r="C17" s="11">
        <v>31000</v>
      </c>
      <c r="D17" s="11"/>
      <c r="E17" t="s">
        <v>136</v>
      </c>
      <c r="F17" s="52" t="s">
        <v>120</v>
      </c>
    </row>
    <row r="18" spans="1:6" x14ac:dyDescent="0.3">
      <c r="A18" s="43">
        <v>45888</v>
      </c>
      <c r="B18" t="s">
        <v>21</v>
      </c>
      <c r="C18" s="11"/>
      <c r="D18" s="11">
        <f>2600+1300</f>
        <v>3900</v>
      </c>
      <c r="F18" s="52" t="s">
        <v>119</v>
      </c>
    </row>
    <row r="19" spans="1:6" x14ac:dyDescent="0.3">
      <c r="A19" s="97">
        <v>45888</v>
      </c>
      <c r="B19" t="s">
        <v>58</v>
      </c>
      <c r="C19" s="11">
        <v>1300</v>
      </c>
      <c r="D19" s="11"/>
      <c r="E19" t="s">
        <v>137</v>
      </c>
      <c r="F19" s="52" t="s">
        <v>119</v>
      </c>
    </row>
    <row r="20" spans="1:6" x14ac:dyDescent="0.3">
      <c r="A20" s="43">
        <v>45888</v>
      </c>
      <c r="B20" t="s">
        <v>53</v>
      </c>
      <c r="C20" s="11">
        <v>2600</v>
      </c>
      <c r="D20" s="11"/>
      <c r="E20" t="s">
        <v>138</v>
      </c>
      <c r="F20" s="52" t="s">
        <v>119</v>
      </c>
    </row>
    <row r="21" spans="1:6" x14ac:dyDescent="0.3">
      <c r="A21" s="97">
        <v>45888</v>
      </c>
      <c r="B21" t="s">
        <v>139</v>
      </c>
      <c r="C21" s="11">
        <v>3430</v>
      </c>
      <c r="D21" s="11"/>
      <c r="F21" s="52" t="s">
        <v>119</v>
      </c>
    </row>
    <row r="22" spans="1:6" x14ac:dyDescent="0.3">
      <c r="A22" s="43">
        <v>45888</v>
      </c>
      <c r="B22" t="s">
        <v>21</v>
      </c>
      <c r="C22" s="11"/>
      <c r="D22" s="11">
        <v>46500</v>
      </c>
      <c r="F22" s="52" t="s">
        <v>119</v>
      </c>
    </row>
    <row r="23" spans="1:6" x14ac:dyDescent="0.3">
      <c r="A23" s="97">
        <v>45888</v>
      </c>
      <c r="B23" t="s">
        <v>25</v>
      </c>
      <c r="C23" s="11"/>
      <c r="D23" s="11">
        <v>260000</v>
      </c>
      <c r="F23" s="52" t="s">
        <v>119</v>
      </c>
    </row>
    <row r="24" spans="1:6" x14ac:dyDescent="0.3">
      <c r="A24" s="43">
        <v>45888</v>
      </c>
      <c r="B24" t="s">
        <v>104</v>
      </c>
      <c r="C24" s="11">
        <v>300500</v>
      </c>
      <c r="D24" s="11"/>
      <c r="F24" s="52" t="s">
        <v>119</v>
      </c>
    </row>
    <row r="25" spans="1:6" x14ac:dyDescent="0.3">
      <c r="A25" s="97">
        <v>45888</v>
      </c>
      <c r="B25" t="s">
        <v>140</v>
      </c>
      <c r="C25" s="11">
        <v>46500</v>
      </c>
      <c r="D25" s="11"/>
      <c r="E25" t="s">
        <v>141</v>
      </c>
      <c r="F25" s="52" t="s">
        <v>119</v>
      </c>
    </row>
    <row r="26" spans="1:6" x14ac:dyDescent="0.3">
      <c r="A26" s="97">
        <v>45888</v>
      </c>
      <c r="B26" t="s">
        <v>140</v>
      </c>
      <c r="C26" s="11">
        <v>13600</v>
      </c>
      <c r="D26" s="11"/>
      <c r="E26" t="s">
        <v>142</v>
      </c>
      <c r="F26" s="52" t="s">
        <v>119</v>
      </c>
    </row>
    <row r="27" spans="1:6" x14ac:dyDescent="0.3">
      <c r="A27" s="43">
        <v>45888</v>
      </c>
      <c r="B27" t="s">
        <v>21</v>
      </c>
      <c r="C27" s="11"/>
      <c r="D27" s="11">
        <v>13600</v>
      </c>
      <c r="F27" s="52" t="s">
        <v>119</v>
      </c>
    </row>
    <row r="28" spans="1:6" x14ac:dyDescent="0.3">
      <c r="A28" s="97">
        <v>45888</v>
      </c>
      <c r="B28" t="s">
        <v>58</v>
      </c>
      <c r="C28" s="11">
        <v>1600</v>
      </c>
      <c r="D28" s="11"/>
      <c r="F28" s="52" t="s">
        <v>119</v>
      </c>
    </row>
    <row r="29" spans="1:6" x14ac:dyDescent="0.3">
      <c r="A29" s="97">
        <v>45888</v>
      </c>
      <c r="B29" t="s">
        <v>143</v>
      </c>
      <c r="C29" s="11"/>
      <c r="D29" s="11">
        <v>1600</v>
      </c>
      <c r="F29" s="52" t="s">
        <v>119</v>
      </c>
    </row>
    <row r="30" spans="1:6" x14ac:dyDescent="0.3">
      <c r="A30" s="43">
        <v>45888</v>
      </c>
      <c r="B30" t="s">
        <v>21</v>
      </c>
      <c r="C30" s="11"/>
      <c r="D30" s="11">
        <v>1000</v>
      </c>
      <c r="E30" t="s">
        <v>144</v>
      </c>
      <c r="F30" s="52" t="s">
        <v>119</v>
      </c>
    </row>
    <row r="31" spans="1:6" x14ac:dyDescent="0.3">
      <c r="A31" s="97">
        <v>45888</v>
      </c>
      <c r="B31" t="s">
        <v>57</v>
      </c>
      <c r="C31" s="11">
        <v>1000</v>
      </c>
      <c r="D31" s="11"/>
      <c r="E31" t="s">
        <v>144</v>
      </c>
      <c r="F31" s="52" t="s">
        <v>119</v>
      </c>
    </row>
    <row r="32" spans="1:6" x14ac:dyDescent="0.3">
      <c r="A32" s="97">
        <v>45888</v>
      </c>
      <c r="B32" t="s">
        <v>21</v>
      </c>
      <c r="C32" s="11"/>
      <c r="D32" s="11">
        <v>14365</v>
      </c>
      <c r="F32" s="52" t="s">
        <v>119</v>
      </c>
    </row>
    <row r="33" spans="1:6" x14ac:dyDescent="0.3">
      <c r="A33" s="97">
        <v>45888</v>
      </c>
      <c r="B33" t="s">
        <v>58</v>
      </c>
      <c r="C33" s="11">
        <v>14365</v>
      </c>
      <c r="D33" s="11"/>
      <c r="E33" t="s">
        <v>131</v>
      </c>
      <c r="F33" s="52" t="s">
        <v>119</v>
      </c>
    </row>
    <row r="34" spans="1:6" x14ac:dyDescent="0.3">
      <c r="A34" s="97">
        <v>45888</v>
      </c>
      <c r="B34" t="s">
        <v>145</v>
      </c>
      <c r="C34" s="11">
        <v>567500</v>
      </c>
      <c r="D34" s="11"/>
      <c r="E34" t="s">
        <v>140</v>
      </c>
      <c r="F34" s="52" t="s">
        <v>119</v>
      </c>
    </row>
    <row r="35" spans="1:6" x14ac:dyDescent="0.3">
      <c r="A35" s="97">
        <v>45888</v>
      </c>
      <c r="B35" t="s">
        <v>22</v>
      </c>
      <c r="C35" s="11"/>
      <c r="D35" s="11">
        <v>340354</v>
      </c>
      <c r="F35" s="52" t="s">
        <v>119</v>
      </c>
    </row>
    <row r="36" spans="1:6" x14ac:dyDescent="0.3">
      <c r="A36" s="97">
        <v>45888</v>
      </c>
      <c r="B36" t="s">
        <v>143</v>
      </c>
      <c r="C36" s="11">
        <v>2700</v>
      </c>
      <c r="D36" s="11"/>
      <c r="E36" t="s">
        <v>146</v>
      </c>
      <c r="F36" s="52" t="s">
        <v>120</v>
      </c>
    </row>
    <row r="37" spans="1:6" x14ac:dyDescent="0.3">
      <c r="A37" s="43">
        <v>45888</v>
      </c>
      <c r="B37" t="s">
        <v>147</v>
      </c>
      <c r="C37" s="47"/>
      <c r="D37" s="47">
        <v>200000</v>
      </c>
      <c r="F37" s="52" t="s">
        <v>119</v>
      </c>
    </row>
    <row r="38" spans="1:6" x14ac:dyDescent="0.3">
      <c r="A38" s="97">
        <v>45888</v>
      </c>
      <c r="B38" t="s">
        <v>21</v>
      </c>
      <c r="C38" s="11"/>
      <c r="D38" s="11">
        <v>27500</v>
      </c>
      <c r="F38" s="52" t="s">
        <v>119</v>
      </c>
    </row>
    <row r="39" spans="1:6" x14ac:dyDescent="0.3">
      <c r="A39" s="43">
        <v>45888</v>
      </c>
      <c r="B39" t="s">
        <v>143</v>
      </c>
      <c r="C39" s="47">
        <v>354</v>
      </c>
      <c r="D39" s="47"/>
      <c r="E39" t="s">
        <v>148</v>
      </c>
      <c r="F39" s="52" t="s">
        <v>119</v>
      </c>
    </row>
    <row r="40" spans="1:6" x14ac:dyDescent="0.3">
      <c r="A40" s="43">
        <v>45889</v>
      </c>
      <c r="B40" t="s">
        <v>104</v>
      </c>
      <c r="C40" s="11">
        <v>102000</v>
      </c>
      <c r="D40" s="11"/>
      <c r="E40" t="s">
        <v>130</v>
      </c>
      <c r="F40" s="52" t="s">
        <v>119</v>
      </c>
    </row>
    <row r="41" spans="1:6" x14ac:dyDescent="0.3">
      <c r="A41" s="43">
        <v>45889</v>
      </c>
      <c r="B41" t="s">
        <v>53</v>
      </c>
      <c r="C41" s="11">
        <v>1200</v>
      </c>
      <c r="D41" s="11"/>
      <c r="E41" t="s">
        <v>149</v>
      </c>
      <c r="F41" s="52" t="s">
        <v>120</v>
      </c>
    </row>
    <row r="42" spans="1:6" x14ac:dyDescent="0.3">
      <c r="A42" s="43">
        <v>45889</v>
      </c>
      <c r="B42" t="s">
        <v>53</v>
      </c>
      <c r="C42" s="11">
        <v>900</v>
      </c>
      <c r="D42" s="11"/>
      <c r="E42" t="s">
        <v>150</v>
      </c>
      <c r="F42" s="52" t="s">
        <v>120</v>
      </c>
    </row>
    <row r="43" spans="1:6" x14ac:dyDescent="0.3">
      <c r="A43" s="43">
        <v>45889</v>
      </c>
      <c r="B43" t="s">
        <v>58</v>
      </c>
      <c r="C43" s="11">
        <v>1590</v>
      </c>
      <c r="D43" s="11"/>
      <c r="E43" t="s">
        <v>137</v>
      </c>
      <c r="F43" s="52" t="s">
        <v>120</v>
      </c>
    </row>
    <row r="44" spans="1:6" x14ac:dyDescent="0.3">
      <c r="A44" s="43">
        <v>45889</v>
      </c>
      <c r="B44" t="s">
        <v>57</v>
      </c>
      <c r="C44" s="47">
        <v>2800</v>
      </c>
      <c r="D44" s="47"/>
      <c r="E44" t="s">
        <v>151</v>
      </c>
      <c r="F44" s="52" t="s">
        <v>120</v>
      </c>
    </row>
    <row r="45" spans="1:6" x14ac:dyDescent="0.3">
      <c r="A45" s="43">
        <v>45889</v>
      </c>
      <c r="B45" t="s">
        <v>53</v>
      </c>
      <c r="C45" s="11">
        <v>420</v>
      </c>
      <c r="D45" s="11"/>
      <c r="E45" t="s">
        <v>152</v>
      </c>
      <c r="F45" s="52" t="s">
        <v>120</v>
      </c>
    </row>
    <row r="46" spans="1:6" x14ac:dyDescent="0.3">
      <c r="A46" s="43">
        <v>45889</v>
      </c>
      <c r="B46" t="s">
        <v>143</v>
      </c>
      <c r="C46" s="11"/>
      <c r="D46" s="11">
        <f>3600-120</f>
        <v>3480</v>
      </c>
      <c r="F46" s="52" t="s">
        <v>120</v>
      </c>
    </row>
    <row r="47" spans="1:6" x14ac:dyDescent="0.3">
      <c r="A47" s="43">
        <v>45889</v>
      </c>
      <c r="B47" t="s">
        <v>57</v>
      </c>
      <c r="C47" s="11">
        <v>4320</v>
      </c>
      <c r="D47" s="11"/>
      <c r="E47" t="s">
        <v>134</v>
      </c>
      <c r="F47" s="52" t="s">
        <v>119</v>
      </c>
    </row>
    <row r="48" spans="1:6" x14ac:dyDescent="0.3">
      <c r="A48" s="43">
        <v>45889</v>
      </c>
      <c r="B48" t="s">
        <v>21</v>
      </c>
      <c r="C48" s="11"/>
      <c r="D48" s="11">
        <v>4320</v>
      </c>
      <c r="E48" t="s">
        <v>134</v>
      </c>
      <c r="F48" s="52" t="s">
        <v>119</v>
      </c>
    </row>
    <row r="49" spans="1:6" x14ac:dyDescent="0.3">
      <c r="A49" s="43">
        <v>45889</v>
      </c>
      <c r="B49" t="s">
        <v>53</v>
      </c>
      <c r="C49" s="11">
        <v>400</v>
      </c>
      <c r="D49" s="11"/>
      <c r="E49" t="s">
        <v>153</v>
      </c>
      <c r="F49" s="52" t="s">
        <v>120</v>
      </c>
    </row>
    <row r="50" spans="1:6" x14ac:dyDescent="0.3">
      <c r="A50" s="43">
        <v>45889</v>
      </c>
      <c r="B50" t="s">
        <v>154</v>
      </c>
      <c r="C50" s="11">
        <v>1000</v>
      </c>
      <c r="D50" s="11"/>
      <c r="E50" t="s">
        <v>239</v>
      </c>
      <c r="F50" s="52" t="s">
        <v>120</v>
      </c>
    </row>
    <row r="51" spans="1:6" x14ac:dyDescent="0.3">
      <c r="A51" s="97">
        <v>45889</v>
      </c>
      <c r="B51" t="s">
        <v>155</v>
      </c>
      <c r="C51" s="11">
        <v>60000</v>
      </c>
      <c r="D51" s="11"/>
      <c r="E51" t="s">
        <v>156</v>
      </c>
      <c r="F51" s="52" t="s">
        <v>119</v>
      </c>
    </row>
    <row r="52" spans="1:6" x14ac:dyDescent="0.3">
      <c r="A52" s="97">
        <v>45889</v>
      </c>
      <c r="B52" t="s">
        <v>21</v>
      </c>
      <c r="C52" s="11"/>
      <c r="D52" s="11">
        <v>60000</v>
      </c>
      <c r="E52" t="s">
        <v>156</v>
      </c>
      <c r="F52" s="52" t="s">
        <v>119</v>
      </c>
    </row>
    <row r="53" spans="1:6" x14ac:dyDescent="0.3">
      <c r="A53" s="97">
        <v>45890</v>
      </c>
      <c r="B53" t="s">
        <v>9</v>
      </c>
      <c r="C53" s="47"/>
      <c r="D53" s="47">
        <v>100000</v>
      </c>
      <c r="F53" s="52" t="s">
        <v>119</v>
      </c>
    </row>
    <row r="54" spans="1:6" x14ac:dyDescent="0.3">
      <c r="A54" s="97">
        <v>45890</v>
      </c>
      <c r="B54" t="s">
        <v>9</v>
      </c>
      <c r="C54" s="11"/>
      <c r="D54" s="11">
        <v>229210</v>
      </c>
      <c r="F54" s="52" t="s">
        <v>119</v>
      </c>
    </row>
    <row r="55" spans="1:6" x14ac:dyDescent="0.3">
      <c r="A55" s="97">
        <v>45890</v>
      </c>
      <c r="B55" t="s">
        <v>104</v>
      </c>
      <c r="C55" s="11">
        <v>29500</v>
      </c>
      <c r="D55" s="11"/>
      <c r="F55" s="52" t="s">
        <v>120</v>
      </c>
    </row>
    <row r="56" spans="1:6" x14ac:dyDescent="0.3">
      <c r="A56" s="97">
        <v>45890</v>
      </c>
      <c r="B56" t="s">
        <v>53</v>
      </c>
      <c r="C56" s="11">
        <v>17500</v>
      </c>
      <c r="D56" s="11"/>
      <c r="E56" t="s">
        <v>157</v>
      </c>
      <c r="F56" s="52" t="s">
        <v>119</v>
      </c>
    </row>
    <row r="57" spans="1:6" x14ac:dyDescent="0.3">
      <c r="A57" s="97">
        <v>45890</v>
      </c>
      <c r="B57" t="s">
        <v>143</v>
      </c>
      <c r="C57" s="11">
        <v>2000</v>
      </c>
      <c r="D57" s="11"/>
      <c r="F57" s="52" t="s">
        <v>120</v>
      </c>
    </row>
    <row r="58" spans="1:6" x14ac:dyDescent="0.3">
      <c r="A58" s="97">
        <v>45890</v>
      </c>
      <c r="B58" t="s">
        <v>53</v>
      </c>
      <c r="C58" s="11">
        <v>940</v>
      </c>
      <c r="D58" s="11"/>
      <c r="F58" s="52" t="s">
        <v>119</v>
      </c>
    </row>
    <row r="59" spans="1:6" x14ac:dyDescent="0.3">
      <c r="A59" s="97">
        <v>45890</v>
      </c>
      <c r="B59" t="s">
        <v>127</v>
      </c>
      <c r="C59" s="11"/>
      <c r="D59" s="11">
        <v>940</v>
      </c>
      <c r="F59" s="52" t="s">
        <v>119</v>
      </c>
    </row>
    <row r="60" spans="1:6" x14ac:dyDescent="0.3">
      <c r="A60" s="97">
        <v>45890</v>
      </c>
      <c r="B60" t="s">
        <v>104</v>
      </c>
      <c r="C60" s="47">
        <v>36000</v>
      </c>
      <c r="D60" s="47"/>
      <c r="F60" s="52" t="s">
        <v>120</v>
      </c>
    </row>
    <row r="61" spans="1:6" x14ac:dyDescent="0.3">
      <c r="A61" s="97">
        <v>45890</v>
      </c>
      <c r="B61" t="s">
        <v>104</v>
      </c>
      <c r="C61" s="11">
        <v>40400</v>
      </c>
      <c r="D61" s="11"/>
      <c r="F61" s="52" t="s">
        <v>120</v>
      </c>
    </row>
    <row r="62" spans="1:6" x14ac:dyDescent="0.3">
      <c r="A62" s="97">
        <v>45890</v>
      </c>
      <c r="B62" t="s">
        <v>58</v>
      </c>
      <c r="C62" s="11">
        <v>4850</v>
      </c>
      <c r="D62" s="11"/>
      <c r="E62" t="s">
        <v>158</v>
      </c>
      <c r="F62" s="52" t="s">
        <v>119</v>
      </c>
    </row>
    <row r="63" spans="1:6" x14ac:dyDescent="0.3">
      <c r="A63" s="97">
        <v>45890</v>
      </c>
      <c r="B63" t="s">
        <v>127</v>
      </c>
      <c r="C63" s="11"/>
      <c r="D63" s="11">
        <v>40000</v>
      </c>
      <c r="F63" s="52" t="s">
        <v>120</v>
      </c>
    </row>
    <row r="64" spans="1:6" x14ac:dyDescent="0.3">
      <c r="A64" s="97">
        <v>45890</v>
      </c>
      <c r="B64" t="s">
        <v>127</v>
      </c>
      <c r="C64" s="11">
        <v>58400</v>
      </c>
      <c r="D64" s="11"/>
      <c r="F64" s="52" t="s">
        <v>119</v>
      </c>
    </row>
    <row r="65" spans="1:7" x14ac:dyDescent="0.3">
      <c r="A65" s="97">
        <v>45890</v>
      </c>
      <c r="B65" t="s">
        <v>154</v>
      </c>
      <c r="C65" s="11">
        <v>5000</v>
      </c>
      <c r="D65" s="11"/>
      <c r="E65" t="s">
        <v>159</v>
      </c>
      <c r="F65" s="52" t="s">
        <v>120</v>
      </c>
    </row>
    <row r="66" spans="1:7" x14ac:dyDescent="0.3">
      <c r="A66" s="97">
        <v>45890</v>
      </c>
      <c r="B66" t="s">
        <v>104</v>
      </c>
      <c r="C66" s="11">
        <v>301500</v>
      </c>
      <c r="D66" s="11"/>
      <c r="F66" s="52" t="s">
        <v>119</v>
      </c>
    </row>
    <row r="67" spans="1:7" x14ac:dyDescent="0.3">
      <c r="A67" s="97">
        <v>45890</v>
      </c>
      <c r="B67" t="s">
        <v>21</v>
      </c>
      <c r="C67" s="11"/>
      <c r="D67" s="11">
        <v>6000</v>
      </c>
      <c r="E67" t="s">
        <v>160</v>
      </c>
      <c r="F67" s="52" t="s">
        <v>119</v>
      </c>
    </row>
    <row r="68" spans="1:7" x14ac:dyDescent="0.3">
      <c r="A68" s="97">
        <v>45890</v>
      </c>
      <c r="B68" t="s">
        <v>57</v>
      </c>
      <c r="C68" s="11">
        <v>6000</v>
      </c>
      <c r="D68" s="11"/>
      <c r="F68" s="52" t="s">
        <v>119</v>
      </c>
    </row>
    <row r="69" spans="1:7" x14ac:dyDescent="0.3">
      <c r="A69" s="97">
        <v>45890</v>
      </c>
      <c r="B69" t="s">
        <v>120</v>
      </c>
      <c r="C69" s="11"/>
      <c r="D69" s="11"/>
      <c r="F69" s="52" t="s">
        <v>161</v>
      </c>
      <c r="G69">
        <v>40000</v>
      </c>
    </row>
    <row r="70" spans="1:7" x14ac:dyDescent="0.3">
      <c r="A70" s="97">
        <v>45890</v>
      </c>
      <c r="B70" t="s">
        <v>139</v>
      </c>
      <c r="C70" s="11">
        <v>1742</v>
      </c>
      <c r="D70" s="11"/>
      <c r="F70" s="52" t="s">
        <v>120</v>
      </c>
    </row>
    <row r="71" spans="1:7" x14ac:dyDescent="0.3">
      <c r="A71" s="97">
        <v>45890</v>
      </c>
      <c r="B71" t="s">
        <v>162</v>
      </c>
      <c r="C71" s="11">
        <v>8218</v>
      </c>
      <c r="D71" s="11"/>
      <c r="F71" s="52" t="s">
        <v>119</v>
      </c>
    </row>
    <row r="72" spans="1:7" x14ac:dyDescent="0.3">
      <c r="A72" s="43">
        <v>45890</v>
      </c>
      <c r="B72" t="s">
        <v>53</v>
      </c>
      <c r="C72" s="47">
        <f>35*3</f>
        <v>105</v>
      </c>
      <c r="D72" s="47"/>
      <c r="E72" t="s">
        <v>163</v>
      </c>
      <c r="F72" s="52" t="s">
        <v>119</v>
      </c>
    </row>
    <row r="73" spans="1:7" x14ac:dyDescent="0.3">
      <c r="A73" s="97">
        <v>45890</v>
      </c>
      <c r="B73" t="s">
        <v>53</v>
      </c>
      <c r="C73" s="11">
        <f>60*8</f>
        <v>480</v>
      </c>
      <c r="D73" s="11"/>
      <c r="E73" t="s">
        <v>164</v>
      </c>
      <c r="F73" s="52" t="s">
        <v>119</v>
      </c>
    </row>
    <row r="74" spans="1:7" x14ac:dyDescent="0.3">
      <c r="A74" s="43">
        <v>45891</v>
      </c>
      <c r="B74" t="s">
        <v>165</v>
      </c>
      <c r="C74" s="47">
        <v>827438</v>
      </c>
      <c r="D74" s="47"/>
      <c r="E74" t="s">
        <v>166</v>
      </c>
      <c r="F74" s="52" t="s">
        <v>119</v>
      </c>
    </row>
    <row r="75" spans="1:7" x14ac:dyDescent="0.3">
      <c r="A75" s="97">
        <v>45891</v>
      </c>
      <c r="B75" t="s">
        <v>21</v>
      </c>
      <c r="C75" s="11"/>
      <c r="D75" s="11">
        <v>527438</v>
      </c>
      <c r="F75" s="52" t="s">
        <v>119</v>
      </c>
    </row>
    <row r="76" spans="1:7" x14ac:dyDescent="0.3">
      <c r="A76" s="43">
        <v>45891</v>
      </c>
      <c r="B76" t="s">
        <v>24</v>
      </c>
      <c r="C76" s="11"/>
      <c r="D76" s="11">
        <v>300000</v>
      </c>
      <c r="E76" t="s">
        <v>167</v>
      </c>
      <c r="F76" s="52" t="s">
        <v>119</v>
      </c>
    </row>
    <row r="77" spans="1:7" x14ac:dyDescent="0.3">
      <c r="A77" s="97">
        <v>45891</v>
      </c>
      <c r="B77" t="s">
        <v>127</v>
      </c>
      <c r="C77" s="11"/>
      <c r="D77" s="11">
        <v>4600</v>
      </c>
      <c r="F77" s="52" t="s">
        <v>119</v>
      </c>
    </row>
    <row r="78" spans="1:7" x14ac:dyDescent="0.3">
      <c r="A78" s="43">
        <v>45891</v>
      </c>
      <c r="B78" t="s">
        <v>143</v>
      </c>
      <c r="C78" s="11">
        <v>4600</v>
      </c>
      <c r="D78" s="11"/>
      <c r="F78" s="52" t="s">
        <v>119</v>
      </c>
    </row>
    <row r="79" spans="1:7" x14ac:dyDescent="0.3">
      <c r="A79" s="97">
        <v>45891</v>
      </c>
      <c r="B79" t="s">
        <v>21</v>
      </c>
      <c r="C79" s="11"/>
      <c r="D79" s="11">
        <v>1000</v>
      </c>
      <c r="E79" t="s">
        <v>144</v>
      </c>
      <c r="F79" s="52" t="s">
        <v>119</v>
      </c>
    </row>
    <row r="80" spans="1:7" x14ac:dyDescent="0.3">
      <c r="A80" s="43">
        <v>45891</v>
      </c>
      <c r="B80" t="s">
        <v>57</v>
      </c>
      <c r="C80" s="11">
        <v>1000</v>
      </c>
      <c r="D80" s="11"/>
      <c r="E80" t="s">
        <v>144</v>
      </c>
      <c r="F80" s="52" t="s">
        <v>119</v>
      </c>
    </row>
    <row r="81" spans="1:6" x14ac:dyDescent="0.3">
      <c r="A81" s="97">
        <v>45891</v>
      </c>
      <c r="B81" t="s">
        <v>127</v>
      </c>
      <c r="C81" s="11"/>
      <c r="D81" s="11">
        <v>450</v>
      </c>
      <c r="F81" s="52" t="s">
        <v>119</v>
      </c>
    </row>
    <row r="82" spans="1:6" x14ac:dyDescent="0.3">
      <c r="A82" s="43">
        <v>45891</v>
      </c>
      <c r="B82" t="s">
        <v>58</v>
      </c>
      <c r="C82" s="47">
        <v>450</v>
      </c>
      <c r="D82" s="47"/>
      <c r="E82" t="s">
        <v>168</v>
      </c>
      <c r="F82" s="52" t="s">
        <v>119</v>
      </c>
    </row>
    <row r="83" spans="1:6" x14ac:dyDescent="0.3">
      <c r="A83" s="97">
        <v>45891</v>
      </c>
      <c r="B83" t="s">
        <v>57</v>
      </c>
      <c r="C83" s="11">
        <v>4680</v>
      </c>
      <c r="D83" s="11"/>
      <c r="E83" t="s">
        <v>134</v>
      </c>
      <c r="F83" s="52" t="s">
        <v>119</v>
      </c>
    </row>
    <row r="84" spans="1:6" x14ac:dyDescent="0.3">
      <c r="A84" s="43">
        <v>45891</v>
      </c>
      <c r="B84" t="s">
        <v>21</v>
      </c>
      <c r="C84" s="11"/>
      <c r="D84" s="11">
        <v>4680</v>
      </c>
      <c r="F84" s="52" t="s">
        <v>119</v>
      </c>
    </row>
    <row r="85" spans="1:6" x14ac:dyDescent="0.3">
      <c r="A85" s="43">
        <v>45892</v>
      </c>
      <c r="B85" t="s">
        <v>127</v>
      </c>
      <c r="C85" s="11"/>
      <c r="D85" s="11">
        <v>5320</v>
      </c>
      <c r="F85" s="52" t="s">
        <v>119</v>
      </c>
    </row>
    <row r="86" spans="1:6" x14ac:dyDescent="0.3">
      <c r="A86" s="97">
        <v>45892</v>
      </c>
      <c r="B86" t="s">
        <v>57</v>
      </c>
      <c r="C86" s="11">
        <v>5320</v>
      </c>
      <c r="D86" s="11"/>
      <c r="E86" t="s">
        <v>169</v>
      </c>
      <c r="F86" s="52" t="s">
        <v>119</v>
      </c>
    </row>
    <row r="87" spans="1:6" x14ac:dyDescent="0.3">
      <c r="A87" s="43">
        <v>45892</v>
      </c>
      <c r="B87" t="s">
        <v>21</v>
      </c>
      <c r="C87" s="11"/>
      <c r="D87" s="11">
        <v>350000</v>
      </c>
      <c r="F87" s="52" t="s">
        <v>119</v>
      </c>
    </row>
    <row r="88" spans="1:6" x14ac:dyDescent="0.3">
      <c r="A88" s="97">
        <v>45892</v>
      </c>
      <c r="B88" t="s">
        <v>170</v>
      </c>
      <c r="C88" s="11">
        <v>43500</v>
      </c>
      <c r="D88" s="11"/>
      <c r="E88" t="s">
        <v>171</v>
      </c>
      <c r="F88" s="52" t="s">
        <v>119</v>
      </c>
    </row>
    <row r="89" spans="1:6" x14ac:dyDescent="0.3">
      <c r="A89" s="43">
        <v>45892</v>
      </c>
      <c r="B89" t="s">
        <v>170</v>
      </c>
      <c r="C89" s="11">
        <v>9600</v>
      </c>
      <c r="D89" s="11"/>
      <c r="E89" t="s">
        <v>172</v>
      </c>
      <c r="F89" s="52" t="s">
        <v>119</v>
      </c>
    </row>
    <row r="90" spans="1:6" x14ac:dyDescent="0.3">
      <c r="A90" s="97">
        <v>45892</v>
      </c>
      <c r="B90" t="s">
        <v>140</v>
      </c>
      <c r="C90" s="11">
        <v>12000</v>
      </c>
      <c r="D90" s="11"/>
      <c r="E90" t="s">
        <v>173</v>
      </c>
      <c r="F90" s="52" t="s">
        <v>119</v>
      </c>
    </row>
    <row r="91" spans="1:6" x14ac:dyDescent="0.3">
      <c r="A91" s="43">
        <v>45892</v>
      </c>
      <c r="B91" t="s">
        <v>21</v>
      </c>
      <c r="C91" s="11"/>
      <c r="D91" s="11">
        <v>65100</v>
      </c>
      <c r="F91" s="52" t="s">
        <v>119</v>
      </c>
    </row>
    <row r="92" spans="1:6" x14ac:dyDescent="0.3">
      <c r="A92" s="97">
        <v>45892</v>
      </c>
      <c r="B92" t="s">
        <v>58</v>
      </c>
      <c r="C92" s="47">
        <v>5216</v>
      </c>
      <c r="D92" s="47"/>
      <c r="E92" t="s">
        <v>174</v>
      </c>
      <c r="F92" s="52" t="s">
        <v>119</v>
      </c>
    </row>
    <row r="93" spans="1:6" x14ac:dyDescent="0.3">
      <c r="A93" s="43">
        <v>45892</v>
      </c>
      <c r="B93" t="s">
        <v>21</v>
      </c>
      <c r="C93" s="47"/>
      <c r="D93" s="47">
        <v>5216</v>
      </c>
      <c r="F93" s="52" t="s">
        <v>119</v>
      </c>
    </row>
    <row r="94" spans="1:6" x14ac:dyDescent="0.3">
      <c r="A94" s="43">
        <v>45892</v>
      </c>
      <c r="B94" t="s">
        <v>154</v>
      </c>
      <c r="C94" s="11">
        <v>10000</v>
      </c>
      <c r="D94" s="11"/>
      <c r="E94" t="s">
        <v>175</v>
      </c>
      <c r="F94" s="52" t="s">
        <v>119</v>
      </c>
    </row>
    <row r="95" spans="1:6" x14ac:dyDescent="0.3">
      <c r="A95" s="97">
        <v>45892</v>
      </c>
      <c r="B95" t="s">
        <v>21</v>
      </c>
      <c r="C95" s="11"/>
      <c r="D95" s="11">
        <v>10000</v>
      </c>
      <c r="F95" s="52" t="s">
        <v>119</v>
      </c>
    </row>
    <row r="96" spans="1:6" x14ac:dyDescent="0.3">
      <c r="A96" s="43">
        <v>45892</v>
      </c>
      <c r="B96" t="s">
        <v>58</v>
      </c>
      <c r="C96" s="11">
        <v>1600</v>
      </c>
      <c r="D96" s="11"/>
      <c r="E96" t="s">
        <v>176</v>
      </c>
      <c r="F96" s="52" t="s">
        <v>119</v>
      </c>
    </row>
    <row r="97" spans="1:6" x14ac:dyDescent="0.3">
      <c r="A97" s="43">
        <v>45892</v>
      </c>
      <c r="B97" t="s">
        <v>57</v>
      </c>
      <c r="C97" s="11">
        <v>1000</v>
      </c>
      <c r="D97" s="11"/>
      <c r="E97" t="s">
        <v>132</v>
      </c>
      <c r="F97" s="52" t="s">
        <v>119</v>
      </c>
    </row>
    <row r="98" spans="1:6" x14ac:dyDescent="0.3">
      <c r="A98" s="43">
        <v>45892</v>
      </c>
      <c r="B98" t="s">
        <v>104</v>
      </c>
      <c r="C98" s="47">
        <v>302100</v>
      </c>
      <c r="D98" s="47"/>
      <c r="E98" t="s">
        <v>130</v>
      </c>
      <c r="F98" s="52" t="s">
        <v>119</v>
      </c>
    </row>
    <row r="99" spans="1:6" x14ac:dyDescent="0.3">
      <c r="A99" s="43">
        <v>45892</v>
      </c>
      <c r="B99" t="s">
        <v>57</v>
      </c>
      <c r="C99" s="11">
        <v>1600</v>
      </c>
      <c r="D99" s="11"/>
      <c r="E99" t="s">
        <v>177</v>
      </c>
      <c r="F99" s="52" t="s">
        <v>119</v>
      </c>
    </row>
    <row r="100" spans="1:6" x14ac:dyDescent="0.3">
      <c r="A100" s="43">
        <v>45892</v>
      </c>
      <c r="B100" t="s">
        <v>154</v>
      </c>
      <c r="C100" s="11">
        <v>1000</v>
      </c>
      <c r="D100" s="11"/>
      <c r="E100" t="s">
        <v>178</v>
      </c>
      <c r="F100" s="52" t="s">
        <v>120</v>
      </c>
    </row>
    <row r="101" spans="1:6" x14ac:dyDescent="0.3">
      <c r="A101" s="43">
        <v>45892</v>
      </c>
      <c r="B101" t="s">
        <v>9</v>
      </c>
      <c r="C101" s="47"/>
      <c r="D101" s="47">
        <v>50000</v>
      </c>
      <c r="E101" t="s">
        <v>89</v>
      </c>
      <c r="F101" s="52" t="s">
        <v>119</v>
      </c>
    </row>
    <row r="102" spans="1:6" x14ac:dyDescent="0.3">
      <c r="A102" s="43">
        <v>45891</v>
      </c>
      <c r="B102" t="s">
        <v>179</v>
      </c>
      <c r="C102" s="47">
        <v>4600</v>
      </c>
      <c r="D102" s="47"/>
      <c r="E102" t="s">
        <v>180</v>
      </c>
      <c r="F102" s="52" t="s">
        <v>119</v>
      </c>
    </row>
    <row r="103" spans="1:6" x14ac:dyDescent="0.3">
      <c r="A103" s="43">
        <v>45892</v>
      </c>
      <c r="B103" t="s">
        <v>139</v>
      </c>
      <c r="C103" s="47">
        <v>3702</v>
      </c>
      <c r="D103" s="47"/>
      <c r="F103" s="52" t="s">
        <v>119</v>
      </c>
    </row>
    <row r="104" spans="1:6" x14ac:dyDescent="0.3">
      <c r="A104" s="97">
        <v>45893</v>
      </c>
      <c r="B104" t="s">
        <v>58</v>
      </c>
      <c r="C104" s="11">
        <v>16457</v>
      </c>
      <c r="D104" s="11"/>
      <c r="E104" t="s">
        <v>162</v>
      </c>
      <c r="F104" s="52" t="s">
        <v>119</v>
      </c>
    </row>
    <row r="105" spans="1:6" x14ac:dyDescent="0.3">
      <c r="A105" s="97">
        <v>45893</v>
      </c>
      <c r="B105" t="s">
        <v>58</v>
      </c>
      <c r="C105" s="11">
        <v>8218</v>
      </c>
      <c r="D105" s="11"/>
      <c r="E105" t="s">
        <v>162</v>
      </c>
      <c r="F105" s="52" t="s">
        <v>119</v>
      </c>
    </row>
    <row r="106" spans="1:6" x14ac:dyDescent="0.3">
      <c r="A106" s="97">
        <v>45893</v>
      </c>
      <c r="B106" t="s">
        <v>21</v>
      </c>
      <c r="C106" s="11"/>
      <c r="D106" s="11">
        <v>16457</v>
      </c>
      <c r="F106" s="52" t="s">
        <v>119</v>
      </c>
    </row>
    <row r="107" spans="1:6" x14ac:dyDescent="0.3">
      <c r="A107" s="97">
        <v>45893</v>
      </c>
      <c r="B107" t="s">
        <v>21</v>
      </c>
      <c r="C107" s="11"/>
      <c r="D107" s="11">
        <v>8218</v>
      </c>
      <c r="F107" s="52" t="s">
        <v>119</v>
      </c>
    </row>
    <row r="108" spans="1:6" x14ac:dyDescent="0.3">
      <c r="A108" s="97">
        <v>45893</v>
      </c>
      <c r="B108" t="s">
        <v>58</v>
      </c>
      <c r="C108" s="11">
        <v>8218</v>
      </c>
      <c r="D108" s="11"/>
      <c r="E108" t="s">
        <v>162</v>
      </c>
      <c r="F108" s="52" t="s">
        <v>119</v>
      </c>
    </row>
    <row r="109" spans="1:6" x14ac:dyDescent="0.3">
      <c r="A109" s="97">
        <v>45893</v>
      </c>
      <c r="B109" t="s">
        <v>154</v>
      </c>
      <c r="C109" s="47">
        <v>30000</v>
      </c>
      <c r="D109" s="47"/>
      <c r="E109" t="s">
        <v>181</v>
      </c>
      <c r="F109" s="52" t="s">
        <v>119</v>
      </c>
    </row>
    <row r="110" spans="1:6" x14ac:dyDescent="0.3">
      <c r="A110" s="97">
        <v>45893</v>
      </c>
      <c r="B110" t="s">
        <v>182</v>
      </c>
      <c r="C110" s="11"/>
      <c r="D110" s="11"/>
      <c r="E110" t="s">
        <v>183</v>
      </c>
      <c r="F110" s="52" t="s">
        <v>119</v>
      </c>
    </row>
    <row r="111" spans="1:6" x14ac:dyDescent="0.3">
      <c r="A111" s="97">
        <v>45893</v>
      </c>
      <c r="B111" t="s">
        <v>127</v>
      </c>
      <c r="C111" s="11"/>
      <c r="D111" s="11">
        <v>360</v>
      </c>
      <c r="E111" t="s">
        <v>184</v>
      </c>
      <c r="F111" s="52" t="s">
        <v>119</v>
      </c>
    </row>
    <row r="112" spans="1:6" x14ac:dyDescent="0.3">
      <c r="A112" s="97">
        <v>45893</v>
      </c>
      <c r="B112" t="s">
        <v>58</v>
      </c>
      <c r="C112" s="11">
        <v>360</v>
      </c>
      <c r="D112" s="11"/>
      <c r="E112" t="s">
        <v>184</v>
      </c>
      <c r="F112" s="52" t="s">
        <v>119</v>
      </c>
    </row>
    <row r="113" spans="1:6" x14ac:dyDescent="0.3">
      <c r="A113" s="97">
        <v>45893</v>
      </c>
      <c r="B113" t="s">
        <v>58</v>
      </c>
      <c r="C113" s="11">
        <v>8218</v>
      </c>
      <c r="D113" s="11"/>
      <c r="E113" t="s">
        <v>162</v>
      </c>
      <c r="F113" s="52" t="s">
        <v>119</v>
      </c>
    </row>
    <row r="114" spans="1:6" x14ac:dyDescent="0.3">
      <c r="A114" s="97">
        <v>45893</v>
      </c>
      <c r="B114" t="s">
        <v>127</v>
      </c>
      <c r="C114" s="11"/>
      <c r="D114" s="11">
        <v>8218</v>
      </c>
      <c r="E114" t="s">
        <v>162</v>
      </c>
      <c r="F114" s="52" t="s">
        <v>119</v>
      </c>
    </row>
    <row r="115" spans="1:6" x14ac:dyDescent="0.3">
      <c r="A115" s="97">
        <v>45893</v>
      </c>
      <c r="B115" t="s">
        <v>139</v>
      </c>
      <c r="C115" s="11">
        <v>1860</v>
      </c>
      <c r="D115" s="11"/>
      <c r="F115" s="52" t="s">
        <v>119</v>
      </c>
    </row>
    <row r="116" spans="1:6" x14ac:dyDescent="0.3">
      <c r="A116" s="97">
        <v>45893</v>
      </c>
      <c r="B116" t="s">
        <v>127</v>
      </c>
      <c r="C116" s="11">
        <v>1000</v>
      </c>
      <c r="D116" s="11"/>
      <c r="E116" t="s">
        <v>185</v>
      </c>
      <c r="F116" s="52" t="s">
        <v>120</v>
      </c>
    </row>
    <row r="117" spans="1:6" x14ac:dyDescent="0.3">
      <c r="A117" s="97">
        <v>45893</v>
      </c>
      <c r="B117" t="s">
        <v>127</v>
      </c>
      <c r="C117" s="11">
        <v>500</v>
      </c>
      <c r="D117" s="11"/>
      <c r="E117" t="s">
        <v>186</v>
      </c>
      <c r="F117" s="52" t="s">
        <v>120</v>
      </c>
    </row>
    <row r="118" spans="1:6" x14ac:dyDescent="0.3">
      <c r="A118" s="97">
        <v>45894</v>
      </c>
      <c r="B118" t="s">
        <v>37</v>
      </c>
      <c r="C118" s="11"/>
      <c r="D118" s="11">
        <v>196150</v>
      </c>
      <c r="E118" t="s">
        <v>89</v>
      </c>
      <c r="F118" s="52" t="s">
        <v>120</v>
      </c>
    </row>
    <row r="119" spans="1:6" x14ac:dyDescent="0.3">
      <c r="A119" s="97">
        <v>45894</v>
      </c>
      <c r="B119" t="s">
        <v>37</v>
      </c>
      <c r="C119" s="11"/>
      <c r="D119" s="11">
        <v>3000</v>
      </c>
      <c r="E119" t="s">
        <v>89</v>
      </c>
      <c r="F119" s="52" t="s">
        <v>119</v>
      </c>
    </row>
    <row r="120" spans="1:6" x14ac:dyDescent="0.3">
      <c r="A120" s="97">
        <v>45894</v>
      </c>
      <c r="B120" t="s">
        <v>24</v>
      </c>
      <c r="C120" s="11"/>
      <c r="D120" s="11">
        <v>573000</v>
      </c>
      <c r="E120" t="s">
        <v>89</v>
      </c>
      <c r="F120" s="52" t="s">
        <v>120</v>
      </c>
    </row>
    <row r="121" spans="1:6" x14ac:dyDescent="0.3">
      <c r="A121" s="97">
        <v>45894</v>
      </c>
      <c r="B121" t="s">
        <v>24</v>
      </c>
      <c r="C121" s="11"/>
      <c r="D121" s="11">
        <v>142500</v>
      </c>
      <c r="E121" t="s">
        <v>89</v>
      </c>
      <c r="F121" s="52" t="s">
        <v>119</v>
      </c>
    </row>
    <row r="122" spans="1:6" x14ac:dyDescent="0.3">
      <c r="A122" s="97">
        <v>45894</v>
      </c>
      <c r="B122" t="s">
        <v>57</v>
      </c>
      <c r="C122" s="11">
        <v>500</v>
      </c>
      <c r="D122" s="11"/>
      <c r="E122" t="s">
        <v>187</v>
      </c>
      <c r="F122" s="52" t="s">
        <v>120</v>
      </c>
    </row>
    <row r="123" spans="1:6" x14ac:dyDescent="0.3">
      <c r="A123" s="97">
        <v>45894</v>
      </c>
      <c r="B123" t="s">
        <v>188</v>
      </c>
      <c r="C123" s="11"/>
      <c r="D123" s="11">
        <v>4600</v>
      </c>
      <c r="E123" t="s">
        <v>189</v>
      </c>
      <c r="F123" s="52" t="s">
        <v>119</v>
      </c>
    </row>
    <row r="124" spans="1:6" x14ac:dyDescent="0.3">
      <c r="A124" s="97">
        <v>45894</v>
      </c>
      <c r="B124" t="s">
        <v>21</v>
      </c>
      <c r="C124" s="11"/>
      <c r="D124" s="11">
        <v>5750</v>
      </c>
      <c r="E124" t="s">
        <v>134</v>
      </c>
      <c r="F124" s="52" t="s">
        <v>119</v>
      </c>
    </row>
    <row r="125" spans="1:6" x14ac:dyDescent="0.3">
      <c r="A125" s="97">
        <v>45894</v>
      </c>
      <c r="B125" t="s">
        <v>57</v>
      </c>
      <c r="C125" s="11">
        <v>5750</v>
      </c>
      <c r="D125" s="11"/>
      <c r="E125" t="s">
        <v>134</v>
      </c>
      <c r="F125" s="52" t="s">
        <v>119</v>
      </c>
    </row>
    <row r="126" spans="1:6" x14ac:dyDescent="0.3">
      <c r="A126" s="97">
        <v>45894</v>
      </c>
      <c r="B126" t="s">
        <v>53</v>
      </c>
      <c r="C126" s="11">
        <v>250</v>
      </c>
      <c r="D126" s="11"/>
      <c r="E126" t="s">
        <v>190</v>
      </c>
      <c r="F126" s="52" t="s">
        <v>120</v>
      </c>
    </row>
    <row r="127" spans="1:6" x14ac:dyDescent="0.3">
      <c r="A127" s="97">
        <v>45894</v>
      </c>
      <c r="B127" t="s">
        <v>53</v>
      </c>
      <c r="C127" s="11">
        <v>1500</v>
      </c>
      <c r="D127" s="11"/>
      <c r="E127" t="s">
        <v>191</v>
      </c>
      <c r="F127" s="52" t="s">
        <v>119</v>
      </c>
    </row>
    <row r="128" spans="1:6" x14ac:dyDescent="0.3">
      <c r="A128" s="97">
        <v>45894</v>
      </c>
      <c r="B128" t="s">
        <v>127</v>
      </c>
      <c r="C128" s="11"/>
      <c r="D128" s="11">
        <v>1500</v>
      </c>
      <c r="E128" t="s">
        <v>191</v>
      </c>
      <c r="F128" s="52" t="s">
        <v>119</v>
      </c>
    </row>
    <row r="129" spans="1:6" x14ac:dyDescent="0.3">
      <c r="A129" s="97">
        <v>45894</v>
      </c>
      <c r="B129" t="s">
        <v>53</v>
      </c>
      <c r="C129" s="47">
        <v>420</v>
      </c>
      <c r="D129" s="47"/>
      <c r="E129" t="s">
        <v>192</v>
      </c>
      <c r="F129" s="52" t="s">
        <v>120</v>
      </c>
    </row>
    <row r="130" spans="1:6" x14ac:dyDescent="0.3">
      <c r="A130" s="97">
        <v>45894</v>
      </c>
      <c r="B130" t="s">
        <v>104</v>
      </c>
      <c r="C130" s="11">
        <v>40000</v>
      </c>
      <c r="D130" s="11"/>
      <c r="E130" t="s">
        <v>193</v>
      </c>
      <c r="F130" s="52" t="s">
        <v>119</v>
      </c>
    </row>
    <row r="131" spans="1:6" x14ac:dyDescent="0.3">
      <c r="A131" s="97">
        <v>45894</v>
      </c>
      <c r="B131" t="s">
        <v>104</v>
      </c>
      <c r="C131" s="11">
        <v>29450</v>
      </c>
      <c r="D131" s="11"/>
      <c r="E131" t="s">
        <v>194</v>
      </c>
      <c r="F131" s="52" t="s">
        <v>120</v>
      </c>
    </row>
    <row r="132" spans="1:6" x14ac:dyDescent="0.3">
      <c r="A132" s="97">
        <v>45894</v>
      </c>
      <c r="B132" t="s">
        <v>182</v>
      </c>
      <c r="C132" s="11">
        <v>100000</v>
      </c>
      <c r="D132" s="11"/>
      <c r="E132" t="s">
        <v>195</v>
      </c>
      <c r="F132" s="52" t="s">
        <v>119</v>
      </c>
    </row>
    <row r="133" spans="1:6" x14ac:dyDescent="0.3">
      <c r="A133" s="97">
        <v>45894</v>
      </c>
      <c r="B133" t="s">
        <v>196</v>
      </c>
      <c r="C133" s="11"/>
      <c r="D133" s="11"/>
      <c r="E133" t="s">
        <v>197</v>
      </c>
      <c r="F133" s="52" t="s">
        <v>120</v>
      </c>
    </row>
    <row r="134" spans="1:6" x14ac:dyDescent="0.3">
      <c r="A134" s="97">
        <v>45894</v>
      </c>
      <c r="B134" t="s">
        <v>139</v>
      </c>
      <c r="C134" s="11">
        <v>2780</v>
      </c>
      <c r="D134" s="11"/>
      <c r="F134" s="52" t="s">
        <v>119</v>
      </c>
    </row>
    <row r="135" spans="1:6" x14ac:dyDescent="0.3">
      <c r="A135" s="97">
        <v>45895</v>
      </c>
      <c r="B135" t="s">
        <v>57</v>
      </c>
      <c r="C135" s="47">
        <v>5320</v>
      </c>
      <c r="D135" s="47"/>
      <c r="E135" t="s">
        <v>231</v>
      </c>
      <c r="F135" s="52" t="s">
        <v>119</v>
      </c>
    </row>
    <row r="136" spans="1:6" x14ac:dyDescent="0.3">
      <c r="A136" s="97">
        <v>45895</v>
      </c>
      <c r="B136" t="s">
        <v>21</v>
      </c>
      <c r="C136" s="11"/>
      <c r="D136" s="11">
        <v>8218</v>
      </c>
      <c r="E136" t="s">
        <v>162</v>
      </c>
      <c r="F136" s="52" t="s">
        <v>119</v>
      </c>
    </row>
    <row r="137" spans="1:6" x14ac:dyDescent="0.3">
      <c r="A137" s="97">
        <v>45895</v>
      </c>
      <c r="B137" t="s">
        <v>25</v>
      </c>
      <c r="C137" s="11"/>
      <c r="D137" s="11">
        <v>85000</v>
      </c>
      <c r="E137" t="s">
        <v>89</v>
      </c>
      <c r="F137" s="52" t="s">
        <v>119</v>
      </c>
    </row>
    <row r="138" spans="1:6" x14ac:dyDescent="0.3">
      <c r="A138" s="97">
        <v>45895</v>
      </c>
      <c r="B138" t="s">
        <v>104</v>
      </c>
      <c r="C138" s="11">
        <v>20700</v>
      </c>
      <c r="D138" s="11"/>
      <c r="E138" t="s">
        <v>232</v>
      </c>
      <c r="F138" s="52" t="s">
        <v>119</v>
      </c>
    </row>
    <row r="139" spans="1:6" x14ac:dyDescent="0.3">
      <c r="A139" s="97">
        <v>45895</v>
      </c>
      <c r="B139" t="s">
        <v>58</v>
      </c>
      <c r="C139" s="11">
        <v>8218</v>
      </c>
      <c r="D139" s="11"/>
      <c r="E139" t="s">
        <v>162</v>
      </c>
      <c r="F139" s="52" t="s">
        <v>119</v>
      </c>
    </row>
    <row r="140" spans="1:6" x14ac:dyDescent="0.3">
      <c r="A140" s="97">
        <v>45895</v>
      </c>
      <c r="B140" t="s">
        <v>58</v>
      </c>
      <c r="C140" s="11">
        <v>16437</v>
      </c>
      <c r="D140" s="11"/>
      <c r="E140" t="s">
        <v>162</v>
      </c>
      <c r="F140" s="52" t="s">
        <v>119</v>
      </c>
    </row>
    <row r="141" spans="1:6" x14ac:dyDescent="0.3">
      <c r="A141" s="97">
        <v>45895</v>
      </c>
      <c r="B141" t="s">
        <v>139</v>
      </c>
      <c r="C141" s="11">
        <v>19000</v>
      </c>
      <c r="D141" s="11"/>
      <c r="E141" t="s">
        <v>233</v>
      </c>
      <c r="F141" s="52" t="s">
        <v>119</v>
      </c>
    </row>
    <row r="142" spans="1:6" x14ac:dyDescent="0.3">
      <c r="A142" s="97">
        <v>45895</v>
      </c>
      <c r="B142" t="s">
        <v>104</v>
      </c>
      <c r="C142" s="11">
        <v>25500</v>
      </c>
      <c r="D142" s="11"/>
      <c r="E142" t="s">
        <v>234</v>
      </c>
      <c r="F142" s="52" t="s">
        <v>119</v>
      </c>
    </row>
    <row r="143" spans="1:6" x14ac:dyDescent="0.3">
      <c r="A143" s="97">
        <v>45895</v>
      </c>
      <c r="B143" t="s">
        <v>196</v>
      </c>
      <c r="C143" s="11">
        <v>10000</v>
      </c>
      <c r="D143" s="11"/>
      <c r="E143" t="s">
        <v>235</v>
      </c>
      <c r="F143" s="52" t="s">
        <v>120</v>
      </c>
    </row>
    <row r="144" spans="1:6" x14ac:dyDescent="0.3">
      <c r="A144" s="97">
        <v>45895</v>
      </c>
      <c r="B144" t="s">
        <v>25</v>
      </c>
      <c r="C144" s="11"/>
      <c r="D144" s="11">
        <v>177000</v>
      </c>
      <c r="E144" t="s">
        <v>89</v>
      </c>
      <c r="F144" s="52" t="s">
        <v>119</v>
      </c>
    </row>
    <row r="145" spans="1:7" x14ac:dyDescent="0.3">
      <c r="A145" s="97">
        <v>45895</v>
      </c>
      <c r="B145" t="s">
        <v>196</v>
      </c>
      <c r="C145" s="11">
        <v>35000</v>
      </c>
      <c r="D145" s="11"/>
      <c r="E145" t="s">
        <v>181</v>
      </c>
      <c r="F145" s="52" t="s">
        <v>119</v>
      </c>
    </row>
    <row r="146" spans="1:7" x14ac:dyDescent="0.3">
      <c r="A146" s="97">
        <v>45895</v>
      </c>
      <c r="B146" t="s">
        <v>25</v>
      </c>
      <c r="C146" s="11"/>
      <c r="D146" s="11">
        <v>200000</v>
      </c>
      <c r="E146" t="s">
        <v>89</v>
      </c>
      <c r="F146" s="52" t="s">
        <v>119</v>
      </c>
    </row>
    <row r="147" spans="1:7" x14ac:dyDescent="0.3">
      <c r="A147" s="97">
        <v>45895</v>
      </c>
      <c r="B147" t="s">
        <v>58</v>
      </c>
      <c r="C147" s="47">
        <v>8218</v>
      </c>
      <c r="D147" s="47"/>
      <c r="E147" t="s">
        <v>162</v>
      </c>
      <c r="F147" s="52" t="s">
        <v>119</v>
      </c>
    </row>
    <row r="148" spans="1:7" x14ac:dyDescent="0.3">
      <c r="A148" s="97">
        <v>45895</v>
      </c>
      <c r="B148" t="s">
        <v>154</v>
      </c>
      <c r="C148" s="11">
        <v>10000</v>
      </c>
      <c r="D148" s="11"/>
      <c r="E148" t="s">
        <v>236</v>
      </c>
      <c r="F148" s="52" t="s">
        <v>119</v>
      </c>
    </row>
    <row r="149" spans="1:7" x14ac:dyDescent="0.3">
      <c r="A149" s="97">
        <v>45895</v>
      </c>
      <c r="B149" t="s">
        <v>104</v>
      </c>
      <c r="C149" s="11">
        <v>300300</v>
      </c>
      <c r="D149" s="11"/>
      <c r="E149" t="s">
        <v>50</v>
      </c>
      <c r="F149" s="52" t="s">
        <v>119</v>
      </c>
    </row>
    <row r="150" spans="1:7" x14ac:dyDescent="0.3">
      <c r="A150" s="97">
        <v>45895</v>
      </c>
      <c r="B150" t="s">
        <v>120</v>
      </c>
      <c r="C150" s="11"/>
      <c r="D150" s="11"/>
      <c r="F150" s="52" t="s">
        <v>161</v>
      </c>
      <c r="G150">
        <v>20000</v>
      </c>
    </row>
    <row r="151" spans="1:7" x14ac:dyDescent="0.3">
      <c r="A151" s="97">
        <v>45895</v>
      </c>
      <c r="B151" t="s">
        <v>143</v>
      </c>
      <c r="C151" s="11">
        <v>2000</v>
      </c>
      <c r="D151" s="11"/>
      <c r="E151" t="s">
        <v>237</v>
      </c>
      <c r="F151" s="52" t="s">
        <v>120</v>
      </c>
    </row>
    <row r="152" spans="1:7" x14ac:dyDescent="0.3">
      <c r="A152" s="97">
        <v>45895</v>
      </c>
      <c r="B152" t="s">
        <v>143</v>
      </c>
      <c r="C152" s="11">
        <v>10000</v>
      </c>
      <c r="D152" s="11"/>
      <c r="E152" t="s">
        <v>237</v>
      </c>
      <c r="F152" s="52" t="s">
        <v>120</v>
      </c>
    </row>
    <row r="153" spans="1:7" x14ac:dyDescent="0.3">
      <c r="A153" s="97">
        <v>45895</v>
      </c>
      <c r="B153" t="s">
        <v>53</v>
      </c>
      <c r="C153" s="11">
        <v>300</v>
      </c>
      <c r="D153" s="11"/>
      <c r="E153" t="s">
        <v>238</v>
      </c>
      <c r="F153" s="52" t="s">
        <v>120</v>
      </c>
    </row>
    <row r="154" spans="1:7" x14ac:dyDescent="0.3">
      <c r="A154" s="97">
        <v>45895</v>
      </c>
      <c r="B154" t="s">
        <v>154</v>
      </c>
      <c r="C154" s="11">
        <v>5000</v>
      </c>
      <c r="D154" s="11"/>
      <c r="E154" t="s">
        <v>239</v>
      </c>
      <c r="F154" s="52" t="s">
        <v>120</v>
      </c>
    </row>
    <row r="155" spans="1:7" x14ac:dyDescent="0.3">
      <c r="A155" s="97">
        <v>45895</v>
      </c>
      <c r="B155" t="s">
        <v>154</v>
      </c>
      <c r="C155" s="11">
        <v>38000</v>
      </c>
      <c r="D155" s="11"/>
      <c r="E155" t="s">
        <v>175</v>
      </c>
      <c r="F155" s="52" t="s">
        <v>119</v>
      </c>
    </row>
    <row r="156" spans="1:7" x14ac:dyDescent="0.3">
      <c r="A156" s="97">
        <v>45895</v>
      </c>
      <c r="B156" t="s">
        <v>25</v>
      </c>
      <c r="C156" s="11"/>
      <c r="D156" s="11">
        <v>38000</v>
      </c>
      <c r="F156" s="52" t="s">
        <v>119</v>
      </c>
    </row>
    <row r="157" spans="1:7" x14ac:dyDescent="0.3">
      <c r="A157" s="97">
        <v>45895</v>
      </c>
      <c r="B157" t="s">
        <v>127</v>
      </c>
      <c r="C157" s="11">
        <v>6500</v>
      </c>
      <c r="D157" s="11"/>
      <c r="F157" s="52" t="s">
        <v>120</v>
      </c>
    </row>
    <row r="158" spans="1:7" x14ac:dyDescent="0.3">
      <c r="A158" s="97">
        <v>45895</v>
      </c>
      <c r="B158" t="s">
        <v>58</v>
      </c>
      <c r="C158" s="11">
        <v>8218</v>
      </c>
      <c r="D158" s="11"/>
      <c r="E158" t="s">
        <v>162</v>
      </c>
      <c r="F158" s="52" t="s">
        <v>119</v>
      </c>
    </row>
    <row r="159" spans="1:7" x14ac:dyDescent="0.3">
      <c r="A159" s="97">
        <v>45896</v>
      </c>
      <c r="B159" t="s">
        <v>57</v>
      </c>
      <c r="C159" s="11">
        <v>13250</v>
      </c>
      <c r="D159" s="11"/>
      <c r="E159" t="s">
        <v>242</v>
      </c>
      <c r="F159" s="52" t="s">
        <v>119</v>
      </c>
    </row>
    <row r="160" spans="1:7" x14ac:dyDescent="0.3">
      <c r="A160" s="97">
        <v>45896</v>
      </c>
      <c r="B160" t="s">
        <v>21</v>
      </c>
      <c r="C160" s="11"/>
      <c r="D160" s="11">
        <v>44000</v>
      </c>
      <c r="E160" t="s">
        <v>89</v>
      </c>
      <c r="F160" s="52" t="s">
        <v>119</v>
      </c>
    </row>
    <row r="161" spans="1:12" x14ac:dyDescent="0.3">
      <c r="A161" s="97">
        <v>45896</v>
      </c>
      <c r="B161" t="s">
        <v>21</v>
      </c>
      <c r="C161" s="11"/>
      <c r="D161" s="11">
        <v>303750</v>
      </c>
      <c r="E161" t="s">
        <v>64</v>
      </c>
      <c r="F161" s="52" t="s">
        <v>119</v>
      </c>
    </row>
    <row r="162" spans="1:12" x14ac:dyDescent="0.3">
      <c r="A162" s="97">
        <v>45896</v>
      </c>
      <c r="B162" t="s">
        <v>170</v>
      </c>
      <c r="C162" s="11">
        <v>303750</v>
      </c>
      <c r="D162" s="11"/>
      <c r="E162" t="s">
        <v>64</v>
      </c>
      <c r="F162" s="52" t="s">
        <v>119</v>
      </c>
    </row>
    <row r="163" spans="1:12" x14ac:dyDescent="0.3">
      <c r="A163" s="97">
        <v>45896</v>
      </c>
      <c r="B163" t="s">
        <v>21</v>
      </c>
      <c r="C163" s="11"/>
      <c r="D163" s="11">
        <v>1000</v>
      </c>
      <c r="E163" t="s">
        <v>144</v>
      </c>
      <c r="F163" s="52" t="s">
        <v>119</v>
      </c>
      <c r="J163" s="3" t="s">
        <v>6</v>
      </c>
      <c r="K163" t="s">
        <v>198</v>
      </c>
      <c r="L163" t="s">
        <v>199</v>
      </c>
    </row>
    <row r="164" spans="1:12" x14ac:dyDescent="0.3">
      <c r="A164" s="97">
        <v>45896</v>
      </c>
      <c r="B164" t="s">
        <v>57</v>
      </c>
      <c r="C164" s="47">
        <v>1000</v>
      </c>
      <c r="D164" s="47"/>
      <c r="E164" t="s">
        <v>144</v>
      </c>
      <c r="F164" s="52" t="s">
        <v>119</v>
      </c>
      <c r="J164" s="4" t="s">
        <v>154</v>
      </c>
      <c r="K164" s="14"/>
      <c r="L164" s="14">
        <v>136000</v>
      </c>
    </row>
    <row r="165" spans="1:12" x14ac:dyDescent="0.3">
      <c r="A165" s="97">
        <v>45896</v>
      </c>
      <c r="B165" t="s">
        <v>57</v>
      </c>
      <c r="C165" s="11">
        <v>5070</v>
      </c>
      <c r="D165" s="11"/>
      <c r="F165" s="52" t="s">
        <v>119</v>
      </c>
      <c r="J165" s="4" t="s">
        <v>9</v>
      </c>
      <c r="K165" s="14">
        <v>454210</v>
      </c>
      <c r="L165" s="14"/>
    </row>
    <row r="166" spans="1:12" x14ac:dyDescent="0.3">
      <c r="A166" s="97">
        <v>45896</v>
      </c>
      <c r="B166" t="s">
        <v>9</v>
      </c>
      <c r="C166" s="11"/>
      <c r="D166" s="11">
        <v>75000</v>
      </c>
      <c r="E166" t="s">
        <v>89</v>
      </c>
      <c r="F166" s="52" t="s">
        <v>119</v>
      </c>
      <c r="J166" s="4" t="s">
        <v>21</v>
      </c>
      <c r="K166" s="14">
        <v>2441262</v>
      </c>
      <c r="L166" s="14"/>
    </row>
    <row r="167" spans="1:12" x14ac:dyDescent="0.3">
      <c r="A167" s="97">
        <v>45896</v>
      </c>
      <c r="B167" t="s">
        <v>106</v>
      </c>
      <c r="C167" s="11">
        <v>75000</v>
      </c>
      <c r="D167" s="11"/>
      <c r="F167" s="52" t="s">
        <v>119</v>
      </c>
      <c r="J167" s="4" t="s">
        <v>120</v>
      </c>
      <c r="K167" s="14"/>
      <c r="L167" s="14"/>
    </row>
    <row r="168" spans="1:12" x14ac:dyDescent="0.3">
      <c r="A168" s="97">
        <v>45896</v>
      </c>
      <c r="B168" t="s">
        <v>21</v>
      </c>
      <c r="C168" s="11"/>
      <c r="D168" s="11">
        <v>75000</v>
      </c>
      <c r="F168" s="52" t="s">
        <v>119</v>
      </c>
      <c r="J168" s="4" t="s">
        <v>140</v>
      </c>
      <c r="K168" s="14"/>
      <c r="L168" s="14">
        <v>72100</v>
      </c>
    </row>
    <row r="169" spans="1:12" x14ac:dyDescent="0.3">
      <c r="A169" s="97">
        <v>45896</v>
      </c>
      <c r="B169" t="s">
        <v>143</v>
      </c>
      <c r="C169" s="11">
        <v>6000</v>
      </c>
      <c r="D169" s="11"/>
      <c r="E169" t="s">
        <v>237</v>
      </c>
      <c r="F169" s="52" t="s">
        <v>119</v>
      </c>
      <c r="J169" s="4" t="s">
        <v>170</v>
      </c>
      <c r="K169" s="14"/>
      <c r="L169" s="14">
        <v>408450</v>
      </c>
    </row>
    <row r="170" spans="1:12" x14ac:dyDescent="0.3">
      <c r="A170" s="97">
        <v>45896</v>
      </c>
      <c r="B170" t="s">
        <v>154</v>
      </c>
      <c r="C170" s="11">
        <v>8000</v>
      </c>
      <c r="D170" s="11"/>
      <c r="E170" t="s">
        <v>243</v>
      </c>
      <c r="F170" s="52" t="s">
        <v>119</v>
      </c>
      <c r="J170" s="4" t="s">
        <v>104</v>
      </c>
      <c r="K170" s="14"/>
      <c r="L170" s="14">
        <v>2602100</v>
      </c>
    </row>
    <row r="171" spans="1:12" x14ac:dyDescent="0.3">
      <c r="A171" s="97">
        <v>45896</v>
      </c>
      <c r="B171" t="s">
        <v>53</v>
      </c>
      <c r="C171" s="11">
        <v>500</v>
      </c>
      <c r="D171" s="11"/>
      <c r="E171" t="s">
        <v>187</v>
      </c>
      <c r="F171" s="52" t="s">
        <v>120</v>
      </c>
      <c r="J171" s="4" t="s">
        <v>53</v>
      </c>
      <c r="K171" s="14"/>
      <c r="L171" s="14">
        <v>38935</v>
      </c>
    </row>
    <row r="172" spans="1:12" x14ac:dyDescent="0.3">
      <c r="A172" s="97">
        <v>45896</v>
      </c>
      <c r="B172" t="s">
        <v>139</v>
      </c>
      <c r="C172" s="47">
        <v>3690</v>
      </c>
      <c r="D172" s="47"/>
      <c r="E172" t="s">
        <v>244</v>
      </c>
      <c r="F172" s="52" t="s">
        <v>119</v>
      </c>
      <c r="J172" s="4" t="s">
        <v>58</v>
      </c>
      <c r="K172" s="14"/>
      <c r="L172" s="14">
        <v>177261</v>
      </c>
    </row>
    <row r="173" spans="1:12" x14ac:dyDescent="0.3">
      <c r="A173" s="97">
        <v>45897</v>
      </c>
      <c r="B173" t="s">
        <v>120</v>
      </c>
      <c r="C173" s="11"/>
      <c r="D173" s="11"/>
      <c r="F173" s="52" t="s">
        <v>161</v>
      </c>
      <c r="G173">
        <v>60000</v>
      </c>
      <c r="J173" s="4" t="s">
        <v>139</v>
      </c>
      <c r="K173" s="14"/>
      <c r="L173" s="14">
        <v>46699</v>
      </c>
    </row>
    <row r="174" spans="1:12" x14ac:dyDescent="0.3">
      <c r="A174" s="97">
        <v>45897</v>
      </c>
      <c r="B174" t="s">
        <v>21</v>
      </c>
      <c r="C174" s="11"/>
      <c r="D174" s="11">
        <v>350000</v>
      </c>
      <c r="E174" t="s">
        <v>89</v>
      </c>
      <c r="F174" s="52" t="s">
        <v>119</v>
      </c>
      <c r="J174" s="4" t="s">
        <v>23</v>
      </c>
      <c r="K174" s="14">
        <v>250000</v>
      </c>
      <c r="L174" s="14"/>
    </row>
    <row r="175" spans="1:12" x14ac:dyDescent="0.3">
      <c r="A175" s="97">
        <v>45897</v>
      </c>
      <c r="B175" t="s">
        <v>104</v>
      </c>
      <c r="C175" s="11">
        <v>302000</v>
      </c>
      <c r="D175" s="11"/>
      <c r="E175" t="s">
        <v>130</v>
      </c>
      <c r="F175" s="52" t="s">
        <v>119</v>
      </c>
      <c r="J175" s="4" t="s">
        <v>57</v>
      </c>
      <c r="K175" s="14"/>
      <c r="L175" s="14">
        <v>86035</v>
      </c>
    </row>
    <row r="176" spans="1:12" x14ac:dyDescent="0.3">
      <c r="A176" s="97">
        <v>45897</v>
      </c>
      <c r="B176" t="s">
        <v>104</v>
      </c>
      <c r="C176" s="11">
        <v>43250</v>
      </c>
      <c r="D176" s="11"/>
      <c r="E176" t="s">
        <v>246</v>
      </c>
      <c r="F176" s="52" t="s">
        <v>120</v>
      </c>
      <c r="J176" s="4" t="s">
        <v>155</v>
      </c>
      <c r="K176" s="14"/>
      <c r="L176" s="14">
        <v>60000</v>
      </c>
    </row>
    <row r="177" spans="1:12" x14ac:dyDescent="0.3">
      <c r="A177" s="97">
        <v>45897</v>
      </c>
      <c r="B177" t="s">
        <v>53</v>
      </c>
      <c r="C177" s="11">
        <v>1000</v>
      </c>
      <c r="D177" s="11"/>
      <c r="E177" t="s">
        <v>247</v>
      </c>
      <c r="F177" s="52" t="s">
        <v>120</v>
      </c>
      <c r="J177" s="4" t="s">
        <v>106</v>
      </c>
      <c r="K177" s="14"/>
      <c r="L177" s="14">
        <v>115000</v>
      </c>
    </row>
    <row r="178" spans="1:12" x14ac:dyDescent="0.3">
      <c r="A178" s="97">
        <v>45897</v>
      </c>
      <c r="B178" t="s">
        <v>21</v>
      </c>
      <c r="C178" s="47"/>
      <c r="D178" s="47">
        <v>1000</v>
      </c>
      <c r="E178" t="s">
        <v>144</v>
      </c>
      <c r="F178" s="52" t="s">
        <v>119</v>
      </c>
      <c r="J178" s="4" t="s">
        <v>143</v>
      </c>
      <c r="K178" s="14">
        <v>21826</v>
      </c>
      <c r="L178" s="14">
        <v>27654</v>
      </c>
    </row>
    <row r="179" spans="1:12" x14ac:dyDescent="0.3">
      <c r="A179" s="43">
        <v>45897</v>
      </c>
      <c r="B179" t="s">
        <v>57</v>
      </c>
      <c r="C179" s="47">
        <v>1000</v>
      </c>
      <c r="D179" s="47"/>
      <c r="E179" t="s">
        <v>144</v>
      </c>
      <c r="F179" s="52" t="s">
        <v>119</v>
      </c>
      <c r="J179" s="4" t="s">
        <v>179</v>
      </c>
      <c r="K179" s="14">
        <v>4600</v>
      </c>
      <c r="L179" s="14">
        <v>4600</v>
      </c>
    </row>
    <row r="180" spans="1:12" x14ac:dyDescent="0.3">
      <c r="A180" s="43">
        <v>45897</v>
      </c>
      <c r="B180" t="s">
        <v>154</v>
      </c>
      <c r="C180" s="47">
        <v>18000</v>
      </c>
      <c r="D180" s="47"/>
      <c r="E180" t="s">
        <v>175</v>
      </c>
      <c r="F180" s="52" t="s">
        <v>119</v>
      </c>
      <c r="J180" s="4" t="s">
        <v>127</v>
      </c>
      <c r="K180" s="14">
        <v>84204</v>
      </c>
      <c r="L180" s="14">
        <v>69050</v>
      </c>
    </row>
    <row r="181" spans="1:12" x14ac:dyDescent="0.3">
      <c r="A181" s="43">
        <v>45898</v>
      </c>
      <c r="B181" t="s">
        <v>143</v>
      </c>
      <c r="C181" s="47"/>
      <c r="D181" s="47">
        <v>13746</v>
      </c>
      <c r="F181" s="52" t="s">
        <v>119</v>
      </c>
      <c r="J181" s="4" t="s">
        <v>22</v>
      </c>
      <c r="K181" s="14">
        <v>412354</v>
      </c>
      <c r="L181" s="14"/>
    </row>
    <row r="182" spans="1:12" x14ac:dyDescent="0.3">
      <c r="A182" s="97">
        <v>45898</v>
      </c>
      <c r="B182" t="s">
        <v>127</v>
      </c>
      <c r="C182" s="11"/>
      <c r="D182" s="11">
        <v>5316</v>
      </c>
      <c r="F182" s="52" t="s">
        <v>119</v>
      </c>
      <c r="J182" s="4" t="s">
        <v>114</v>
      </c>
      <c r="K182" s="14"/>
      <c r="L182" s="14"/>
    </row>
    <row r="183" spans="1:12" x14ac:dyDescent="0.3">
      <c r="A183" s="43">
        <v>45898</v>
      </c>
      <c r="B183" t="s">
        <v>57</v>
      </c>
      <c r="C183" s="11">
        <v>5316</v>
      </c>
      <c r="D183" s="11"/>
      <c r="E183" t="s">
        <v>231</v>
      </c>
      <c r="F183" s="52" t="s">
        <v>119</v>
      </c>
      <c r="J183" s="4" t="s">
        <v>25</v>
      </c>
      <c r="K183" s="14">
        <v>1000000</v>
      </c>
      <c r="L183" s="14"/>
    </row>
    <row r="184" spans="1:12" x14ac:dyDescent="0.3">
      <c r="A184" s="97">
        <v>45898</v>
      </c>
      <c r="B184" t="s">
        <v>21</v>
      </c>
      <c r="C184" s="47"/>
      <c r="D184" s="47">
        <v>1600</v>
      </c>
      <c r="F184" s="52" t="s">
        <v>119</v>
      </c>
      <c r="J184" s="4" t="s">
        <v>24</v>
      </c>
      <c r="K184" s="14">
        <v>1679100</v>
      </c>
      <c r="L184" s="14"/>
    </row>
    <row r="185" spans="1:12" x14ac:dyDescent="0.3">
      <c r="A185" s="43">
        <v>45898</v>
      </c>
      <c r="B185" t="s">
        <v>57</v>
      </c>
      <c r="C185" s="11">
        <v>1600</v>
      </c>
      <c r="D185" s="11"/>
      <c r="E185" t="s">
        <v>177</v>
      </c>
      <c r="F185" s="52" t="s">
        <v>119</v>
      </c>
      <c r="J185" s="4" t="s">
        <v>124</v>
      </c>
      <c r="K185" s="14">
        <v>-861719</v>
      </c>
      <c r="L185" s="14"/>
    </row>
    <row r="186" spans="1:12" x14ac:dyDescent="0.3">
      <c r="A186" s="97">
        <v>45898</v>
      </c>
      <c r="B186" t="s">
        <v>58</v>
      </c>
      <c r="C186" s="11">
        <f>10310+3600</f>
        <v>13910</v>
      </c>
      <c r="D186" s="11"/>
      <c r="E186" t="s">
        <v>248</v>
      </c>
      <c r="F186" s="52" t="s">
        <v>119</v>
      </c>
      <c r="J186" s="4" t="s">
        <v>145</v>
      </c>
      <c r="K186" s="14"/>
      <c r="L186" s="14">
        <v>567500</v>
      </c>
    </row>
    <row r="187" spans="1:12" x14ac:dyDescent="0.3">
      <c r="A187" s="43">
        <v>45898</v>
      </c>
      <c r="B187" t="s">
        <v>58</v>
      </c>
      <c r="C187" s="11">
        <v>6000</v>
      </c>
      <c r="D187" s="11"/>
      <c r="E187" t="s">
        <v>249</v>
      </c>
      <c r="F187" s="52" t="s">
        <v>119</v>
      </c>
      <c r="J187" s="4" t="s">
        <v>147</v>
      </c>
      <c r="K187" s="14">
        <v>200000</v>
      </c>
      <c r="L187" s="14"/>
    </row>
    <row r="188" spans="1:12" x14ac:dyDescent="0.3">
      <c r="A188" s="97">
        <v>45898</v>
      </c>
      <c r="B188" t="s">
        <v>58</v>
      </c>
      <c r="C188" s="11">
        <v>30000</v>
      </c>
      <c r="D188" s="11"/>
      <c r="E188" t="s">
        <v>250</v>
      </c>
      <c r="F188" s="52" t="s">
        <v>119</v>
      </c>
      <c r="J188" s="4" t="s">
        <v>162</v>
      </c>
      <c r="K188" s="14"/>
      <c r="L188" s="14">
        <v>8218</v>
      </c>
    </row>
    <row r="189" spans="1:12" x14ac:dyDescent="0.3">
      <c r="A189" s="97">
        <v>45898</v>
      </c>
      <c r="B189" t="s">
        <v>139</v>
      </c>
      <c r="C189" s="11">
        <v>4380</v>
      </c>
      <c r="D189" s="11"/>
      <c r="F189" s="52" t="s">
        <v>119</v>
      </c>
      <c r="J189" s="4" t="s">
        <v>165</v>
      </c>
      <c r="K189" s="14"/>
      <c r="L189" s="14">
        <v>827438</v>
      </c>
    </row>
    <row r="190" spans="1:12" x14ac:dyDescent="0.3">
      <c r="A190" s="43">
        <v>45898</v>
      </c>
      <c r="B190" t="s">
        <v>53</v>
      </c>
      <c r="C190" s="11">
        <v>1500</v>
      </c>
      <c r="D190" s="11"/>
      <c r="E190" t="s">
        <v>251</v>
      </c>
      <c r="F190" s="52" t="s">
        <v>119</v>
      </c>
      <c r="J190" s="4" t="s">
        <v>182</v>
      </c>
      <c r="K190" s="14"/>
      <c r="L190" s="14">
        <v>100000</v>
      </c>
    </row>
    <row r="191" spans="1:12" x14ac:dyDescent="0.3">
      <c r="A191" s="97">
        <v>45898</v>
      </c>
      <c r="B191" t="s">
        <v>57</v>
      </c>
      <c r="C191" s="11">
        <v>1000</v>
      </c>
      <c r="D191" s="11"/>
      <c r="E191" t="s">
        <v>132</v>
      </c>
      <c r="F191" s="52" t="s">
        <v>119</v>
      </c>
      <c r="J191" s="4" t="s">
        <v>37</v>
      </c>
      <c r="K191" s="14">
        <v>199150</v>
      </c>
      <c r="L191" s="14"/>
    </row>
    <row r="192" spans="1:12" x14ac:dyDescent="0.3">
      <c r="A192" s="97">
        <v>45898</v>
      </c>
      <c r="B192" t="s">
        <v>57</v>
      </c>
      <c r="C192" s="11">
        <v>5500</v>
      </c>
      <c r="D192" s="11"/>
      <c r="E192" t="s">
        <v>134</v>
      </c>
      <c r="F192" s="52" t="s">
        <v>119</v>
      </c>
      <c r="J192" s="4" t="s">
        <v>196</v>
      </c>
      <c r="K192" s="14"/>
      <c r="L192" s="14">
        <v>168400</v>
      </c>
    </row>
    <row r="193" spans="1:12" x14ac:dyDescent="0.3">
      <c r="A193" s="97">
        <v>45899</v>
      </c>
      <c r="B193" t="s">
        <v>24</v>
      </c>
      <c r="C193" s="11"/>
      <c r="D193" s="11">
        <v>163600</v>
      </c>
      <c r="E193" t="s">
        <v>89</v>
      </c>
      <c r="F193" s="52" t="s">
        <v>119</v>
      </c>
      <c r="J193" s="4" t="s">
        <v>252</v>
      </c>
      <c r="K193" s="14">
        <v>200000</v>
      </c>
      <c r="L193" s="14"/>
    </row>
    <row r="194" spans="1:12" x14ac:dyDescent="0.3">
      <c r="A194" s="97">
        <v>45899</v>
      </c>
      <c r="B194" t="s">
        <v>252</v>
      </c>
      <c r="C194" s="11"/>
      <c r="D194" s="11">
        <v>200000</v>
      </c>
      <c r="E194" t="s">
        <v>89</v>
      </c>
      <c r="F194" s="52" t="s">
        <v>119</v>
      </c>
      <c r="J194" s="4" t="s">
        <v>28</v>
      </c>
      <c r="K194" s="14">
        <v>6084987</v>
      </c>
      <c r="L194" s="14">
        <v>5515440</v>
      </c>
    </row>
    <row r="195" spans="1:12" x14ac:dyDescent="0.3">
      <c r="A195" s="97">
        <v>45899</v>
      </c>
      <c r="B195" t="s">
        <v>104</v>
      </c>
      <c r="C195" s="11">
        <v>300250</v>
      </c>
      <c r="D195" s="11"/>
      <c r="E195" t="s">
        <v>50</v>
      </c>
      <c r="F195" s="52" t="s">
        <v>119</v>
      </c>
    </row>
    <row r="196" spans="1:12" x14ac:dyDescent="0.3">
      <c r="A196" s="97">
        <v>45899</v>
      </c>
      <c r="B196" t="s">
        <v>58</v>
      </c>
      <c r="C196" s="11">
        <v>8218</v>
      </c>
      <c r="D196" s="11"/>
      <c r="E196" t="s">
        <v>162</v>
      </c>
      <c r="F196" s="52" t="s">
        <v>119</v>
      </c>
    </row>
    <row r="197" spans="1:12" x14ac:dyDescent="0.3">
      <c r="A197" s="97">
        <v>45899</v>
      </c>
      <c r="B197" t="s">
        <v>21</v>
      </c>
      <c r="C197" s="11"/>
      <c r="D197" s="11">
        <v>40000</v>
      </c>
      <c r="E197" t="s">
        <v>106</v>
      </c>
      <c r="F197" s="52" t="s">
        <v>119</v>
      </c>
    </row>
    <row r="198" spans="1:12" x14ac:dyDescent="0.3">
      <c r="A198" s="97">
        <v>45899</v>
      </c>
      <c r="B198" t="s">
        <v>106</v>
      </c>
      <c r="C198" s="47">
        <v>40000</v>
      </c>
      <c r="D198" s="47"/>
      <c r="E198" t="s">
        <v>130</v>
      </c>
      <c r="F198" s="52" t="s">
        <v>119</v>
      </c>
    </row>
    <row r="199" spans="1:12" x14ac:dyDescent="0.3">
      <c r="A199" s="97">
        <v>45899</v>
      </c>
      <c r="B199" t="s">
        <v>154</v>
      </c>
      <c r="C199" s="11">
        <v>5000</v>
      </c>
      <c r="D199" s="11"/>
      <c r="E199" t="s">
        <v>253</v>
      </c>
      <c r="F199" s="52" t="s">
        <v>119</v>
      </c>
    </row>
    <row r="200" spans="1:12" x14ac:dyDescent="0.3">
      <c r="A200" s="97">
        <v>45899</v>
      </c>
      <c r="B200" t="s">
        <v>196</v>
      </c>
      <c r="C200" s="47">
        <v>13000</v>
      </c>
      <c r="D200" s="47"/>
      <c r="E200" t="s">
        <v>254</v>
      </c>
      <c r="F200" s="52" t="s">
        <v>119</v>
      </c>
    </row>
    <row r="201" spans="1:12" x14ac:dyDescent="0.3">
      <c r="A201" s="97">
        <v>45899</v>
      </c>
      <c r="B201" t="s">
        <v>21</v>
      </c>
      <c r="C201" s="11"/>
      <c r="D201" s="11">
        <f>5000+13000</f>
        <v>18000</v>
      </c>
      <c r="F201" s="52" t="s">
        <v>119</v>
      </c>
    </row>
    <row r="202" spans="1:12" x14ac:dyDescent="0.3">
      <c r="A202" s="97">
        <v>45899</v>
      </c>
      <c r="B202" t="s">
        <v>127</v>
      </c>
      <c r="C202" s="11">
        <v>1500</v>
      </c>
      <c r="D202" s="11"/>
      <c r="E202" t="s">
        <v>255</v>
      </c>
      <c r="F202" s="52" t="s">
        <v>120</v>
      </c>
    </row>
    <row r="203" spans="1:12" x14ac:dyDescent="0.3">
      <c r="A203" s="97">
        <v>45899</v>
      </c>
      <c r="B203" t="s">
        <v>127</v>
      </c>
      <c r="C203" s="11">
        <v>1150</v>
      </c>
      <c r="D203" s="11"/>
      <c r="F203" s="52" t="s">
        <v>120</v>
      </c>
    </row>
    <row r="204" spans="1:12" x14ac:dyDescent="0.3">
      <c r="A204" s="97">
        <v>45900</v>
      </c>
      <c r="B204" t="s">
        <v>154</v>
      </c>
      <c r="C204" s="11">
        <v>5000</v>
      </c>
      <c r="D204" s="11"/>
      <c r="E204" t="s">
        <v>178</v>
      </c>
      <c r="F204" s="52" t="s">
        <v>120</v>
      </c>
    </row>
    <row r="205" spans="1:12" x14ac:dyDescent="0.3">
      <c r="A205" s="97">
        <v>45900</v>
      </c>
      <c r="B205" t="s">
        <v>104</v>
      </c>
      <c r="C205" s="11">
        <v>37000</v>
      </c>
      <c r="D205" s="11"/>
      <c r="E205" t="s">
        <v>193</v>
      </c>
      <c r="F205" s="52" t="s">
        <v>119</v>
      </c>
    </row>
    <row r="206" spans="1:12" x14ac:dyDescent="0.3">
      <c r="A206" s="97">
        <v>45900</v>
      </c>
      <c r="B206" t="s">
        <v>24</v>
      </c>
      <c r="C206" s="11"/>
      <c r="D206" s="11">
        <v>500000</v>
      </c>
      <c r="E206" t="s">
        <v>89</v>
      </c>
      <c r="F206" s="52" t="s">
        <v>119</v>
      </c>
    </row>
    <row r="207" spans="1:12" x14ac:dyDescent="0.3">
      <c r="A207" s="97">
        <v>45900</v>
      </c>
      <c r="B207" t="s">
        <v>143</v>
      </c>
      <c r="C207" s="47"/>
      <c r="D207" s="47">
        <v>3000</v>
      </c>
      <c r="F207" s="52" t="s">
        <v>119</v>
      </c>
    </row>
    <row r="208" spans="1:12" x14ac:dyDescent="0.3">
      <c r="A208" s="97">
        <v>45900</v>
      </c>
      <c r="B208" t="s">
        <v>53</v>
      </c>
      <c r="C208" s="11">
        <v>3000</v>
      </c>
      <c r="D208" s="11"/>
      <c r="E208" t="s">
        <v>256</v>
      </c>
      <c r="F208" s="52" t="s">
        <v>119</v>
      </c>
    </row>
    <row r="209" spans="1:6" x14ac:dyDescent="0.3">
      <c r="A209" s="97">
        <v>45900</v>
      </c>
      <c r="B209" t="s">
        <v>196</v>
      </c>
      <c r="C209" s="11">
        <v>100000</v>
      </c>
      <c r="D209" s="11"/>
      <c r="E209" t="s">
        <v>127</v>
      </c>
      <c r="F209" s="52" t="s">
        <v>119</v>
      </c>
    </row>
    <row r="210" spans="1:6" x14ac:dyDescent="0.3">
      <c r="A210" s="97">
        <v>45901</v>
      </c>
      <c r="B210" t="s">
        <v>104</v>
      </c>
      <c r="C210" s="11">
        <v>34000</v>
      </c>
      <c r="D210" s="11"/>
      <c r="E210" t="s">
        <v>257</v>
      </c>
      <c r="F210" s="52" t="s">
        <v>119</v>
      </c>
    </row>
    <row r="211" spans="1:6" x14ac:dyDescent="0.3">
      <c r="A211" s="43">
        <v>45901</v>
      </c>
      <c r="B211" t="s">
        <v>23</v>
      </c>
      <c r="C211" s="47"/>
      <c r="D211" s="47">
        <v>250000</v>
      </c>
      <c r="E211" t="s">
        <v>89</v>
      </c>
      <c r="F211" s="52" t="s">
        <v>119</v>
      </c>
    </row>
    <row r="212" spans="1:6" x14ac:dyDescent="0.3">
      <c r="A212" s="97">
        <v>45901</v>
      </c>
      <c r="B212" t="s">
        <v>21</v>
      </c>
      <c r="C212" s="11"/>
      <c r="D212" s="11">
        <v>1000</v>
      </c>
      <c r="F212" s="52" t="s">
        <v>119</v>
      </c>
    </row>
    <row r="213" spans="1:6" x14ac:dyDescent="0.3">
      <c r="A213" s="43">
        <v>45901</v>
      </c>
      <c r="B213" t="s">
        <v>57</v>
      </c>
      <c r="C213" s="11">
        <v>1000</v>
      </c>
      <c r="D213" s="11"/>
      <c r="E213" t="s">
        <v>144</v>
      </c>
      <c r="F213" s="52" t="s">
        <v>119</v>
      </c>
    </row>
    <row r="214" spans="1:6" x14ac:dyDescent="0.3">
      <c r="A214" s="97">
        <v>45901</v>
      </c>
      <c r="B214" t="s">
        <v>170</v>
      </c>
      <c r="C214" s="11">
        <v>51600</v>
      </c>
      <c r="D214" s="11"/>
      <c r="E214" t="s">
        <v>171</v>
      </c>
      <c r="F214" s="52" t="s">
        <v>119</v>
      </c>
    </row>
    <row r="215" spans="1:6" x14ac:dyDescent="0.3">
      <c r="A215" s="43">
        <v>45901</v>
      </c>
      <c r="B215" t="s">
        <v>53</v>
      </c>
      <c r="C215" s="11">
        <v>800</v>
      </c>
      <c r="D215" s="11"/>
      <c r="E215" t="s">
        <v>258</v>
      </c>
      <c r="F215" s="52" t="s">
        <v>119</v>
      </c>
    </row>
    <row r="216" spans="1:6" x14ac:dyDescent="0.3">
      <c r="A216" s="97">
        <v>45901</v>
      </c>
      <c r="B216" t="s">
        <v>139</v>
      </c>
      <c r="C216" s="11">
        <v>6115</v>
      </c>
      <c r="D216" s="11"/>
      <c r="E216" t="s">
        <v>259</v>
      </c>
      <c r="F216" s="52" t="s">
        <v>119</v>
      </c>
    </row>
    <row r="217" spans="1:6" x14ac:dyDescent="0.3">
      <c r="A217" s="43">
        <v>45901</v>
      </c>
      <c r="B217" t="s">
        <v>53</v>
      </c>
      <c r="C217" s="11">
        <v>3160</v>
      </c>
      <c r="D217" s="11"/>
      <c r="E217" t="s">
        <v>260</v>
      </c>
      <c r="F217" s="52" t="s">
        <v>119</v>
      </c>
    </row>
    <row r="218" spans="1:6" x14ac:dyDescent="0.3">
      <c r="A218" s="97">
        <v>45901</v>
      </c>
      <c r="B218" t="s">
        <v>196</v>
      </c>
      <c r="C218" s="11">
        <v>10400</v>
      </c>
      <c r="D218" s="11"/>
      <c r="E218" t="s">
        <v>261</v>
      </c>
      <c r="F218" s="52" t="s">
        <v>119</v>
      </c>
    </row>
    <row r="219" spans="1:6" x14ac:dyDescent="0.3">
      <c r="A219" s="43">
        <v>45901</v>
      </c>
      <c r="B219" t="s">
        <v>57</v>
      </c>
      <c r="C219" s="11">
        <v>6140</v>
      </c>
      <c r="D219" s="11"/>
      <c r="E219" t="s">
        <v>134</v>
      </c>
      <c r="F219" s="52" t="s">
        <v>119</v>
      </c>
    </row>
    <row r="220" spans="1:6" x14ac:dyDescent="0.3">
      <c r="A220" s="97">
        <v>45901</v>
      </c>
      <c r="B220" t="s">
        <v>53</v>
      </c>
      <c r="C220" s="11">
        <v>1700</v>
      </c>
      <c r="D220" s="11"/>
      <c r="E220" t="s">
        <v>262</v>
      </c>
      <c r="F220" s="52" t="s">
        <v>119</v>
      </c>
    </row>
    <row r="221" spans="1:6" x14ac:dyDescent="0.3">
      <c r="A221" s="43"/>
      <c r="C221" s="14">
        <f>SUBTOTAL(109,Table14[Debit])</f>
        <v>5515440</v>
      </c>
      <c r="D221" s="14">
        <f>SUBTOTAL(109,Table14[Credit])</f>
        <v>6084987</v>
      </c>
      <c r="F221" s="62">
        <f>(Table14[[#Totals],[Credit]]-Table14[[#Totals],[Debit]])</f>
        <v>569547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80</v>
      </c>
      <c r="B1" s="2" t="s">
        <v>200</v>
      </c>
      <c r="C1" s="2" t="s">
        <v>201</v>
      </c>
      <c r="D1" s="8" t="s">
        <v>4</v>
      </c>
      <c r="E1" s="8" t="s">
        <v>202</v>
      </c>
      <c r="F1" s="8" t="s">
        <v>121</v>
      </c>
      <c r="G1" s="8" t="s">
        <v>102</v>
      </c>
      <c r="H1" s="8" t="s">
        <v>18</v>
      </c>
      <c r="I1" s="8" t="s">
        <v>203</v>
      </c>
    </row>
    <row r="2" spans="1:14" x14ac:dyDescent="0.3">
      <c r="A2" s="93">
        <v>45885</v>
      </c>
      <c r="B2" s="90" t="s">
        <v>67</v>
      </c>
      <c r="C2" s="90"/>
      <c r="D2" s="90"/>
      <c r="E2" s="90"/>
      <c r="F2" s="90" t="s">
        <v>145</v>
      </c>
      <c r="G2" s="90"/>
      <c r="H2" s="90">
        <v>567500</v>
      </c>
      <c r="I2" s="90" t="s">
        <v>204</v>
      </c>
      <c r="K2" t="s">
        <v>80</v>
      </c>
      <c r="L2" t="s">
        <v>48</v>
      </c>
      <c r="M2" t="s">
        <v>38</v>
      </c>
      <c r="N2" t="s">
        <v>5</v>
      </c>
    </row>
    <row r="3" spans="1:14" x14ac:dyDescent="0.3">
      <c r="A3" s="1">
        <v>45885</v>
      </c>
      <c r="B3" t="s">
        <v>140</v>
      </c>
      <c r="E3">
        <v>114250</v>
      </c>
      <c r="G3">
        <v>114250</v>
      </c>
      <c r="H3">
        <f>Table8[[#This Row],[Price]]-Table8[[#This Row],[Paid]]</f>
        <v>0</v>
      </c>
      <c r="I3" t="s">
        <v>67</v>
      </c>
      <c r="K3" s="1"/>
      <c r="L3" t="s">
        <v>205</v>
      </c>
      <c r="N3" s="11">
        <f t="shared" ref="N3" si="0">47000+28750</f>
        <v>75750</v>
      </c>
    </row>
    <row r="4" spans="1:14" x14ac:dyDescent="0.3">
      <c r="A4" s="1">
        <v>45888</v>
      </c>
      <c r="B4" t="s">
        <v>140</v>
      </c>
      <c r="F4" t="s">
        <v>145</v>
      </c>
      <c r="G4">
        <f>SUMIFS(Table14[Debit], Table14[Date], Table8[[#This Row],[Date]], Table14[Party], F2)</f>
        <v>567500</v>
      </c>
      <c r="H4">
        <f>Table8[[#This Row],[Price]]-Table8[[#This Row],[Paid]]</f>
        <v>-567500</v>
      </c>
      <c r="K4" s="1"/>
      <c r="N4" s="11"/>
    </row>
    <row r="5" spans="1:14" x14ac:dyDescent="0.3">
      <c r="A5" s="1">
        <v>45888</v>
      </c>
      <c r="B5" t="s">
        <v>140</v>
      </c>
      <c r="E5">
        <v>46500</v>
      </c>
      <c r="G5">
        <f>SUMIFS(Table14[Debit], Table14[Date], Table8[[#This Row],[Date]], Table14[Party], Table8[[#This Row],[Chemical Name]],Table14[Description],Table8[[#This Row],[info]])</f>
        <v>46500</v>
      </c>
      <c r="H5">
        <f>Table8[[#This Row],[Price]]-Table8[[#This Row],[Paid]]</f>
        <v>0</v>
      </c>
      <c r="I5" t="s">
        <v>141</v>
      </c>
      <c r="K5" s="1"/>
      <c r="N5" s="14">
        <f>SUM(Table7[Total])</f>
        <v>75750</v>
      </c>
    </row>
    <row r="6" spans="1:14" x14ac:dyDescent="0.3">
      <c r="A6" s="1">
        <v>45888</v>
      </c>
      <c r="B6" t="s">
        <v>140</v>
      </c>
      <c r="E6">
        <v>13600</v>
      </c>
      <c r="G6">
        <f>SUMIFS(Table14[Debit], Table14[Date], Table8[[#This Row],[Date]], Table14[Party], Table8[[#This Row],[Chemical Name]],Table14[Description],Table8[[#This Row],[info]])</f>
        <v>13600</v>
      </c>
      <c r="H6">
        <f>Table8[[#This Row],[Price]]-Table8[[#This Row],[Paid]]</f>
        <v>0</v>
      </c>
      <c r="I6" t="s">
        <v>142</v>
      </c>
    </row>
    <row r="7" spans="1:14" x14ac:dyDescent="0.3">
      <c r="A7" s="1">
        <v>45889</v>
      </c>
      <c r="B7" t="s">
        <v>206</v>
      </c>
      <c r="C7">
        <v>6</v>
      </c>
      <c r="D7">
        <v>920</v>
      </c>
      <c r="E7">
        <f>Table8[[#This Row],[Boxes]]*Table8[[#This Row],[Rate]]*25</f>
        <v>138000</v>
      </c>
      <c r="F7" t="s">
        <v>145</v>
      </c>
      <c r="H7">
        <f>Table8[[#This Row],[Price]]-Table8[[#This Row],[Paid]]</f>
        <v>138000</v>
      </c>
      <c r="K7" s="3" t="s">
        <v>121</v>
      </c>
      <c r="L7" t="s">
        <v>95</v>
      </c>
    </row>
    <row r="8" spans="1:14" x14ac:dyDescent="0.3">
      <c r="A8" s="1">
        <v>45889</v>
      </c>
      <c r="B8" t="s">
        <v>207</v>
      </c>
      <c r="C8">
        <v>3</v>
      </c>
      <c r="D8">
        <v>1130</v>
      </c>
      <c r="E8">
        <f>Table8[[#This Row],[Boxes]]*Table8[[#This Row],[Rate]]*25</f>
        <v>84750</v>
      </c>
      <c r="F8" t="s">
        <v>145</v>
      </c>
      <c r="H8">
        <f>Table8[[#This Row],[Price]]-Table8[[#This Row],[Paid]]</f>
        <v>84750</v>
      </c>
    </row>
    <row r="9" spans="1:14" x14ac:dyDescent="0.3">
      <c r="A9" s="1">
        <v>45889</v>
      </c>
      <c r="B9" t="s">
        <v>208</v>
      </c>
      <c r="C9">
        <v>3</v>
      </c>
      <c r="D9">
        <v>1130</v>
      </c>
      <c r="E9">
        <f>Table8[[#This Row],[Boxes]]*Table8[[#This Row],[Rate]]*25</f>
        <v>84750</v>
      </c>
      <c r="F9" t="s">
        <v>145</v>
      </c>
      <c r="H9">
        <f>Table8[[#This Row],[Price]]-Table8[[#This Row],[Paid]]</f>
        <v>84750</v>
      </c>
      <c r="K9" s="3" t="s">
        <v>6</v>
      </c>
      <c r="L9" t="s">
        <v>209</v>
      </c>
      <c r="M9" t="s">
        <v>210</v>
      </c>
    </row>
    <row r="10" spans="1:14" x14ac:dyDescent="0.3">
      <c r="A10" s="1">
        <v>45889</v>
      </c>
      <c r="B10" t="s">
        <v>211</v>
      </c>
      <c r="C10">
        <v>3</v>
      </c>
      <c r="D10">
        <v>1340</v>
      </c>
      <c r="E10">
        <f>Table8[[#This Row],[Boxes]]*Table8[[#This Row],[Rate]]*25</f>
        <v>100500</v>
      </c>
      <c r="F10" t="s">
        <v>145</v>
      </c>
      <c r="H10">
        <f>Table8[[#This Row],[Price]]-Table8[[#This Row],[Paid]]</f>
        <v>100500</v>
      </c>
      <c r="K10" s="27">
        <v>45888</v>
      </c>
      <c r="L10" s="101">
        <v>60100</v>
      </c>
      <c r="M10" s="101">
        <v>-567500</v>
      </c>
    </row>
    <row r="11" spans="1:14" x14ac:dyDescent="0.3">
      <c r="A11" s="1">
        <v>45889</v>
      </c>
      <c r="B11" t="s">
        <v>212</v>
      </c>
      <c r="C11">
        <v>2</v>
      </c>
      <c r="D11">
        <v>1130</v>
      </c>
      <c r="E11">
        <f>Table8[[#This Row],[Boxes]]*Table8[[#This Row],[Rate]]*25</f>
        <v>56500</v>
      </c>
      <c r="F11" t="s">
        <v>145</v>
      </c>
      <c r="H11">
        <f>Table8[[#This Row],[Price]]-Table8[[#This Row],[Paid]]</f>
        <v>56500</v>
      </c>
      <c r="K11" s="27">
        <v>45889</v>
      </c>
      <c r="L11" s="101">
        <v>659500</v>
      </c>
      <c r="M11" s="101">
        <v>659500</v>
      </c>
    </row>
    <row r="12" spans="1:14" x14ac:dyDescent="0.3">
      <c r="A12" s="1">
        <v>45889</v>
      </c>
      <c r="B12" t="s">
        <v>213</v>
      </c>
      <c r="C12">
        <v>2</v>
      </c>
      <c r="D12">
        <v>1650</v>
      </c>
      <c r="E12">
        <f>Table8[[#This Row],[Boxes]]*Table8[[#This Row],[Rate]]*25</f>
        <v>82500</v>
      </c>
      <c r="F12" t="s">
        <v>145</v>
      </c>
      <c r="H12">
        <f>Table8[[#This Row],[Price]]-Table8[[#This Row],[Paid]]</f>
        <v>82500</v>
      </c>
      <c r="K12" s="27">
        <v>45892</v>
      </c>
      <c r="L12" s="101">
        <v>166500</v>
      </c>
      <c r="M12" s="101">
        <v>154500</v>
      </c>
    </row>
    <row r="13" spans="1:14" x14ac:dyDescent="0.3">
      <c r="A13" s="1">
        <v>45889</v>
      </c>
      <c r="B13" t="s">
        <v>214</v>
      </c>
      <c r="C13">
        <v>1</v>
      </c>
      <c r="D13">
        <v>1400</v>
      </c>
      <c r="E13">
        <f>Table8[[#This Row],[Boxes]]*Table8[[#This Row],[Rate]]*25</f>
        <v>35000</v>
      </c>
      <c r="F13" t="s">
        <v>145</v>
      </c>
      <c r="H13">
        <f>Table8[[#This Row],[Price]]-Table8[[#This Row],[Paid]]</f>
        <v>35000</v>
      </c>
      <c r="K13" s="27">
        <v>45885</v>
      </c>
      <c r="L13" s="101">
        <v>114250</v>
      </c>
      <c r="M13" s="101">
        <v>567500</v>
      </c>
    </row>
    <row r="14" spans="1:14" x14ac:dyDescent="0.3">
      <c r="A14" s="1">
        <v>45889</v>
      </c>
      <c r="B14" t="s">
        <v>215</v>
      </c>
      <c r="C14">
        <v>1</v>
      </c>
      <c r="D14">
        <v>1450</v>
      </c>
      <c r="E14">
        <f>Table8[[#This Row],[Boxes]]*Table8[[#This Row],[Rate]]*25</f>
        <v>36250</v>
      </c>
      <c r="F14" t="s">
        <v>145</v>
      </c>
      <c r="H14">
        <f>Table8[[#This Row],[Price]]-Table8[[#This Row],[Paid]]</f>
        <v>36250</v>
      </c>
      <c r="K14" s="4" t="s">
        <v>28</v>
      </c>
      <c r="L14" s="101">
        <v>1000350</v>
      </c>
      <c r="M14" s="101">
        <v>814000</v>
      </c>
    </row>
    <row r="15" spans="1:14" x14ac:dyDescent="0.3">
      <c r="A15" s="1">
        <v>45889</v>
      </c>
      <c r="B15" t="s">
        <v>216</v>
      </c>
      <c r="C15">
        <v>1</v>
      </c>
      <c r="D15">
        <v>1650</v>
      </c>
      <c r="E15">
        <f>Table8[[#This Row],[Boxes]]*Table8[[#This Row],[Rate]]*25</f>
        <v>41250</v>
      </c>
      <c r="F15" t="s">
        <v>145</v>
      </c>
      <c r="H15">
        <f>Table8[[#This Row],[Price]]-Table8[[#This Row],[Paid]]</f>
        <v>41250</v>
      </c>
    </row>
    <row r="16" spans="1:14" x14ac:dyDescent="0.3">
      <c r="A16" s="1">
        <v>45892</v>
      </c>
      <c r="B16" t="s">
        <v>173</v>
      </c>
      <c r="C16">
        <v>1</v>
      </c>
      <c r="E16">
        <v>12000</v>
      </c>
      <c r="F16" t="s">
        <v>107</v>
      </c>
      <c r="G16">
        <f>SUMIFS(Table14[Debit], Table14[Date], Table8[[#This Row],[Date]], Table14[Party], "Chemicals",Table14[Description], Table8[[#This Row],[Chemical Name]])</f>
        <v>12000</v>
      </c>
      <c r="H16">
        <f>Table8[[#This Row],[Price]]-Table8[[#This Row],[Paid]]</f>
        <v>0</v>
      </c>
    </row>
    <row r="17" spans="1:8" x14ac:dyDescent="0.3">
      <c r="A17" s="1">
        <v>45892</v>
      </c>
      <c r="B17" t="s">
        <v>240</v>
      </c>
      <c r="C17">
        <v>3</v>
      </c>
      <c r="D17">
        <v>1300</v>
      </c>
      <c r="E17">
        <f>Table8[[#This Row],[Boxes]]*Table8[[#This Row],[Rate]]*25</f>
        <v>97500</v>
      </c>
      <c r="F17" t="s">
        <v>145</v>
      </c>
      <c r="H17">
        <f>Table8[[#This Row],[Price]]-Table8[[#This Row],[Paid]]</f>
        <v>97500</v>
      </c>
    </row>
    <row r="18" spans="1:8" x14ac:dyDescent="0.3">
      <c r="A18" s="1">
        <v>45892</v>
      </c>
      <c r="B18" t="s">
        <v>241</v>
      </c>
      <c r="C18">
        <v>2</v>
      </c>
      <c r="D18">
        <v>1140</v>
      </c>
      <c r="E18">
        <f>Table8[[#This Row],[Boxes]]*Table8[[#This Row],[Rate]]*25</f>
        <v>57000</v>
      </c>
      <c r="F18" t="s">
        <v>145</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80</v>
      </c>
      <c r="B4" s="8" t="s">
        <v>2</v>
      </c>
      <c r="C4" s="2" t="s">
        <v>217</v>
      </c>
      <c r="D4" s="2" t="s">
        <v>201</v>
      </c>
      <c r="E4" s="8" t="s">
        <v>218</v>
      </c>
      <c r="F4" s="8" t="s">
        <v>202</v>
      </c>
      <c r="G4" s="8" t="s">
        <v>102</v>
      </c>
      <c r="H4" s="8" t="s">
        <v>18</v>
      </c>
      <c r="J4" s="3" t="s">
        <v>6</v>
      </c>
      <c r="K4" t="s">
        <v>209</v>
      </c>
      <c r="L4" t="s">
        <v>112</v>
      </c>
      <c r="M4" t="s">
        <v>210</v>
      </c>
    </row>
    <row r="5" spans="1:13" x14ac:dyDescent="0.3">
      <c r="A5" s="93">
        <v>45885</v>
      </c>
      <c r="B5" s="93" t="s">
        <v>155</v>
      </c>
      <c r="C5" s="90" t="s">
        <v>90</v>
      </c>
      <c r="D5" s="90"/>
      <c r="E5" s="90"/>
      <c r="F5" s="90"/>
      <c r="G5" s="90">
        <f>SUMIFS(Table14[Debit], Table14[Date], Table2[[#This Row],[Date]], Table14[Party], Table2[[#This Row],[Party Name]])</f>
        <v>0</v>
      </c>
      <c r="H5" s="90">
        <v>95000</v>
      </c>
      <c r="J5" s="4" t="s">
        <v>114</v>
      </c>
      <c r="K5" s="101"/>
      <c r="L5" s="101">
        <v>0</v>
      </c>
      <c r="M5" s="101">
        <v>0</v>
      </c>
    </row>
    <row r="6" spans="1:13" x14ac:dyDescent="0.3">
      <c r="A6" s="1">
        <v>45885</v>
      </c>
      <c r="B6" s="1" t="s">
        <v>107</v>
      </c>
      <c r="C6" t="s">
        <v>64</v>
      </c>
      <c r="D6">
        <v>10</v>
      </c>
      <c r="F6">
        <v>69950</v>
      </c>
      <c r="G6">
        <v>69950</v>
      </c>
      <c r="H6">
        <f>Table2[[#This Row],[Price]]-Table2[[#This Row],[Paid]]</f>
        <v>0</v>
      </c>
      <c r="J6" s="4" t="s">
        <v>155</v>
      </c>
      <c r="K6" s="101"/>
      <c r="L6" s="101">
        <v>60000</v>
      </c>
      <c r="M6" s="101">
        <v>35000</v>
      </c>
    </row>
    <row r="7" spans="1:13" x14ac:dyDescent="0.3">
      <c r="A7" s="1">
        <v>45889</v>
      </c>
      <c r="B7" s="1" t="s">
        <v>155</v>
      </c>
      <c r="G7">
        <f>SUMIFS(Table14[Debit], Table14[Date], Table2[[#This Row],[Date]], Table14[Party], Table2[[#This Row],[Party Name]])</f>
        <v>60000</v>
      </c>
      <c r="H7">
        <f>Table2[[#This Row],[Price]]-Table2[[#This Row],[Paid]]</f>
        <v>-60000</v>
      </c>
      <c r="J7" s="4" t="s">
        <v>107</v>
      </c>
      <c r="K7" s="101">
        <v>123050</v>
      </c>
      <c r="L7" s="101">
        <v>123050</v>
      </c>
      <c r="M7" s="101">
        <v>0</v>
      </c>
    </row>
    <row r="8" spans="1:13" x14ac:dyDescent="0.3">
      <c r="A8" s="1">
        <v>45892</v>
      </c>
      <c r="B8" s="1" t="s">
        <v>107</v>
      </c>
      <c r="C8" t="s">
        <v>171</v>
      </c>
      <c r="D8">
        <v>3</v>
      </c>
      <c r="F8">
        <v>43500</v>
      </c>
      <c r="G8">
        <f>SUMIFS(Table14[Debit], Table14[Date], Table2[[#This Row],[Date]], Table14[Party], "Finish",Table14[Description],Table2[[#This Row],[Item]])</f>
        <v>43500</v>
      </c>
      <c r="H8">
        <f>Table2[[#This Row],[Price]]-Table2[[#This Row],[Paid]]</f>
        <v>0</v>
      </c>
      <c r="J8" s="4" t="s">
        <v>170</v>
      </c>
      <c r="K8" s="101">
        <v>355350</v>
      </c>
      <c r="L8" s="101">
        <v>355350</v>
      </c>
      <c r="M8" s="101">
        <v>0</v>
      </c>
    </row>
    <row r="9" spans="1:13" x14ac:dyDescent="0.3">
      <c r="A9" s="1">
        <v>45892</v>
      </c>
      <c r="B9" s="1" t="s">
        <v>107</v>
      </c>
      <c r="C9" t="s">
        <v>172</v>
      </c>
      <c r="F9">
        <v>9600</v>
      </c>
      <c r="G9">
        <f>SUMIFS(Table14[Debit], Table14[Date], Table2[[#This Row],[Date]], Table14[Party], "Finish",Table14[Description],Table2[[#This Row],[Item]])</f>
        <v>9600</v>
      </c>
      <c r="H9">
        <f>Table2[[#This Row],[Price]]-Table2[[#This Row],[Paid]]</f>
        <v>0</v>
      </c>
      <c r="J9" s="4" t="s">
        <v>28</v>
      </c>
      <c r="K9" s="101">
        <v>478400</v>
      </c>
      <c r="L9" s="101">
        <v>538400</v>
      </c>
      <c r="M9" s="101">
        <v>35000</v>
      </c>
    </row>
    <row r="10" spans="1:13" x14ac:dyDescent="0.3">
      <c r="A10" s="1">
        <v>45896</v>
      </c>
      <c r="B10" s="1" t="s">
        <v>170</v>
      </c>
      <c r="C10" t="s">
        <v>64</v>
      </c>
      <c r="F10">
        <v>303750</v>
      </c>
      <c r="G10">
        <f>SUMIFS(Table14[Debit], Table14[Date], Table2[[#This Row],[Date]], Table14[Party], "Finish",Table14[Description],Table2[[#This Row],[Item]])</f>
        <v>303750</v>
      </c>
      <c r="H10">
        <f>Table2[[#This Row],[Price]]-Table2[[#This Row],[Paid]]</f>
        <v>0</v>
      </c>
    </row>
    <row r="11" spans="1:13" x14ac:dyDescent="0.3">
      <c r="A11" s="1">
        <v>45901</v>
      </c>
      <c r="B11" s="1" t="s">
        <v>170</v>
      </c>
      <c r="C11" t="s">
        <v>171</v>
      </c>
      <c r="D11">
        <v>3</v>
      </c>
      <c r="F11">
        <v>51600</v>
      </c>
      <c r="G11" s="101">
        <f>SUMIFS(Table14[Debit], Table14[Date], Table2[[#This Row],[Date]], Table14[Party], Table2[[#This Row],[Party Name]])</f>
        <v>51600</v>
      </c>
      <c r="H11" s="101">
        <f>Table2[[#This Row],[Price]]-Table2[[#This Row],[Paid]]</f>
        <v>0</v>
      </c>
    </row>
    <row r="12" spans="1:13" x14ac:dyDescent="0.3">
      <c r="A12" s="1"/>
      <c r="B12" s="1"/>
      <c r="G12" s="101">
        <f>SUMIFS(Table14[Debit], Table14[Date], Table2[[#This Row],[Date]], Table14[Party], Table2[[#This Row],[Party Name]])</f>
        <v>0</v>
      </c>
      <c r="H12" s="101">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80</v>
      </c>
      <c r="C2" t="s">
        <v>219</v>
      </c>
      <c r="D2" t="s">
        <v>220</v>
      </c>
      <c r="E2" t="s">
        <v>5</v>
      </c>
    </row>
    <row r="3" spans="2:5" x14ac:dyDescent="0.3">
      <c r="B3" s="19" t="s">
        <v>221</v>
      </c>
      <c r="C3" s="19" t="s">
        <v>107</v>
      </c>
      <c r="D3" s="19" t="s">
        <v>107</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80</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A12" zoomScale="118" workbookViewId="0">
      <selection activeCell="E12" sqref="E12"/>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80</v>
      </c>
      <c r="C2" t="s">
        <v>49</v>
      </c>
      <c r="D2" t="s">
        <v>69</v>
      </c>
      <c r="E2" t="s">
        <v>70</v>
      </c>
      <c r="H2" t="s">
        <v>80</v>
      </c>
      <c r="I2" t="s">
        <v>222</v>
      </c>
      <c r="J2" t="s">
        <v>223</v>
      </c>
    </row>
    <row r="3" spans="2:10" x14ac:dyDescent="0.3">
      <c r="B3" s="1">
        <v>45893</v>
      </c>
      <c r="C3" s="20">
        <f>SUMIFS(Table14[Debit], Table14[Date], Table11[[#This Row],[Date]], Table14[Party],"Salary ", Table14[Description],Table11[[#This Row],[Column1]])</f>
        <v>0</v>
      </c>
      <c r="H3" s="1">
        <v>45886</v>
      </c>
      <c r="I3">
        <v>4000</v>
      </c>
      <c r="J3" t="s">
        <v>175</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235</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181</v>
      </c>
      <c r="H6" s="1">
        <v>45889</v>
      </c>
      <c r="I6">
        <f>SUMIFS(Table14[Debit], Table14[Date], Table16[[#This Row],[Date]], Table14[Party], "Advance Salary", Table14[Description], Table16[[#This Row],[Person]] )</f>
        <v>1000</v>
      </c>
      <c r="J6" t="s">
        <v>239</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159</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254</v>
      </c>
      <c r="H9" s="1">
        <v>45892</v>
      </c>
      <c r="I9">
        <f>SUMIFS(Table14[Debit], Table14[Date], Table16[[#This Row],[Date]], Table14[Party], "Advance Salary", Table14[Description], Table16[[#This Row],[Person]] )</f>
        <v>10000</v>
      </c>
      <c r="J9" t="s">
        <v>175</v>
      </c>
    </row>
    <row r="10" spans="2:10" x14ac:dyDescent="0.3">
      <c r="B10" s="1">
        <v>45900</v>
      </c>
      <c r="C10" s="20">
        <f>SUMIFS(Table14[Debit], Table14[Date], Table11[[#This Row],[Date]], Table14[Party],"Salary ", Table14[Description],Table11[[#This Row],[Column1]])</f>
        <v>100000</v>
      </c>
      <c r="D10" t="s">
        <v>127</v>
      </c>
      <c r="H10" s="1">
        <v>45892</v>
      </c>
      <c r="I10">
        <f>SUMIFS(Table14[Debit], Table14[Date], Table16[[#This Row],[Date]], Table14[Party], "Advance Salary", Table14[Description], Table16[[#This Row],[Person]] )</f>
        <v>1000</v>
      </c>
      <c r="J10" t="s">
        <v>178</v>
      </c>
    </row>
    <row r="11" spans="2:10" x14ac:dyDescent="0.3">
      <c r="B11" s="1">
        <v>45901</v>
      </c>
      <c r="C11" s="20">
        <f>SUMIFS(Table14[Debit], Table14[Date], Table11[[#This Row],[Date]], Table14[Party],"Salary ", Table14[Description],Table11[[#This Row],[Column1]])</f>
        <v>10400</v>
      </c>
      <c r="D11" t="s">
        <v>263</v>
      </c>
      <c r="E11" t="s">
        <v>264</v>
      </c>
      <c r="H11" s="1">
        <v>45893</v>
      </c>
      <c r="I11">
        <f>SUMIFS(Table14[Debit], Table14[Date], Table16[[#This Row],[Date]], Table14[Party], "Advance Salary", Table14[Description], Table16[[#This Row],[Person]] )</f>
        <v>30000</v>
      </c>
      <c r="J11" t="s">
        <v>181</v>
      </c>
    </row>
    <row r="12" spans="2:10" x14ac:dyDescent="0.3">
      <c r="B12" s="1">
        <v>45902</v>
      </c>
      <c r="C12" s="20">
        <f>SUMIFS(Table14[Debit], Table14[Date], Table11[[#This Row],[Date]], Table14[Party],"Salary ", Table14[Description],Table11[[#This Row],[Column1]])</f>
        <v>0</v>
      </c>
      <c r="H12" s="1">
        <v>45894</v>
      </c>
      <c r="I12">
        <f>SUMIFS(Table14[Debit], Table14[Date], Table16[[#This Row],[Date]], Table14[Party], "Advance Salary", Table14[Description], Table16[[#This Row],[Person]] )</f>
        <v>0</v>
      </c>
    </row>
    <row r="13" spans="2:10" x14ac:dyDescent="0.3">
      <c r="B13" s="1">
        <v>45903</v>
      </c>
      <c r="C13" s="20">
        <f>SUMIFS(Table14[Debit], Table14[Date], Table11[[#This Row],[Date]], Table14[Party],"Salary ", Table14[Description],Table11[[#This Row],[Column1]])</f>
        <v>0</v>
      </c>
      <c r="H13" s="1">
        <v>45895</v>
      </c>
      <c r="I13">
        <f>SUMIFS(Table14[Debit], Table14[Date], Table16[[#This Row],[Date]], Table14[Party], "Advance Salary", Table14[Description], Table16[[#This Row],[Person]] )</f>
        <v>38000</v>
      </c>
      <c r="J13" t="s">
        <v>175</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236</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239</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243</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175</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253</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178</v>
      </c>
    </row>
    <row r="21" spans="2:10" x14ac:dyDescent="0.3">
      <c r="B21" s="1">
        <v>45904</v>
      </c>
      <c r="C21" s="20">
        <f>SUMIFS(Table14[Debit], Table14[Date], Table11[[#This Row],[Date]], Table14[Party],"Salary ", Table14[Description],Table11[[#This Row],[Column1]])</f>
        <v>0</v>
      </c>
      <c r="H21" s="1">
        <v>45901</v>
      </c>
      <c r="I21">
        <f>SUMIFS(Table14[Debit], Table14[Date], Table16[[#This Row],[Date]], Table14[Party], "Advance Salary", Table14[Description], Table16[[#This Row],[Person]] )</f>
        <v>0</v>
      </c>
    </row>
    <row r="22" spans="2:10" x14ac:dyDescent="0.3">
      <c r="B22" s="1">
        <v>45905</v>
      </c>
      <c r="C22" s="20">
        <f>SUMIFS(Table14[Debit], Table14[Date], Table11[[#This Row],[Date]], Table14[Party],"Salary ", Table14[Description],Table11[[#This Row],[Column1]])</f>
        <v>0</v>
      </c>
      <c r="H22" s="1">
        <v>45902</v>
      </c>
      <c r="I22">
        <f>SUMIFS(Table14[Debit], Table14[Date], Table16[[#This Row],[Date]], Table14[Party], "Advance Salary", Table14[Description], Table16[[#This Row],[Person]] )</f>
        <v>0</v>
      </c>
    </row>
    <row r="23" spans="2:10" x14ac:dyDescent="0.3">
      <c r="B23" s="1">
        <v>45906</v>
      </c>
      <c r="C23" s="20">
        <f>SUMIFS(Table14[Debit], Table14[Date], Table11[[#This Row],[Date]], Table14[Party],"Salary ", Table14[Description],Table11[[#This Row],[Column1]])</f>
        <v>0</v>
      </c>
      <c r="H23" s="1">
        <v>45903</v>
      </c>
      <c r="I23">
        <f>SUMIFS(Table14[Debit], Table14[Date], Table16[[#This Row],[Date]], Table14[Party], "Advance Salary", Table14[Description], Table16[[#This Row],[Person]] )</f>
        <v>0</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0</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0</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168400</v>
      </c>
      <c r="H35" s="1"/>
      <c r="I35">
        <f>SUBTOTAL(109,Table16[Advance])</f>
        <v>140000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95</v>
      </c>
      <c r="C1" s="14"/>
    </row>
    <row r="2" spans="1:12" x14ac:dyDescent="0.3">
      <c r="A2" s="36" t="s">
        <v>28</v>
      </c>
      <c r="B2" s="38">
        <f>SUM(B4:INDEX(B:B, MATCH(1E+100, B:B)-1))</f>
        <v>823080</v>
      </c>
      <c r="C2" s="37">
        <f>GETPIVOTDATA("Sum of Tiyaar/gaz",$A$3)</f>
        <v>708886</v>
      </c>
      <c r="D2" s="36">
        <f>((B2*48)+((C2/1.0936)*10))/C2</f>
        <v>64.87640101050107</v>
      </c>
      <c r="J2">
        <v>48</v>
      </c>
    </row>
    <row r="3" spans="1:12" x14ac:dyDescent="0.3">
      <c r="A3" s="39" t="s">
        <v>224</v>
      </c>
      <c r="B3" s="40" t="s">
        <v>225</v>
      </c>
      <c r="C3" s="41" t="s">
        <v>96</v>
      </c>
      <c r="D3" s="37" t="s">
        <v>226</v>
      </c>
      <c r="E3" s="11" t="s">
        <v>227</v>
      </c>
      <c r="F3" s="11" t="str">
        <f t="shared" ref="F3:F38" si="0">C3</f>
        <v>Sum of Tiyaar/gaz</v>
      </c>
      <c r="G3" s="85" t="s">
        <v>87</v>
      </c>
      <c r="H3" s="11" t="s">
        <v>228</v>
      </c>
      <c r="I3" s="34" t="s">
        <v>229</v>
      </c>
    </row>
    <row r="4" spans="1:12" x14ac:dyDescent="0.3">
      <c r="A4" s="16">
        <v>1624</v>
      </c>
      <c r="B4" s="14">
        <v>30782</v>
      </c>
      <c r="C4" s="14">
        <v>2242</v>
      </c>
      <c r="D4" s="33">
        <f>I4</f>
        <v>668.16998095153576</v>
      </c>
      <c r="E4" s="11">
        <f>B4 * 1.0936</f>
        <v>33663.195199999995</v>
      </c>
      <c r="F4" s="11">
        <f t="shared" si="0"/>
        <v>2242</v>
      </c>
      <c r="G4" s="86">
        <f>100- (F4/E4 *100)</f>
        <v>93.339907318126478</v>
      </c>
      <c r="H4" s="33">
        <f>F4/1.0936</f>
        <v>2050.1097293343087</v>
      </c>
      <c r="I4" s="33">
        <f>((B4*48)+(H4*10))/C4</f>
        <v>668.16998095153576</v>
      </c>
      <c r="J4" s="33"/>
      <c r="K4" s="33"/>
      <c r="L4" s="33"/>
    </row>
    <row r="5" spans="1:12" x14ac:dyDescent="0.3">
      <c r="A5" s="16" t="s">
        <v>114</v>
      </c>
      <c r="B5" s="14"/>
      <c r="C5" s="14"/>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A6" s="16">
        <v>1605</v>
      </c>
      <c r="B6" s="14">
        <v>103550</v>
      </c>
      <c r="C6" s="14">
        <v>109160</v>
      </c>
      <c r="D6" s="33">
        <f t="shared" si="1"/>
        <v>54.677273522916096</v>
      </c>
      <c r="E6" s="11">
        <f t="shared" si="2"/>
        <v>113242.27999999998</v>
      </c>
      <c r="F6" s="11">
        <f t="shared" si="0"/>
        <v>109160</v>
      </c>
      <c r="G6" s="86">
        <f t="shared" ref="G6:G18" si="4">100- (F6/E6 *100)</f>
        <v>3.6049079901958692</v>
      </c>
      <c r="H6" s="33">
        <f t="shared" si="3"/>
        <v>99817.117776152169</v>
      </c>
      <c r="I6" s="33">
        <f>((B6*48)+(H6*10))/C6</f>
        <v>54.677273522916096</v>
      </c>
      <c r="J6" s="33"/>
      <c r="K6" s="33"/>
      <c r="L6" s="33"/>
    </row>
    <row r="7" spans="1:12" x14ac:dyDescent="0.3">
      <c r="A7" s="16">
        <v>1646</v>
      </c>
      <c r="B7" s="14">
        <v>24008</v>
      </c>
      <c r="C7" s="14">
        <v>25952</v>
      </c>
      <c r="D7" s="33">
        <f t="shared" si="1"/>
        <v>53.54855015663378</v>
      </c>
      <c r="E7" s="11">
        <f t="shared" si="2"/>
        <v>26255.148799999999</v>
      </c>
      <c r="F7" s="11">
        <f t="shared" si="0"/>
        <v>25952</v>
      </c>
      <c r="G7" s="86">
        <f t="shared" si="4"/>
        <v>1.1546260975675722</v>
      </c>
      <c r="H7" s="33">
        <f t="shared" si="3"/>
        <v>23730.797366495979</v>
      </c>
      <c r="I7" s="33">
        <f>((B7*48)+(H7*10))/C7</f>
        <v>53.54855015663378</v>
      </c>
      <c r="J7" s="33"/>
      <c r="K7" s="33"/>
      <c r="L7" s="33"/>
    </row>
    <row r="8" spans="1:12" x14ac:dyDescent="0.3">
      <c r="A8" s="16">
        <v>1640</v>
      </c>
      <c r="B8" s="14">
        <v>50373</v>
      </c>
      <c r="C8" s="14">
        <v>54302</v>
      </c>
      <c r="D8" s="33">
        <f t="shared" si="1"/>
        <v>53.671089940872818</v>
      </c>
      <c r="E8" s="11">
        <f t="shared" si="2"/>
        <v>55087.912799999998</v>
      </c>
      <c r="F8" s="11">
        <f t="shared" si="0"/>
        <v>54302</v>
      </c>
      <c r="G8" s="86">
        <f t="shared" si="4"/>
        <v>1.4266519823564607</v>
      </c>
      <c r="H8" s="33">
        <f t="shared" si="3"/>
        <v>49654.35259692758</v>
      </c>
      <c r="I8" s="33">
        <f t="shared" ref="I8:I38" si="5">((B8*48)+(H8*10))/C8</f>
        <v>53.671089940872818</v>
      </c>
      <c r="J8" s="33"/>
      <c r="K8" s="33"/>
      <c r="L8" s="33"/>
    </row>
    <row r="9" spans="1:12" x14ac:dyDescent="0.3">
      <c r="A9" s="16">
        <v>1649</v>
      </c>
      <c r="B9" s="14">
        <v>3826</v>
      </c>
      <c r="C9" s="14">
        <v>4140</v>
      </c>
      <c r="D9" s="33">
        <f t="shared" si="1"/>
        <v>53.503531482247176</v>
      </c>
      <c r="E9" s="11">
        <f t="shared" si="2"/>
        <v>4184.1135999999997</v>
      </c>
      <c r="F9" s="11">
        <f t="shared" si="0"/>
        <v>4140</v>
      </c>
      <c r="G9" s="86">
        <f t="shared" si="4"/>
        <v>1.0543117184963648</v>
      </c>
      <c r="H9" s="33">
        <f t="shared" si="3"/>
        <v>3785.6620336503297</v>
      </c>
      <c r="I9" s="33">
        <f t="shared" si="5"/>
        <v>53.503531482247176</v>
      </c>
      <c r="J9" s="33"/>
      <c r="K9" s="33"/>
      <c r="L9" s="33"/>
    </row>
    <row r="10" spans="1:12" x14ac:dyDescent="0.3">
      <c r="A10" s="16">
        <v>1607</v>
      </c>
      <c r="B10" s="14">
        <v>60735</v>
      </c>
      <c r="C10" s="14">
        <v>48961</v>
      </c>
      <c r="D10" s="33">
        <f t="shared" si="1"/>
        <v>68.687012685417159</v>
      </c>
      <c r="E10" s="11">
        <f t="shared" si="2"/>
        <v>66419.795999999988</v>
      </c>
      <c r="F10" s="11">
        <f t="shared" si="0"/>
        <v>48961</v>
      </c>
      <c r="G10" s="86">
        <f t="shared" si="4"/>
        <v>26.285530898047298</v>
      </c>
      <c r="H10" s="33">
        <f t="shared" si="3"/>
        <v>44770.482809070963</v>
      </c>
      <c r="I10" s="33">
        <f t="shared" si="5"/>
        <v>68.687012685417159</v>
      </c>
      <c r="J10" s="33"/>
      <c r="K10" s="33"/>
      <c r="L10" s="33"/>
    </row>
    <row r="11" spans="1:12" x14ac:dyDescent="0.3">
      <c r="A11" s="16">
        <v>1647</v>
      </c>
      <c r="B11" s="14">
        <v>20004</v>
      </c>
      <c r="C11" s="14">
        <v>21621</v>
      </c>
      <c r="D11" s="33"/>
      <c r="E11" s="11">
        <f t="shared" si="2"/>
        <v>21876.374399999997</v>
      </c>
      <c r="F11" s="11">
        <f t="shared" si="0"/>
        <v>21621</v>
      </c>
      <c r="G11" s="86">
        <f t="shared" si="4"/>
        <v>1.1673524841483669</v>
      </c>
      <c r="H11" s="33">
        <f t="shared" si="3"/>
        <v>19770.48280907096</v>
      </c>
      <c r="I11" s="33">
        <f t="shared" si="5"/>
        <v>53.554267984399871</v>
      </c>
      <c r="J11" s="33"/>
      <c r="K11" s="33"/>
      <c r="L11" s="33"/>
    </row>
    <row r="12" spans="1:12" x14ac:dyDescent="0.3">
      <c r="A12" s="16">
        <v>1643</v>
      </c>
      <c r="B12" s="14">
        <v>26739</v>
      </c>
      <c r="C12" s="14">
        <v>28619</v>
      </c>
      <c r="D12" s="33">
        <f t="shared" si="1"/>
        <v>53.99096118715083</v>
      </c>
      <c r="E12" s="11">
        <f t="shared" si="2"/>
        <v>29241.770399999998</v>
      </c>
      <c r="F12" s="11">
        <f t="shared" si="0"/>
        <v>28619</v>
      </c>
      <c r="G12" s="86">
        <f t="shared" si="4"/>
        <v>2.1297287800330906</v>
      </c>
      <c r="H12" s="33">
        <f t="shared" si="3"/>
        <v>26169.531821506953</v>
      </c>
      <c r="I12" s="33">
        <f t="shared" si="5"/>
        <v>53.99096118715083</v>
      </c>
    </row>
    <row r="13" spans="1:12" x14ac:dyDescent="0.3">
      <c r="A13" s="16" t="s">
        <v>94</v>
      </c>
      <c r="B13" s="14"/>
      <c r="C13" s="14">
        <v>4254</v>
      </c>
      <c r="D13" s="33">
        <f t="shared" si="1"/>
        <v>9.1441111923920992</v>
      </c>
      <c r="E13" s="11">
        <f t="shared" si="2"/>
        <v>0</v>
      </c>
      <c r="F13" s="11">
        <f t="shared" si="0"/>
        <v>4254</v>
      </c>
      <c r="G13" s="86" t="e">
        <f t="shared" si="4"/>
        <v>#DIV/0!</v>
      </c>
      <c r="H13" s="33">
        <f t="shared" si="3"/>
        <v>3889.9049012435994</v>
      </c>
      <c r="I13" s="33">
        <f t="shared" si="5"/>
        <v>9.1441111923920992</v>
      </c>
    </row>
    <row r="14" spans="1:12" x14ac:dyDescent="0.3">
      <c r="A14" s="16">
        <v>1644</v>
      </c>
      <c r="B14" s="14">
        <v>32450</v>
      </c>
      <c r="C14" s="14">
        <v>35074</v>
      </c>
      <c r="D14" s="33">
        <f t="shared" si="1"/>
        <v>53.553075097278906</v>
      </c>
      <c r="E14" s="11">
        <f t="shared" si="2"/>
        <v>35487.32</v>
      </c>
      <c r="F14" s="11">
        <f t="shared" si="0"/>
        <v>35074</v>
      </c>
      <c r="G14" s="86">
        <f t="shared" si="4"/>
        <v>1.1646977004744201</v>
      </c>
      <c r="H14" s="33">
        <f t="shared" si="3"/>
        <v>32072.055596196053</v>
      </c>
      <c r="I14" s="33">
        <f t="shared" si="5"/>
        <v>53.553075097278906</v>
      </c>
    </row>
    <row r="15" spans="1:12" x14ac:dyDescent="0.3">
      <c r="A15" s="16">
        <v>1651</v>
      </c>
      <c r="B15" s="14">
        <v>20493</v>
      </c>
      <c r="C15" s="14">
        <v>22478</v>
      </c>
      <c r="D15" s="33">
        <f t="shared" si="1"/>
        <v>52.90529991024956</v>
      </c>
      <c r="E15" s="11">
        <f>B15 * 1.0936</f>
        <v>22411.144799999998</v>
      </c>
      <c r="F15" s="11">
        <f t="shared" si="0"/>
        <v>22478</v>
      </c>
      <c r="G15" s="86">
        <f t="shared" si="4"/>
        <v>-0.29831229326579489</v>
      </c>
      <c r="H15" s="33">
        <f t="shared" si="3"/>
        <v>20554.133138258963</v>
      </c>
      <c r="I15" s="33">
        <f>((B15*48)+(H15*10))/C15</f>
        <v>52.90529991024956</v>
      </c>
    </row>
    <row r="16" spans="1:12" x14ac:dyDescent="0.3">
      <c r="A16" s="16">
        <v>1641</v>
      </c>
      <c r="B16" s="14">
        <v>6605</v>
      </c>
      <c r="C16" s="14">
        <v>7214</v>
      </c>
      <c r="D16" s="33">
        <f t="shared" si="1"/>
        <v>53.091990316317798</v>
      </c>
      <c r="E16" s="11">
        <f t="shared" si="2"/>
        <v>7223.2279999999992</v>
      </c>
      <c r="F16" s="11">
        <f t="shared" si="0"/>
        <v>7214</v>
      </c>
      <c r="G16" s="86">
        <f t="shared" si="4"/>
        <v>0.1277545164018079</v>
      </c>
      <c r="H16" s="33">
        <f t="shared" si="3"/>
        <v>6596.5618141916611</v>
      </c>
      <c r="I16" s="33">
        <f>((B16*48)+(H16*10))/C16</f>
        <v>53.091990316317798</v>
      </c>
    </row>
    <row r="17" spans="1:9" x14ac:dyDescent="0.3">
      <c r="A17" s="16">
        <v>1652</v>
      </c>
      <c r="B17" s="14">
        <v>10175</v>
      </c>
      <c r="C17" s="14">
        <v>11128</v>
      </c>
      <c r="D17" s="33">
        <f t="shared" si="1"/>
        <v>53.033399474203748</v>
      </c>
      <c r="E17" s="11">
        <f t="shared" si="2"/>
        <v>11127.38</v>
      </c>
      <c r="F17" s="11">
        <f t="shared" si="0"/>
        <v>11128</v>
      </c>
      <c r="G17" s="86">
        <f t="shared" si="4"/>
        <v>-5.5718417093686412E-3</v>
      </c>
      <c r="H17" s="33">
        <f t="shared" si="3"/>
        <v>10175.56693489393</v>
      </c>
      <c r="I17" s="33">
        <f>((B17*48)+(H17*10))/C17</f>
        <v>53.033399474203748</v>
      </c>
    </row>
    <row r="18" spans="1:9" x14ac:dyDescent="0.3">
      <c r="A18" s="16">
        <v>1655</v>
      </c>
      <c r="B18" s="14">
        <v>167135</v>
      </c>
      <c r="C18" s="14">
        <v>109964</v>
      </c>
      <c r="D18" s="33">
        <f t="shared" si="1"/>
        <v>82.09962390564371</v>
      </c>
      <c r="E18" s="11">
        <f t="shared" si="2"/>
        <v>182778.83599999998</v>
      </c>
      <c r="F18" s="11">
        <f t="shared" si="0"/>
        <v>109964</v>
      </c>
      <c r="G18" s="86">
        <f t="shared" si="4"/>
        <v>39.837673547718609</v>
      </c>
      <c r="H18" s="33">
        <f t="shared" si="3"/>
        <v>100552.3043160205</v>
      </c>
      <c r="I18" s="33">
        <f>((B18*48)+(H18*10))/C18</f>
        <v>82.09962390564371</v>
      </c>
    </row>
    <row r="19" spans="1:9" x14ac:dyDescent="0.3">
      <c r="A19" s="16">
        <v>1650</v>
      </c>
      <c r="B19" s="14">
        <v>30156</v>
      </c>
      <c r="C19" s="14">
        <v>32440</v>
      </c>
      <c r="D19" s="33">
        <f t="shared" si="1"/>
        <v>53.764579749728725</v>
      </c>
      <c r="E19" s="11">
        <f t="shared" si="2"/>
        <v>32978.601599999995</v>
      </c>
      <c r="F19" s="11">
        <f t="shared" si="0"/>
        <v>32440</v>
      </c>
      <c r="G19" s="86">
        <f t="shared" ref="G19:G38" si="6">100- (F19/E19 *100)</f>
        <v>1.6331850771986467</v>
      </c>
      <c r="H19" s="33">
        <f t="shared" si="3"/>
        <v>29663.496708119972</v>
      </c>
      <c r="I19" s="33">
        <f t="shared" si="5"/>
        <v>53.764579749728725</v>
      </c>
    </row>
    <row r="20" spans="1:9" x14ac:dyDescent="0.3">
      <c r="A20" s="16">
        <v>1653</v>
      </c>
      <c r="B20" s="14">
        <v>21812</v>
      </c>
      <c r="C20" s="14">
        <v>23471</v>
      </c>
      <c r="D20" s="33">
        <f t="shared" si="1"/>
        <v>53.751328609630391</v>
      </c>
      <c r="E20" s="11">
        <f>B20 * 1.0936</f>
        <v>23853.603199999998</v>
      </c>
      <c r="F20" s="11">
        <f t="shared" si="0"/>
        <v>23471</v>
      </c>
      <c r="G20" s="86">
        <f t="shared" si="6"/>
        <v>1.6039639663327563</v>
      </c>
      <c r="H20" s="33">
        <f t="shared" si="3"/>
        <v>21462.143379663499</v>
      </c>
      <c r="I20" s="33">
        <f t="shared" si="5"/>
        <v>53.751328609630391</v>
      </c>
    </row>
    <row r="21" spans="1:9" x14ac:dyDescent="0.3">
      <c r="A21" s="16">
        <v>1628</v>
      </c>
      <c r="B21" s="14">
        <v>48198</v>
      </c>
      <c r="C21" s="14">
        <v>7587</v>
      </c>
      <c r="D21" s="33">
        <f t="shared" si="1"/>
        <v>314.07412305478829</v>
      </c>
      <c r="E21" s="11">
        <f t="shared" si="2"/>
        <v>52709.332799999996</v>
      </c>
      <c r="F21" s="11">
        <f t="shared" si="0"/>
        <v>7587</v>
      </c>
      <c r="G21" s="86">
        <f t="shared" si="6"/>
        <v>85.60596464237544</v>
      </c>
      <c r="H21" s="33">
        <f t="shared" si="3"/>
        <v>6937.6371616678862</v>
      </c>
      <c r="I21" s="33">
        <f t="shared" si="5"/>
        <v>314.07412305478829</v>
      </c>
    </row>
    <row r="22" spans="1:9" x14ac:dyDescent="0.3">
      <c r="A22" s="16" t="s">
        <v>245</v>
      </c>
      <c r="B22" s="14">
        <v>40502</v>
      </c>
      <c r="C22" s="14">
        <v>42810</v>
      </c>
      <c r="D22" s="33">
        <f t="shared" si="1"/>
        <v>54.556304605146124</v>
      </c>
      <c r="E22" s="11">
        <f t="shared" si="2"/>
        <v>44292.987199999996</v>
      </c>
      <c r="F22" s="11">
        <f t="shared" si="0"/>
        <v>42810</v>
      </c>
      <c r="G22" s="86">
        <f t="shared" si="6"/>
        <v>3.3481309203728671</v>
      </c>
      <c r="H22" s="33">
        <f t="shared" si="3"/>
        <v>39145.940014630578</v>
      </c>
      <c r="I22" s="33">
        <f t="shared" si="5"/>
        <v>54.556304605146124</v>
      </c>
    </row>
    <row r="23" spans="1:9" x14ac:dyDescent="0.3">
      <c r="A23" s="16">
        <v>1662</v>
      </c>
      <c r="B23" s="14">
        <v>13594</v>
      </c>
      <c r="C23" s="14">
        <v>14872</v>
      </c>
      <c r="D23" s="33">
        <f t="shared" si="1"/>
        <v>53.019312913747669</v>
      </c>
      <c r="E23" s="11">
        <f t="shared" si="2"/>
        <v>14866.398399999998</v>
      </c>
      <c r="F23" s="11">
        <f t="shared" si="0"/>
        <v>14872</v>
      </c>
      <c r="G23" s="86">
        <f t="shared" si="6"/>
        <v>-3.7679603689369401E-2</v>
      </c>
      <c r="H23" s="33">
        <f t="shared" si="3"/>
        <v>13599.122165325531</v>
      </c>
      <c r="I23" s="33">
        <f t="shared" si="5"/>
        <v>53.019312913747669</v>
      </c>
    </row>
    <row r="24" spans="1:9" x14ac:dyDescent="0.3">
      <c r="A24" s="16">
        <v>1663</v>
      </c>
      <c r="B24" s="14">
        <v>10374</v>
      </c>
      <c r="C24" s="14">
        <v>11018</v>
      </c>
      <c r="D24" s="33">
        <f t="shared" si="1"/>
        <v>54.338520341057915</v>
      </c>
      <c r="E24" s="11">
        <f t="shared" si="2"/>
        <v>11345.006399999998</v>
      </c>
      <c r="F24" s="11">
        <f t="shared" si="0"/>
        <v>11018</v>
      </c>
      <c r="G24" s="86">
        <f t="shared" si="6"/>
        <v>2.882381802799145</v>
      </c>
      <c r="H24" s="33">
        <f t="shared" si="3"/>
        <v>10074.981711777617</v>
      </c>
      <c r="I24" s="33">
        <f t="shared" si="5"/>
        <v>54.338520341057915</v>
      </c>
    </row>
    <row r="25" spans="1:9" x14ac:dyDescent="0.3">
      <c r="A25" s="16">
        <v>1598</v>
      </c>
      <c r="B25" s="14">
        <v>22631</v>
      </c>
      <c r="C25" s="14">
        <v>23305</v>
      </c>
      <c r="D25" s="33">
        <f t="shared" si="1"/>
        <v>55.755911235301348</v>
      </c>
      <c r="E25" s="11">
        <f t="shared" si="2"/>
        <v>24749.261599999998</v>
      </c>
      <c r="F25" s="11">
        <f t="shared" si="0"/>
        <v>23305</v>
      </c>
      <c r="G25" s="86">
        <f t="shared" si="6"/>
        <v>5.8355745045743106</v>
      </c>
      <c r="H25" s="33">
        <f t="shared" si="3"/>
        <v>21310.35113386979</v>
      </c>
      <c r="I25" s="33">
        <f t="shared" si="5"/>
        <v>55.755911235301348</v>
      </c>
    </row>
    <row r="26" spans="1:9" x14ac:dyDescent="0.3">
      <c r="A26" s="16">
        <v>1661</v>
      </c>
      <c r="B26" s="14">
        <v>6217</v>
      </c>
      <c r="C26" s="14">
        <v>7020</v>
      </c>
      <c r="D26" s="33">
        <f t="shared" si="1"/>
        <v>51.65351290179381</v>
      </c>
      <c r="E26" s="11">
        <f t="shared" si="2"/>
        <v>6798.9111999999996</v>
      </c>
      <c r="F26" s="11">
        <f t="shared" si="0"/>
        <v>7020</v>
      </c>
      <c r="G26" s="86">
        <f t="shared" si="6"/>
        <v>-3.2518265571699345</v>
      </c>
      <c r="H26" s="33">
        <f t="shared" si="3"/>
        <v>6419.1660570592539</v>
      </c>
      <c r="I26" s="33">
        <f t="shared" si="5"/>
        <v>51.65351290179381</v>
      </c>
    </row>
    <row r="27" spans="1:9" x14ac:dyDescent="0.3">
      <c r="A27" s="16">
        <v>1658</v>
      </c>
      <c r="B27" s="14">
        <v>26004</v>
      </c>
      <c r="C27" s="14">
        <v>28170</v>
      </c>
      <c r="D27" s="33">
        <f t="shared" si="1"/>
        <v>53.453376368110952</v>
      </c>
      <c r="E27" s="11">
        <f t="shared" si="2"/>
        <v>28437.974399999999</v>
      </c>
      <c r="F27" s="11">
        <f t="shared" si="0"/>
        <v>28170</v>
      </c>
      <c r="G27" s="86">
        <f t="shared" si="6"/>
        <v>0.9423118406070472</v>
      </c>
      <c r="H27" s="33">
        <f t="shared" si="3"/>
        <v>25758.961228968546</v>
      </c>
      <c r="I27" s="33">
        <f t="shared" si="5"/>
        <v>53.453376368110952</v>
      </c>
    </row>
    <row r="28" spans="1:9" x14ac:dyDescent="0.3">
      <c r="A28" s="16">
        <v>1656</v>
      </c>
      <c r="B28" s="14">
        <v>9784</v>
      </c>
      <c r="C28" s="14">
        <v>10672</v>
      </c>
      <c r="D28" s="33">
        <f t="shared" si="1"/>
        <v>53.150108193891356</v>
      </c>
      <c r="E28" s="11">
        <f t="shared" si="2"/>
        <v>10699.782399999998</v>
      </c>
      <c r="F28" s="11">
        <f t="shared" si="0"/>
        <v>10672</v>
      </c>
      <c r="G28" s="86">
        <f t="shared" si="6"/>
        <v>0.25965387856857092</v>
      </c>
      <c r="H28" s="33">
        <f t="shared" si="3"/>
        <v>9758.5954645208494</v>
      </c>
      <c r="I28" s="33">
        <f t="shared" si="5"/>
        <v>53.150108193891356</v>
      </c>
    </row>
    <row r="29" spans="1:9" x14ac:dyDescent="0.3">
      <c r="A29" s="16">
        <v>1654</v>
      </c>
      <c r="B29" s="14">
        <v>14999</v>
      </c>
      <c r="C29" s="14">
        <v>15800</v>
      </c>
      <c r="D29" s="33">
        <f t="shared" si="1"/>
        <v>54.710693470873117</v>
      </c>
      <c r="E29" s="11">
        <f t="shared" si="2"/>
        <v>16402.9064</v>
      </c>
      <c r="F29" s="11">
        <f t="shared" si="0"/>
        <v>15800</v>
      </c>
      <c r="G29" s="86">
        <f t="shared" si="6"/>
        <v>3.6756071472797061</v>
      </c>
      <c r="H29" s="33">
        <f t="shared" si="3"/>
        <v>14447.695683979518</v>
      </c>
      <c r="I29" s="33">
        <f t="shared" si="5"/>
        <v>54.710693470873117</v>
      </c>
    </row>
    <row r="30" spans="1:9" x14ac:dyDescent="0.3">
      <c r="A30" s="16">
        <v>1659</v>
      </c>
      <c r="B30" s="14">
        <v>21934</v>
      </c>
      <c r="C30" s="14">
        <v>6612</v>
      </c>
      <c r="D30" s="33">
        <f t="shared" si="1"/>
        <v>168.37460121054093</v>
      </c>
      <c r="E30" s="11">
        <f t="shared" si="2"/>
        <v>23987.022399999998</v>
      </c>
      <c r="F30" s="11">
        <f t="shared" si="0"/>
        <v>6612</v>
      </c>
      <c r="G30" s="86">
        <f t="shared" si="6"/>
        <v>72.435094736894058</v>
      </c>
      <c r="H30" s="33">
        <f t="shared" si="3"/>
        <v>6046.0863204096568</v>
      </c>
      <c r="I30" s="33">
        <f t="shared" si="5"/>
        <v>168.37460121054093</v>
      </c>
    </row>
    <row r="31" spans="1:9" x14ac:dyDescent="0.3">
      <c r="A31" s="16" t="s">
        <v>28</v>
      </c>
      <c r="B31" s="35">
        <v>167135</v>
      </c>
      <c r="C31" s="35">
        <v>708886</v>
      </c>
      <c r="D31" s="33">
        <f t="shared" si="1"/>
        <v>20.461135368352693</v>
      </c>
      <c r="E31" s="11">
        <f t="shared" si="2"/>
        <v>182778.83599999998</v>
      </c>
      <c r="F31" s="11">
        <f t="shared" si="0"/>
        <v>708886</v>
      </c>
      <c r="G31" s="86">
        <f t="shared" si="6"/>
        <v>-287.83811928860302</v>
      </c>
      <c r="H31" s="33">
        <f t="shared" si="3"/>
        <v>648213.24067300663</v>
      </c>
      <c r="I31" s="33">
        <f t="shared" si="5"/>
        <v>20.461135368352693</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si="13"/>
        <v>#DIV/0!</v>
      </c>
      <c r="E45" s="11">
        <f t="shared" si="14"/>
        <v>0</v>
      </c>
      <c r="F45" s="11">
        <f t="shared" si="15"/>
        <v>0</v>
      </c>
      <c r="G45" s="86" t="e">
        <f t="shared" si="16"/>
        <v>#DIV/0!</v>
      </c>
      <c r="H45" s="33">
        <f t="shared" si="17"/>
        <v>0</v>
      </c>
      <c r="I45" s="33" t="e">
        <f t="shared" si="18"/>
        <v>#DIV/0!</v>
      </c>
    </row>
    <row r="46" spans="4: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80</v>
      </c>
      <c r="C2" t="s">
        <v>48</v>
      </c>
      <c r="D2" t="s">
        <v>49</v>
      </c>
      <c r="E2" t="s">
        <v>69</v>
      </c>
      <c r="H2" t="s">
        <v>80</v>
      </c>
      <c r="I2" t="s">
        <v>48</v>
      </c>
      <c r="J2" t="s">
        <v>49</v>
      </c>
    </row>
    <row r="3" spans="2:10" x14ac:dyDescent="0.3">
      <c r="B3" s="1">
        <v>45886</v>
      </c>
      <c r="C3" t="s">
        <v>139</v>
      </c>
      <c r="D3">
        <f>SUMIFS(Table14[Debit], Table14[Date], Table5[[#This Row],[Date]], Table14[Party], "Rashan")</f>
        <v>0</v>
      </c>
      <c r="H3" s="1">
        <v>45886</v>
      </c>
      <c r="I3" t="s">
        <v>230</v>
      </c>
      <c r="J3">
        <v>80000</v>
      </c>
    </row>
    <row r="4" spans="2:10" x14ac:dyDescent="0.3">
      <c r="B4" s="1">
        <v>45887</v>
      </c>
      <c r="C4" t="s">
        <v>139</v>
      </c>
      <c r="D4">
        <f>SUMIFS(Table14[Debit], Table14[Date], Table5[[#This Row],[Date]], Table14[Party], "Rashan")</f>
        <v>0</v>
      </c>
      <c r="H4" s="1">
        <v>45887</v>
      </c>
      <c r="I4" t="s">
        <v>58</v>
      </c>
      <c r="J4">
        <f>SUMIFS(Table14[Debit], Table14[Date], Table15[[#This Row],[Date]], Table14[Party], "Parts")</f>
        <v>5600</v>
      </c>
    </row>
    <row r="5" spans="2:10" x14ac:dyDescent="0.3">
      <c r="B5" s="1">
        <v>45888</v>
      </c>
      <c r="C5" t="s">
        <v>139</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139</v>
      </c>
      <c r="D6">
        <f>SUMIFS(Table14[Debit], Table14[Date], Table5[[#This Row],[Date]], Table14[Party], "Rashan")</f>
        <v>0</v>
      </c>
      <c r="H6" s="1">
        <v>45889</v>
      </c>
      <c r="I6" t="s">
        <v>58</v>
      </c>
      <c r="J6">
        <f>SUMIFS(Table14[Debit], Table14[Date], Table15[[#This Row],[Date]], Table14[Party], "Parts")</f>
        <v>1590</v>
      </c>
    </row>
    <row r="7" spans="2:10" x14ac:dyDescent="0.3">
      <c r="B7" s="1">
        <v>45890</v>
      </c>
      <c r="C7" t="s">
        <v>139</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139</v>
      </c>
      <c r="D8">
        <f>SUMIFS(Table14[Debit], Table14[Date], Table5[[#This Row],[Date]], Table14[Party], "Rashan")</f>
        <v>0</v>
      </c>
      <c r="H8" s="1">
        <v>45891</v>
      </c>
      <c r="J8">
        <f>SUMIFS(Table14[Debit], Table14[Date], Table15[[#This Row],[Date]], Table14[Party], "Parts")</f>
        <v>450</v>
      </c>
    </row>
    <row r="9" spans="2:10" x14ac:dyDescent="0.3">
      <c r="B9" s="1">
        <v>45892</v>
      </c>
      <c r="C9" t="s">
        <v>139</v>
      </c>
      <c r="D9">
        <f>SUMIFS(Table14[Debit], Table14[Date], Table5[[#This Row],[Date]], Table14[Party], "Rashan")</f>
        <v>3702</v>
      </c>
      <c r="H9" s="1">
        <v>45892</v>
      </c>
      <c r="J9">
        <f>SUMIFS(Table14[Debit], Table14[Date], Table15[[#This Row],[Date]], Table14[Party], "Parts")</f>
        <v>6816</v>
      </c>
    </row>
    <row r="10" spans="2:10" x14ac:dyDescent="0.3">
      <c r="B10" s="1">
        <v>45893</v>
      </c>
      <c r="C10" t="s">
        <v>139</v>
      </c>
      <c r="D10">
        <f>SUMIFS(Table14[Debit], Table14[Date], Table5[[#This Row],[Date]], Table14[Party], "Rashan")</f>
        <v>1860</v>
      </c>
      <c r="H10" s="1">
        <v>45893</v>
      </c>
      <c r="J10">
        <f>SUMIFS(Table14[Debit], Table14[Date], Table15[[#This Row],[Date]], Table14[Party], "Parts")</f>
        <v>41471</v>
      </c>
    </row>
    <row r="11" spans="2:10" x14ac:dyDescent="0.3">
      <c r="B11" s="1">
        <v>45894</v>
      </c>
      <c r="C11" t="s">
        <v>139</v>
      </c>
      <c r="D11">
        <f>SUMIFS(Table14[Debit], Table14[Date], Table5[[#This Row],[Date]], Table14[Party], "Rashan")</f>
        <v>2780</v>
      </c>
      <c r="H11" s="1">
        <v>45894</v>
      </c>
      <c r="J11">
        <f>SUMIFS(Table14[Debit], Table14[Date], Table15[[#This Row],[Date]], Table14[Party], "Parts")</f>
        <v>0</v>
      </c>
    </row>
    <row r="12" spans="2:10" x14ac:dyDescent="0.3">
      <c r="B12" s="1">
        <v>45895</v>
      </c>
      <c r="C12" t="s">
        <v>139</v>
      </c>
      <c r="D12">
        <f>SUMIFS(Table14[Debit], Table14[Date], Table5[[#This Row],[Date]], Table14[Party], "Rashan")</f>
        <v>19000</v>
      </c>
      <c r="H12" s="1">
        <v>45895</v>
      </c>
      <c r="J12">
        <f>SUMIFS(Table14[Debit], Table14[Date], Table15[[#This Row],[Date]], Table14[Party], "Parts")</f>
        <v>41091</v>
      </c>
    </row>
    <row r="13" spans="2:10" x14ac:dyDescent="0.3">
      <c r="B13" s="1">
        <v>45896</v>
      </c>
      <c r="C13" t="s">
        <v>139</v>
      </c>
      <c r="D13">
        <f>SUMIFS(Table14[Debit], Table14[Date], Table5[[#This Row],[Date]], Table14[Party], "Rashan")</f>
        <v>3690</v>
      </c>
      <c r="H13" s="1">
        <v>45896</v>
      </c>
      <c r="J13">
        <f>SUMIFS(Table14[Debit], Table14[Date], Table15[[#This Row],[Date]], Table14[Party], "Parts")</f>
        <v>0</v>
      </c>
    </row>
    <row r="14" spans="2:10" x14ac:dyDescent="0.3">
      <c r="B14" s="1">
        <v>45897</v>
      </c>
      <c r="C14" t="s">
        <v>139</v>
      </c>
      <c r="D14">
        <f>SUMIFS(Table14[Debit], Table14[Date], Table5[[#This Row],[Date]], Table14[Party], "Rashan")</f>
        <v>0</v>
      </c>
      <c r="H14" s="1">
        <v>45897</v>
      </c>
      <c r="J14">
        <f>SUMIFS(Table14[Debit], Table14[Date], Table15[[#This Row],[Date]], Table14[Party], "Parts")</f>
        <v>0</v>
      </c>
    </row>
    <row r="15" spans="2:10" x14ac:dyDescent="0.3">
      <c r="B15" s="1">
        <v>45898</v>
      </c>
      <c r="C15" t="s">
        <v>139</v>
      </c>
      <c r="D15">
        <f>SUMIFS(Table14[Debit], Table14[Date], Table5[[#This Row],[Date]], Table14[Party], "Rashan")</f>
        <v>4380</v>
      </c>
      <c r="H15" s="1">
        <v>45898</v>
      </c>
      <c r="J15">
        <f>SUMIFS(Table14[Debit], Table14[Date], Table15[[#This Row],[Date]], Table14[Party], "Parts")</f>
        <v>49910</v>
      </c>
    </row>
    <row r="16" spans="2:10" x14ac:dyDescent="0.3">
      <c r="B16" s="1">
        <v>45899</v>
      </c>
      <c r="C16" t="s">
        <v>139</v>
      </c>
      <c r="D16">
        <f>SUMIFS(Table14[Debit], Table14[Date], Table5[[#This Row],[Date]], Table14[Party], "Rashan")</f>
        <v>0</v>
      </c>
      <c r="H16" s="1">
        <v>45899</v>
      </c>
      <c r="J16">
        <f>SUMIFS(Table14[Debit], Table14[Date], Table15[[#This Row],[Date]], Table14[Party], "Parts")</f>
        <v>8218</v>
      </c>
    </row>
    <row r="17" spans="2:10" x14ac:dyDescent="0.3">
      <c r="B17" s="1">
        <v>45900</v>
      </c>
      <c r="C17" t="s">
        <v>139</v>
      </c>
      <c r="D17">
        <f>SUMIFS(Table14[Debit], Table14[Date], Table5[[#This Row],[Date]], Table14[Party], "Rashan")</f>
        <v>0</v>
      </c>
      <c r="H17" s="1">
        <v>45900</v>
      </c>
      <c r="J17">
        <f>SUMIFS(Table14[Debit], Table14[Date], Table15[[#This Row],[Date]], Table14[Party], "Parts")</f>
        <v>0</v>
      </c>
    </row>
    <row r="18" spans="2:10" x14ac:dyDescent="0.3">
      <c r="B18" s="1">
        <v>45901</v>
      </c>
      <c r="C18" t="s">
        <v>139</v>
      </c>
      <c r="D18">
        <f>SUMIFS(Table14[Debit], Table14[Date], Table5[[#This Row],[Date]], Table14[Party], "Rashan")</f>
        <v>6115</v>
      </c>
      <c r="H18" s="1">
        <v>45901</v>
      </c>
      <c r="J18">
        <f>SUMIFS(Table14[Debit], Table14[Date], Table15[[#This Row],[Date]], Table14[Party], "Parts")</f>
        <v>0</v>
      </c>
    </row>
    <row r="19" spans="2:10" x14ac:dyDescent="0.3">
      <c r="B19" s="1">
        <v>45902</v>
      </c>
      <c r="C19" t="s">
        <v>139</v>
      </c>
      <c r="D19">
        <f>SUMIFS(Table14[Debit], Table14[Date], Table5[[#This Row],[Date]], Table14[Party], "Rashan")</f>
        <v>0</v>
      </c>
      <c r="H19" s="1">
        <v>45902</v>
      </c>
      <c r="J19">
        <f>SUMIFS(Table14[Debit], Table14[Date], Table15[[#This Row],[Date]], Table14[Party], "Parts")</f>
        <v>0</v>
      </c>
    </row>
    <row r="20" spans="2:10" x14ac:dyDescent="0.3">
      <c r="B20" s="1">
        <v>45903</v>
      </c>
      <c r="C20" t="s">
        <v>139</v>
      </c>
      <c r="D20">
        <f>SUMIFS(Table14[Debit], Table14[Date], Table5[[#This Row],[Date]], Table14[Party], "Rashan")</f>
        <v>0</v>
      </c>
      <c r="H20" s="1">
        <v>45903</v>
      </c>
      <c r="J20">
        <f>SUMIFS(Table14[Debit], Table14[Date], Table15[[#This Row],[Date]], Table14[Party], "Parts")</f>
        <v>0</v>
      </c>
    </row>
    <row r="21" spans="2:10" x14ac:dyDescent="0.3">
      <c r="B21" s="1">
        <v>45904</v>
      </c>
      <c r="C21" t="s">
        <v>139</v>
      </c>
      <c r="D21">
        <f>SUMIFS(Table14[Debit], Table14[Date], Table5[[#This Row],[Date]], Table14[Party], "Rashan")</f>
        <v>0</v>
      </c>
      <c r="H21" s="1">
        <v>45904</v>
      </c>
      <c r="J21">
        <f>SUMIFS(Table14[Debit], Table14[Date], Table15[[#This Row],[Date]], Table14[Party], "Parts")</f>
        <v>0</v>
      </c>
    </row>
    <row r="22" spans="2:10" x14ac:dyDescent="0.3">
      <c r="B22" s="1">
        <v>45905</v>
      </c>
      <c r="C22" t="s">
        <v>139</v>
      </c>
      <c r="D22">
        <f>SUMIFS(Table14[Debit], Table14[Date], Table5[[#This Row],[Date]], Table14[Party], "Rashan")</f>
        <v>0</v>
      </c>
      <c r="H22" s="1">
        <v>45905</v>
      </c>
      <c r="J22">
        <f>SUMIFS(Table14[Debit], Table14[Date], Table15[[#This Row],[Date]], Table14[Party], "Parts")</f>
        <v>0</v>
      </c>
    </row>
    <row r="23" spans="2:10" x14ac:dyDescent="0.3">
      <c r="B23" s="1">
        <v>45906</v>
      </c>
      <c r="C23" t="s">
        <v>139</v>
      </c>
      <c r="D23">
        <f>SUMIFS(Table14[Debit], Table14[Date], Table5[[#This Row],[Date]], Table14[Party], "Rashan")</f>
        <v>0</v>
      </c>
      <c r="H23" s="1">
        <v>45906</v>
      </c>
      <c r="J23">
        <f>SUMIFS(Table14[Debit], Table14[Date], Table15[[#This Row],[Date]], Table14[Party], "Parts")</f>
        <v>0</v>
      </c>
    </row>
    <row r="24" spans="2:10" x14ac:dyDescent="0.3">
      <c r="B24" s="1">
        <v>45907</v>
      </c>
      <c r="C24" t="s">
        <v>139</v>
      </c>
      <c r="D24">
        <f>SUMIFS(Table14[Debit], Table14[Date], Table5[[#This Row],[Date]], Table14[Party], "Rashan")</f>
        <v>0</v>
      </c>
      <c r="H24" s="1">
        <v>45907</v>
      </c>
      <c r="J24">
        <f>SUMIFS(Table14[Debit], Table14[Date], Table15[[#This Row],[Date]], Table14[Party], "Parts")</f>
        <v>0</v>
      </c>
    </row>
    <row r="25" spans="2:10" x14ac:dyDescent="0.3">
      <c r="B25" s="1">
        <v>45908</v>
      </c>
      <c r="C25" t="s">
        <v>139</v>
      </c>
      <c r="D25">
        <f>SUMIFS(Table14[Debit], Table14[Date], Table5[[#This Row],[Date]], Table14[Party], "Rashan")</f>
        <v>0</v>
      </c>
      <c r="H25" s="1">
        <v>45908</v>
      </c>
      <c r="J25">
        <f>SUMIFS(Table14[Debit], Table14[Date], Table15[[#This Row],[Date]], Table14[Party], "Parts")</f>
        <v>0</v>
      </c>
    </row>
    <row r="26" spans="2:10" x14ac:dyDescent="0.3">
      <c r="B26" s="1">
        <v>45909</v>
      </c>
      <c r="C26" t="s">
        <v>139</v>
      </c>
      <c r="D26">
        <f>SUMIFS(Table14[Debit], Table14[Date], Table5[[#This Row],[Date]], Table14[Party], "Rashan")</f>
        <v>0</v>
      </c>
      <c r="H26" s="1">
        <v>45909</v>
      </c>
      <c r="J26">
        <f>SUMIFS(Table14[Debit], Table14[Date], Table15[[#This Row],[Date]], Table14[Party], "Parts")</f>
        <v>0</v>
      </c>
    </row>
    <row r="27" spans="2:10" x14ac:dyDescent="0.3">
      <c r="B27" s="1">
        <v>45910</v>
      </c>
      <c r="C27" t="s">
        <v>139</v>
      </c>
      <c r="D27">
        <f>SUMIFS(Table14[Debit], Table14[Date], Table5[[#This Row],[Date]], Table14[Party], "Rashan")</f>
        <v>0</v>
      </c>
      <c r="H27" s="1">
        <v>45910</v>
      </c>
      <c r="J27">
        <f>SUMIFS(Table14[Debit], Table14[Date], Table15[[#This Row],[Date]], Table14[Party], "Parts")</f>
        <v>0</v>
      </c>
    </row>
    <row r="28" spans="2:10" x14ac:dyDescent="0.3">
      <c r="B28" s="1">
        <v>45911</v>
      </c>
      <c r="C28" t="s">
        <v>139</v>
      </c>
      <c r="D28">
        <f>SUMIFS(Table14[Debit], Table14[Date], Table5[[#This Row],[Date]], Table14[Party], "Rashan")</f>
        <v>0</v>
      </c>
      <c r="H28" s="1">
        <v>45911</v>
      </c>
      <c r="J28">
        <f>SUMIFS(Table14[Debit], Table14[Date], Table15[[#This Row],[Date]], Table14[Party], "Parts")</f>
        <v>0</v>
      </c>
    </row>
    <row r="29" spans="2:10" x14ac:dyDescent="0.3">
      <c r="B29" s="1">
        <v>45912</v>
      </c>
      <c r="C29" t="s">
        <v>139</v>
      </c>
      <c r="D29">
        <f>SUMIFS(Table14[Debit], Table14[Date], Table5[[#This Row],[Date]], Table14[Party], "Rashan")</f>
        <v>0</v>
      </c>
      <c r="H29" s="1">
        <v>45912</v>
      </c>
      <c r="J29">
        <f>SUMIFS(Table14[Debit], Table14[Date], Table15[[#This Row],[Date]], Table14[Party], "Parts")</f>
        <v>0</v>
      </c>
    </row>
    <row r="30" spans="2:10" x14ac:dyDescent="0.3">
      <c r="B30" s="1">
        <v>45913</v>
      </c>
      <c r="C30" t="s">
        <v>139</v>
      </c>
      <c r="D30">
        <f>SUMIFS(Table14[Debit], Table14[Date], Table5[[#This Row],[Date]], Table14[Party], "Rashan")</f>
        <v>0</v>
      </c>
      <c r="H30" s="1">
        <v>45913</v>
      </c>
      <c r="J30">
        <f>SUMIFS(Table14[Debit], Table14[Date], Table15[[#This Row],[Date]], Table14[Party], "Parts")</f>
        <v>0</v>
      </c>
    </row>
    <row r="31" spans="2:10" x14ac:dyDescent="0.3">
      <c r="B31" s="1">
        <v>45914</v>
      </c>
      <c r="C31" t="s">
        <v>139</v>
      </c>
      <c r="D31">
        <f>SUMIFS(Table14[Debit], Table14[Date], Table5[[#This Row],[Date]], Table14[Party], "Rashan")</f>
        <v>0</v>
      </c>
      <c r="H31" s="1">
        <v>45914</v>
      </c>
      <c r="J31">
        <f>SUMIFS(Table14[Debit], Table14[Date], Table15[[#This Row],[Date]], Table14[Party], "Parts")</f>
        <v>0</v>
      </c>
    </row>
    <row r="32" spans="2:10" x14ac:dyDescent="0.3">
      <c r="B32" s="1">
        <v>45915</v>
      </c>
      <c r="C32" t="s">
        <v>139</v>
      </c>
      <c r="D32">
        <f>SUMIFS(Table14[Debit], Table14[Date], Table5[[#This Row],[Date]], Table14[Party], "Rashan")</f>
        <v>0</v>
      </c>
      <c r="H32" s="1">
        <v>45915</v>
      </c>
      <c r="J32">
        <f>SUMIFS(Table14[Debit], Table14[Date], Table15[[#This Row],[Date]], Table14[Party], "Parts")</f>
        <v>0</v>
      </c>
    </row>
    <row r="33" spans="2:10" x14ac:dyDescent="0.3">
      <c r="B33" s="1">
        <v>45916</v>
      </c>
      <c r="C33" t="s">
        <v>139</v>
      </c>
      <c r="D33">
        <f>SUMIFS(Table14[Debit], Table14[Date], Table5[[#This Row],[Date]], Table14[Party], "Rashan")</f>
        <v>0</v>
      </c>
      <c r="H33" s="1">
        <v>45916</v>
      </c>
      <c r="J33">
        <f>SUMIFS(Table14[Debit], Table14[Date], Table15[[#This Row],[Date]], Table14[Party], "Parts")</f>
        <v>0</v>
      </c>
    </row>
    <row r="34" spans="2:10" x14ac:dyDescent="0.3">
      <c r="B34" s="1">
        <v>45917</v>
      </c>
      <c r="C34" t="s">
        <v>139</v>
      </c>
      <c r="D34">
        <f>SUMIFS(Table14[Debit], Table14[Date], Table5[[#This Row],[Date]], Table14[Party], "Rashan")</f>
        <v>0</v>
      </c>
      <c r="H34" s="1">
        <v>45917</v>
      </c>
      <c r="J34">
        <f>SUMIFS(Table14[Debit], Table14[Date], Table15[[#This Row],[Date]], Table14[Party], "Parts")</f>
        <v>0</v>
      </c>
    </row>
    <row r="35" spans="2:10" x14ac:dyDescent="0.3">
      <c r="B35" s="1"/>
      <c r="D35">
        <f>SUM(Table5[Amount])</f>
        <v>46699</v>
      </c>
      <c r="H35" s="1"/>
      <c r="J35">
        <f>SUM(Table15[Amount])</f>
        <v>257261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6270100</v>
      </c>
    </row>
    <row r="3" spans="1:2" x14ac:dyDescent="0.3">
      <c r="A3" t="str">
        <f>Billing!O6</f>
        <v>Ejaz Sahab</v>
      </c>
      <c r="B3" s="14">
        <f>Billing!W6</f>
        <v>612354</v>
      </c>
    </row>
    <row r="4" spans="1:2" x14ac:dyDescent="0.3">
      <c r="A4" t="str">
        <f>Billing!O7</f>
        <v>Arshad</v>
      </c>
      <c r="B4" s="14">
        <f>Billing!W7</f>
        <v>554210</v>
      </c>
    </row>
    <row r="5" spans="1:2" x14ac:dyDescent="0.3">
      <c r="A5" t="str">
        <f>Billing!O8</f>
        <v>Shehzad Kamoki</v>
      </c>
      <c r="B5" s="14">
        <f>Billing!W8</f>
        <v>600000</v>
      </c>
    </row>
    <row r="6" spans="1:2" x14ac:dyDescent="0.3">
      <c r="A6" t="str">
        <f>Billing!O9</f>
        <v>Sufi Nawaz Sahab</v>
      </c>
      <c r="B6" s="14">
        <f>Billing!W9</f>
        <v>1979100</v>
      </c>
    </row>
    <row r="7" spans="1:2" x14ac:dyDescent="0.3">
      <c r="A7" t="str">
        <f>Billing!O10</f>
        <v>Sajad Khan</v>
      </c>
      <c r="B7" s="14">
        <f>Billing!W10</f>
        <v>1300000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f>Billing!O14</f>
        <v>0</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2025-08-26T17:15:21Z</cp:lastPrinted>
  <dcterms:created xsi:type="dcterms:W3CDTF">2025-06-24T04:42:48Z</dcterms:created>
  <dcterms:modified xsi:type="dcterms:W3CDTF">2025-09-01T20:04:00Z</dcterms:modified>
  <cp:category/>
  <cp:contentStatus/>
</cp:coreProperties>
</file>