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364" documentId="8_{04F26ED9-7C3F-46BE-B42F-003E2A3A444E}" xr6:coauthVersionLast="47" xr6:coauthVersionMax="47" xr10:uidLastSave="{A1910374-2DBA-4FCC-943A-A8198E3CAC4A}"/>
  <bookViews>
    <workbookView xWindow="-108" yWindow="-108" windowWidth="23256" windowHeight="12456" firstSheet="3"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 i="6" l="1"/>
  <c r="I59" i="6"/>
  <c r="G59" i="6"/>
  <c r="H58" i="6"/>
  <c r="I58" i="6"/>
  <c r="G58" i="6"/>
  <c r="H57" i="6"/>
  <c r="H56" i="6"/>
  <c r="I56" i="6"/>
  <c r="I97" i="1"/>
  <c r="J97" i="1" a="1"/>
  <c r="J97" i="1"/>
  <c r="I98" i="1"/>
  <c r="J98" i="1" a="1"/>
  <c r="J98" i="1" s="1"/>
  <c r="I99" i="1"/>
  <c r="J99" i="1" a="1"/>
  <c r="J99" i="1" s="1"/>
  <c r="I100" i="1"/>
  <c r="J100" i="1" a="1"/>
  <c r="J100" i="1"/>
  <c r="I101" i="1"/>
  <c r="J101" i="1" a="1"/>
  <c r="J101" i="1"/>
  <c r="I102" i="1"/>
  <c r="J102" i="1" a="1"/>
  <c r="J102" i="1" s="1"/>
  <c r="I103" i="1"/>
  <c r="J103" i="1" a="1"/>
  <c r="J103" i="1" s="1"/>
  <c r="H99" i="1"/>
  <c r="H54" i="6"/>
  <c r="I54" i="6"/>
  <c r="D3" i="17"/>
  <c r="D225" i="17"/>
  <c r="I89" i="1"/>
  <c r="J89" i="1" a="1"/>
  <c r="J89" i="1" s="1"/>
  <c r="H53" i="6"/>
  <c r="I53" i="6"/>
  <c r="H49" i="6"/>
  <c r="I49" i="6"/>
  <c r="G49" i="6"/>
  <c r="G50" i="6"/>
  <c r="G51" i="6"/>
  <c r="G52" i="6"/>
  <c r="G53" i="6"/>
  <c r="G54" i="6"/>
  <c r="G55" i="6"/>
  <c r="G56" i="6"/>
  <c r="G57" i="6"/>
  <c r="I50" i="6"/>
  <c r="I51" i="6"/>
  <c r="I52" i="6"/>
  <c r="I55" i="6"/>
  <c r="I57" i="6"/>
  <c r="I81" i="1"/>
  <c r="J81" i="1" a="1"/>
  <c r="J81" i="1"/>
  <c r="I82" i="1"/>
  <c r="J82" i="1" a="1"/>
  <c r="J82" i="1" s="1"/>
  <c r="I83" i="1"/>
  <c r="J83" i="1" a="1"/>
  <c r="J83" i="1"/>
  <c r="I84" i="1"/>
  <c r="J84" i="1" a="1"/>
  <c r="J84" i="1"/>
  <c r="I85" i="1"/>
  <c r="I86" i="1"/>
  <c r="J86" i="1" a="1"/>
  <c r="J86" i="1" s="1"/>
  <c r="I87" i="1"/>
  <c r="J87" i="1" a="1"/>
  <c r="J87" i="1" s="1"/>
  <c r="I88" i="1"/>
  <c r="J88" i="1" a="1"/>
  <c r="J88" i="1" s="1"/>
  <c r="I90" i="1"/>
  <c r="J90" i="1" a="1"/>
  <c r="J90" i="1"/>
  <c r="I91" i="1"/>
  <c r="J91" i="1" a="1"/>
  <c r="J91" i="1" s="1"/>
  <c r="I92" i="1"/>
  <c r="J92" i="1" a="1"/>
  <c r="J92" i="1" s="1"/>
  <c r="I93" i="1"/>
  <c r="J93" i="1" a="1"/>
  <c r="J93" i="1" s="1"/>
  <c r="I94" i="1"/>
  <c r="J94" i="1" a="1"/>
  <c r="J94" i="1"/>
  <c r="I95" i="1"/>
  <c r="J95" i="1" a="1"/>
  <c r="J95" i="1" s="1"/>
  <c r="I96" i="1"/>
  <c r="J96" i="1" a="1"/>
  <c r="J96" i="1" s="1"/>
  <c r="G48" i="6"/>
  <c r="I48" i="6"/>
  <c r="H47" i="6"/>
  <c r="I47" i="6"/>
  <c r="G47" i="6"/>
  <c r="B44" i="9" a="1"/>
  <c r="B44" i="9"/>
  <c r="I71" i="1"/>
  <c r="J71" i="1" a="1"/>
  <c r="J71" i="1"/>
  <c r="I72" i="1"/>
  <c r="J72" i="1" a="1"/>
  <c r="J72" i="1" s="1"/>
  <c r="I73" i="1"/>
  <c r="J73" i="1" a="1"/>
  <c r="J73" i="1" s="1"/>
  <c r="I74" i="1"/>
  <c r="J74" i="1" a="1"/>
  <c r="J74" i="1" s="1"/>
  <c r="I75" i="1"/>
  <c r="J75" i="1" a="1"/>
  <c r="J75" i="1"/>
  <c r="I76" i="1"/>
  <c r="J76" i="1" a="1"/>
  <c r="J76" i="1" s="1"/>
  <c r="I77" i="1"/>
  <c r="J77" i="1" a="1"/>
  <c r="J77" i="1" s="1"/>
  <c r="I78" i="1"/>
  <c r="J78" i="1" a="1"/>
  <c r="J78" i="1" s="1"/>
  <c r="I79" i="1"/>
  <c r="J79" i="1" a="1"/>
  <c r="J79" i="1"/>
  <c r="I80" i="1"/>
  <c r="J80" i="1" a="1"/>
  <c r="J80" i="1" s="1"/>
  <c r="H46" i="6"/>
  <c r="I46" i="6"/>
  <c r="G46" i="6"/>
  <c r="I63" i="1"/>
  <c r="J63" i="1" a="1"/>
  <c r="J63" i="1" s="1"/>
  <c r="I64" i="1"/>
  <c r="J64" i="1" a="1"/>
  <c r="J64" i="1"/>
  <c r="I65" i="1"/>
  <c r="J65" i="1" a="1"/>
  <c r="J65" i="1" s="1"/>
  <c r="I66" i="1"/>
  <c r="J66" i="1" a="1"/>
  <c r="J66" i="1" s="1"/>
  <c r="I67" i="1"/>
  <c r="J67" i="1" a="1"/>
  <c r="J67" i="1" s="1"/>
  <c r="I68" i="1"/>
  <c r="J68" i="1" a="1"/>
  <c r="J68" i="1"/>
  <c r="I69" i="1"/>
  <c r="J69" i="1" a="1"/>
  <c r="J69" i="1" s="1"/>
  <c r="I70" i="1"/>
  <c r="J70" i="1" a="1"/>
  <c r="J70" i="1" s="1"/>
  <c r="H45" i="6"/>
  <c r="I45" i="6"/>
  <c r="G41" i="6"/>
  <c r="G42" i="6"/>
  <c r="G43" i="6"/>
  <c r="G44" i="6"/>
  <c r="G45" i="6"/>
  <c r="I41" i="6"/>
  <c r="I42" i="6"/>
  <c r="I43" i="6"/>
  <c r="I44" i="6"/>
  <c r="G6" i="6"/>
  <c r="H39" i="6"/>
  <c r="I39" i="6"/>
  <c r="I40" i="6"/>
  <c r="G39" i="6"/>
  <c r="H31" i="6"/>
  <c r="I31" i="6"/>
  <c r="G31" i="6"/>
  <c r="G40" i="6"/>
  <c r="E8" i="7"/>
  <c r="E9" i="7"/>
  <c r="E10" i="7"/>
  <c r="E11" i="7"/>
  <c r="E12" i="7"/>
  <c r="H12" i="7"/>
  <c r="E13" i="7"/>
  <c r="H13" i="7"/>
  <c r="E14" i="7"/>
  <c r="H14" i="7"/>
  <c r="E7" i="7"/>
  <c r="H7" i="7"/>
  <c r="H8" i="7"/>
  <c r="H9" i="7"/>
  <c r="H10" i="7"/>
  <c r="H11" i="7"/>
  <c r="I57" i="1"/>
  <c r="J57" i="1" a="1"/>
  <c r="J57" i="1" s="1"/>
  <c r="I58" i="1"/>
  <c r="J58" i="1" a="1"/>
  <c r="J58" i="1"/>
  <c r="I59" i="1"/>
  <c r="J59" i="1" a="1"/>
  <c r="J59" i="1" s="1"/>
  <c r="I60" i="1"/>
  <c r="J60" i="1" a="1"/>
  <c r="J60" i="1" s="1"/>
  <c r="I61" i="1"/>
  <c r="J61" i="1" a="1"/>
  <c r="J61" i="1" s="1"/>
  <c r="I62" i="1"/>
  <c r="J62" i="1" a="1"/>
  <c r="J62" i="1"/>
  <c r="H37" i="6"/>
  <c r="I37" i="6"/>
  <c r="G38" i="6"/>
  <c r="I38" i="6"/>
  <c r="G37" i="6"/>
  <c r="G36" i="6"/>
  <c r="I36" i="6"/>
  <c r="G34" i="6"/>
  <c r="I34" i="6"/>
  <c r="H10" i="15"/>
  <c r="G5" i="15"/>
  <c r="G6" i="15"/>
  <c r="G7" i="15"/>
  <c r="F7" i="15"/>
  <c r="H7" i="15"/>
  <c r="G8" i="15"/>
  <c r="F8" i="15"/>
  <c r="H8" i="15"/>
  <c r="G9" i="15"/>
  <c r="H9" i="15"/>
  <c r="G11" i="15"/>
  <c r="H11" i="15"/>
  <c r="G12" i="15"/>
  <c r="F12" i="15"/>
  <c r="H12" i="15"/>
  <c r="H6" i="7"/>
  <c r="I52" i="1"/>
  <c r="J52" i="1" a="1"/>
  <c r="J52" i="1"/>
  <c r="I53" i="1"/>
  <c r="J53" i="1" a="1"/>
  <c r="J53" i="1"/>
  <c r="I54" i="1"/>
  <c r="J54" i="1" a="1"/>
  <c r="J54" i="1"/>
  <c r="I55" i="1"/>
  <c r="J55" i="1" a="1"/>
  <c r="J55" i="1"/>
  <c r="I56" i="1"/>
  <c r="J56" i="1" a="1"/>
  <c r="J56" i="1"/>
  <c r="H35" i="6"/>
  <c r="I35" i="6"/>
  <c r="G35" i="6"/>
  <c r="G5" i="7"/>
  <c r="H5" i="7"/>
  <c r="H3" i="7"/>
  <c r="H4" i="7"/>
  <c r="H15" i="7"/>
  <c r="D145" i="17"/>
  <c r="I51" i="1"/>
  <c r="J51" i="1" a="1"/>
  <c r="J51" i="1"/>
  <c r="H33" i="6"/>
  <c r="I33" i="6"/>
  <c r="H32" i="6"/>
  <c r="I32" i="6"/>
  <c r="G32" i="6"/>
  <c r="G33" i="6"/>
  <c r="I42" i="1"/>
  <c r="J42" i="1" a="1"/>
  <c r="J42" i="1"/>
  <c r="I43" i="1"/>
  <c r="J43" i="1" a="1"/>
  <c r="J43" i="1"/>
  <c r="I44" i="1"/>
  <c r="J44" i="1" a="1"/>
  <c r="J44" i="1"/>
  <c r="I45" i="1"/>
  <c r="J45" i="1" a="1"/>
  <c r="J45" i="1"/>
  <c r="I46" i="1"/>
  <c r="J46" i="1" a="1"/>
  <c r="J46" i="1"/>
  <c r="I47" i="1"/>
  <c r="J47" i="1" a="1"/>
  <c r="J47" i="1"/>
  <c r="I48" i="1"/>
  <c r="J48" i="1" a="1"/>
  <c r="J48" i="1"/>
  <c r="I49" i="1"/>
  <c r="J49" i="1" a="1"/>
  <c r="J49" i="1"/>
  <c r="I50" i="1"/>
  <c r="J50" i="1" a="1"/>
  <c r="J50" i="1"/>
  <c r="C10" i="12"/>
  <c r="C11" i="12"/>
  <c r="C9" i="12"/>
  <c r="D98" i="17"/>
  <c r="I39" i="1"/>
  <c r="J39" i="1" a="1"/>
  <c r="J39" i="1" s="1"/>
  <c r="I40" i="1"/>
  <c r="J40" i="1" a="1"/>
  <c r="J40" i="1"/>
  <c r="I41" i="1"/>
  <c r="J41" i="1" a="1"/>
  <c r="J41" i="1" s="1"/>
  <c r="H28" i="6"/>
  <c r="I28" i="6"/>
  <c r="H27" i="6"/>
  <c r="I27" i="6"/>
  <c r="G26" i="6"/>
  <c r="G27" i="6"/>
  <c r="G28" i="6"/>
  <c r="G29" i="6"/>
  <c r="G30" i="6"/>
  <c r="I26" i="6"/>
  <c r="I29" i="6"/>
  <c r="I30" i="6"/>
  <c r="I35" i="1"/>
  <c r="J35" i="1" a="1"/>
  <c r="J35" i="1" s="1"/>
  <c r="I36" i="1"/>
  <c r="J36" i="1" a="1"/>
  <c r="J36" i="1" s="1"/>
  <c r="I37" i="1"/>
  <c r="J37" i="1" a="1"/>
  <c r="J37" i="1"/>
  <c r="I38" i="1"/>
  <c r="J38" i="1" a="1"/>
  <c r="J38" i="1" s="1"/>
  <c r="H25" i="6"/>
  <c r="I25" i="6"/>
  <c r="G25" i="6"/>
  <c r="I23" i="6"/>
  <c r="H24" i="6"/>
  <c r="I24" i="6"/>
  <c r="H20" i="6"/>
  <c r="I20" i="6"/>
  <c r="H21" i="6"/>
  <c r="I21" i="6"/>
  <c r="H22" i="6"/>
  <c r="I22" i="6"/>
  <c r="G24" i="6"/>
  <c r="G23" i="6"/>
  <c r="G22" i="6"/>
  <c r="H19" i="6"/>
  <c r="I19" i="6"/>
  <c r="D71" i="17"/>
  <c r="I28" i="1"/>
  <c r="J28" i="1" a="1"/>
  <c r="J28" i="1"/>
  <c r="I29" i="1"/>
  <c r="J29" i="1" a="1"/>
  <c r="J29" i="1" s="1"/>
  <c r="I30" i="1"/>
  <c r="J30" i="1" a="1"/>
  <c r="J30" i="1" s="1"/>
  <c r="I31" i="1"/>
  <c r="J31" i="1" a="1"/>
  <c r="J31" i="1" s="1"/>
  <c r="I32" i="1"/>
  <c r="J32" i="1" a="1"/>
  <c r="J32" i="1"/>
  <c r="I33" i="1"/>
  <c r="J33" i="1" a="1"/>
  <c r="J33" i="1" s="1"/>
  <c r="I34" i="1"/>
  <c r="J34" i="1" a="1"/>
  <c r="J34" i="1" s="1"/>
  <c r="I25" i="1"/>
  <c r="J25" i="1" a="1"/>
  <c r="J25" i="1" s="1"/>
  <c r="I26" i="1"/>
  <c r="J26" i="1" a="1"/>
  <c r="J26" i="1"/>
  <c r="I27" i="1"/>
  <c r="J27" i="1" a="1"/>
  <c r="J27" i="1" s="1"/>
  <c r="F5" i="15"/>
  <c r="F6" i="15"/>
  <c r="H18" i="6"/>
  <c r="I18" i="6"/>
  <c r="H16" i="6"/>
  <c r="I16" i="6"/>
  <c r="D61" i="17"/>
  <c r="D54" i="17"/>
  <c r="H14" i="6"/>
  <c r="I14" i="6"/>
  <c r="D44" i="17"/>
  <c r="I16" i="1"/>
  <c r="J16" i="1" a="1"/>
  <c r="J16" i="1"/>
  <c r="I17" i="1"/>
  <c r="J17" i="1" a="1"/>
  <c r="J17" i="1"/>
  <c r="I18" i="1"/>
  <c r="J18" i="1" a="1"/>
  <c r="J18" i="1"/>
  <c r="I19" i="1"/>
  <c r="J19" i="1" a="1"/>
  <c r="J19" i="1"/>
  <c r="I20" i="1"/>
  <c r="J20" i="1" a="1"/>
  <c r="J20" i="1"/>
  <c r="I21" i="1"/>
  <c r="J21" i="1" a="1"/>
  <c r="J21" i="1"/>
  <c r="I22" i="1"/>
  <c r="J22" i="1" a="1"/>
  <c r="J22" i="1"/>
  <c r="I23" i="1"/>
  <c r="J23" i="1" a="1"/>
  <c r="J23" i="1"/>
  <c r="I24" i="1"/>
  <c r="J24" i="1" a="1"/>
  <c r="J24" i="1"/>
  <c r="I15" i="1"/>
  <c r="J15" i="1" a="1"/>
  <c r="J15" i="1"/>
  <c r="H7" i="6"/>
  <c r="I7" i="6"/>
  <c r="H8" i="6"/>
  <c r="I8" i="6"/>
  <c r="H9" i="6"/>
  <c r="I9" i="6"/>
  <c r="H10" i="6"/>
  <c r="I10" i="6"/>
  <c r="H11" i="6"/>
  <c r="I11" i="6"/>
  <c r="H12" i="6"/>
  <c r="I12" i="6"/>
  <c r="H13" i="6"/>
  <c r="I13" i="6"/>
  <c r="H5" i="6"/>
  <c r="I5" i="6"/>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O5" i="9" a="1"/>
  <c r="A14" i="21"/>
  <c r="E56" i="2"/>
  <c r="F56" i="2"/>
  <c r="H56" i="2"/>
  <c r="I56" i="2"/>
  <c r="D56" i="2"/>
  <c r="E57" i="2"/>
  <c r="F57" i="2"/>
  <c r="G57" i="2"/>
  <c r="E58" i="2"/>
  <c r="F58" i="2"/>
  <c r="H58" i="2"/>
  <c r="I58" i="2"/>
  <c r="D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H84" i="1"/>
  <c r="E46" i="2"/>
  <c r="F46" i="2"/>
  <c r="H46" i="2"/>
  <c r="I46" i="2"/>
  <c r="D46" i="2"/>
  <c r="E47" i="2"/>
  <c r="F47" i="2"/>
  <c r="G47" i="2"/>
  <c r="H88" i="1"/>
  <c r="H47" i="2"/>
  <c r="I47" i="2"/>
  <c r="D47" i="2"/>
  <c r="E48" i="2"/>
  <c r="F48" i="2"/>
  <c r="H48" i="2"/>
  <c r="I48" i="2"/>
  <c r="D48" i="2"/>
  <c r="E49" i="2"/>
  <c r="F49" i="2"/>
  <c r="G49" i="2"/>
  <c r="E50" i="2"/>
  <c r="F50" i="2"/>
  <c r="G50" i="2"/>
  <c r="H91" i="1"/>
  <c r="E51" i="2"/>
  <c r="F51" i="2"/>
  <c r="G51" i="2"/>
  <c r="H51" i="2"/>
  <c r="I51" i="2"/>
  <c r="D51" i="2"/>
  <c r="E52" i="2"/>
  <c r="F52" i="2"/>
  <c r="H52" i="2"/>
  <c r="I52" i="2"/>
  <c r="D52" i="2"/>
  <c r="G52" i="2"/>
  <c r="H93" i="1"/>
  <c r="E53" i="2"/>
  <c r="F53" i="2"/>
  <c r="G53" i="2"/>
  <c r="H103" i="1"/>
  <c r="H97" i="1"/>
  <c r="E54" i="2"/>
  <c r="F54" i="2"/>
  <c r="G54" i="2"/>
  <c r="H100" i="1"/>
  <c r="E55" i="2"/>
  <c r="G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G31" i="9" a="1"/>
  <c r="G31" i="9"/>
  <c r="P19" i="9" a="1"/>
  <c r="P19" i="9"/>
  <c r="W19" i="9"/>
  <c r="S19" i="9" a="1"/>
  <c r="S19" i="9"/>
  <c r="T19" i="9" a="1"/>
  <c r="T19" i="9"/>
  <c r="U19" i="9" a="1"/>
  <c r="U19" i="9"/>
  <c r="R19" i="9" a="1"/>
  <c r="R19" i="9"/>
  <c r="Q19" i="9" a="1"/>
  <c r="Q19" i="9"/>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c r="H60" i="1"/>
  <c r="E34" i="2"/>
  <c r="F34" i="2"/>
  <c r="H34" i="2"/>
  <c r="I34" i="2"/>
  <c r="D34" i="2"/>
  <c r="G34" i="2"/>
  <c r="H63" i="1"/>
  <c r="E35" i="2"/>
  <c r="F35" i="2"/>
  <c r="G35" i="2"/>
  <c r="H35" i="2"/>
  <c r="I35" i="2"/>
  <c r="D35" i="2"/>
  <c r="E36" i="2"/>
  <c r="F36" i="2"/>
  <c r="E37" i="2"/>
  <c r="F37" i="2"/>
  <c r="H37" i="2"/>
  <c r="I37" i="2"/>
  <c r="D37" i="2"/>
  <c r="E39" i="2"/>
  <c r="F39" i="2"/>
  <c r="G39" i="2"/>
  <c r="H39" i="2"/>
  <c r="I39" i="2"/>
  <c r="D39" i="2"/>
  <c r="E40" i="2"/>
  <c r="F40" i="2"/>
  <c r="H40" i="2"/>
  <c r="I40" i="2"/>
  <c r="D40" i="2"/>
  <c r="E41" i="2"/>
  <c r="F41" i="2"/>
  <c r="G41" i="2"/>
  <c r="H41" i="2"/>
  <c r="I41" i="2"/>
  <c r="D41" i="2"/>
  <c r="E42" i="2"/>
  <c r="F42" i="2"/>
  <c r="H42" i="2"/>
  <c r="I42" i="2"/>
  <c r="D42" i="2"/>
  <c r="E43" i="2"/>
  <c r="F43" i="2"/>
  <c r="H43" i="2"/>
  <c r="I43" i="2"/>
  <c r="D43" i="2"/>
  <c r="G43" i="2"/>
  <c r="H77" i="1"/>
  <c r="E44" i="2"/>
  <c r="F44" i="2"/>
  <c r="G44" i="2"/>
  <c r="F38" i="2"/>
  <c r="H38" i="2"/>
  <c r="I38" i="2"/>
  <c r="D38" i="2"/>
  <c r="E38" i="2"/>
  <c r="G38" i="2"/>
  <c r="H70" i="1"/>
  <c r="H69" i="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c r="E8" i="18"/>
  <c r="E3" i="18"/>
  <c r="E4" i="18"/>
  <c r="E5" i="18"/>
  <c r="E6" i="18"/>
  <c r="E7" i="18"/>
  <c r="E9" i="18"/>
  <c r="E10" i="18"/>
  <c r="E11" i="18"/>
  <c r="E12" i="18"/>
  <c r="E13" i="18"/>
  <c r="E14" i="18"/>
  <c r="E15" i="18"/>
  <c r="E16" i="18"/>
  <c r="E17" i="18"/>
  <c r="E18" i="18"/>
  <c r="E19" i="18"/>
  <c r="E20" i="18"/>
  <c r="F21" i="2"/>
  <c r="G21" i="2"/>
  <c r="H44" i="1"/>
  <c r="H21" i="2"/>
  <c r="I21" i="2"/>
  <c r="D21" i="2"/>
  <c r="F22" i="2"/>
  <c r="G22" i="2"/>
  <c r="H45" i="1"/>
  <c r="H22" i="2"/>
  <c r="I22" i="2"/>
  <c r="D22" i="2"/>
  <c r="F23" i="2"/>
  <c r="H23" i="2"/>
  <c r="I23" i="2"/>
  <c r="D23" i="2"/>
  <c r="F24" i="2"/>
  <c r="H24" i="2"/>
  <c r="I24" i="2"/>
  <c r="D24" i="2"/>
  <c r="F25" i="2"/>
  <c r="H25" i="2"/>
  <c r="I25" i="2"/>
  <c r="D25" i="2"/>
  <c r="F26" i="2"/>
  <c r="G26" i="2"/>
  <c r="H50" i="1"/>
  <c r="H26" i="2"/>
  <c r="I26" i="2"/>
  <c r="D26" i="2"/>
  <c r="F27" i="2"/>
  <c r="H27" i="2"/>
  <c r="I27" i="2"/>
  <c r="D27" i="2"/>
  <c r="F28" i="2"/>
  <c r="G28" i="2"/>
  <c r="H52" i="1"/>
  <c r="H28" i="2"/>
  <c r="I28" i="2"/>
  <c r="D28" i="2"/>
  <c r="F29" i="2"/>
  <c r="G29" i="2"/>
  <c r="H54" i="1"/>
  <c r="F30" i="2"/>
  <c r="H30" i="2"/>
  <c r="I30" i="2"/>
  <c r="D30" i="2"/>
  <c r="F31" i="2"/>
  <c r="H31" i="2"/>
  <c r="I31" i="2"/>
  <c r="D31" i="2"/>
  <c r="F32" i="2"/>
  <c r="H32" i="2"/>
  <c r="I32" i="2"/>
  <c r="D32" i="2"/>
  <c r="E22" i="2"/>
  <c r="E23" i="2"/>
  <c r="E24" i="2"/>
  <c r="E25" i="2"/>
  <c r="E26" i="2"/>
  <c r="E27" i="2"/>
  <c r="E28" i="2"/>
  <c r="E29" i="2"/>
  <c r="E30" i="2"/>
  <c r="E31" i="2"/>
  <c r="G31" i="2"/>
  <c r="H56" i="1"/>
  <c r="E32" i="2"/>
  <c r="G32" i="2"/>
  <c r="E20" i="2"/>
  <c r="E21" i="2"/>
  <c r="N4" i="17"/>
  <c r="F20" i="2"/>
  <c r="H20" i="2"/>
  <c r="I20" i="2"/>
  <c r="D20" i="2"/>
  <c r="E15" i="2"/>
  <c r="E16" i="2"/>
  <c r="G16" i="2"/>
  <c r="H36" i="1"/>
  <c r="E17" i="2"/>
  <c r="E18" i="2"/>
  <c r="E19" i="2"/>
  <c r="E7" i="2"/>
  <c r="E8" i="2"/>
  <c r="E9" i="2"/>
  <c r="E10" i="2"/>
  <c r="G10" i="2"/>
  <c r="H21" i="1"/>
  <c r="E11" i="2"/>
  <c r="E12" i="2"/>
  <c r="E13" i="2"/>
  <c r="G13" i="2"/>
  <c r="E14" i="2"/>
  <c r="E5" i="2"/>
  <c r="E6" i="2"/>
  <c r="E4" i="2"/>
  <c r="F13" i="2"/>
  <c r="H13" i="2"/>
  <c r="I13" i="2"/>
  <c r="D13" i="2"/>
  <c r="F14" i="2"/>
  <c r="H14" i="2"/>
  <c r="I14" i="2"/>
  <c r="D14" i="2"/>
  <c r="F15" i="2"/>
  <c r="H15" i="2"/>
  <c r="I15" i="2"/>
  <c r="D15" i="2"/>
  <c r="G15" i="2"/>
  <c r="H27" i="1"/>
  <c r="F16" i="2"/>
  <c r="F17" i="2"/>
  <c r="G17" i="2"/>
  <c r="H37" i="1"/>
  <c r="F18" i="2"/>
  <c r="H18" i="2"/>
  <c r="I18" i="2"/>
  <c r="D18" i="2"/>
  <c r="F19" i="2"/>
  <c r="G19" i="2"/>
  <c r="H19" i="2"/>
  <c r="I19" i="2"/>
  <c r="D19" i="2"/>
  <c r="C8" i="8"/>
  <c r="F11" i="2"/>
  <c r="G11" i="2"/>
  <c r="H11" i="2"/>
  <c r="I11" i="2"/>
  <c r="F10" i="2"/>
  <c r="F6" i="2"/>
  <c r="H6" i="2"/>
  <c r="I6" i="2"/>
  <c r="D6" i="2"/>
  <c r="F7" i="2"/>
  <c r="H7" i="2"/>
  <c r="I7" i="2"/>
  <c r="D7" i="2"/>
  <c r="F8" i="2"/>
  <c r="G8" i="2"/>
  <c r="H19" i="1"/>
  <c r="F9" i="2"/>
  <c r="H9" i="2"/>
  <c r="I9" i="2"/>
  <c r="D9" i="2"/>
  <c r="N3" i="7"/>
  <c r="N5" i="7"/>
  <c r="E6" i="11"/>
  <c r="D6" i="11"/>
  <c r="F12" i="2"/>
  <c r="G12" i="2"/>
  <c r="H23" i="1"/>
  <c r="F5" i="2"/>
  <c r="G5" i="2"/>
  <c r="H5" i="2"/>
  <c r="I5" i="2"/>
  <c r="D5" i="2"/>
  <c r="F3" i="2"/>
  <c r="F4" i="2"/>
  <c r="F13" i="15"/>
  <c r="C7" i="8"/>
  <c r="C16" i="12"/>
  <c r="H54" i="2"/>
  <c r="I54" i="2"/>
  <c r="D54" i="2"/>
  <c r="J15" i="14"/>
  <c r="H61" i="2"/>
  <c r="I61" i="2"/>
  <c r="D61" i="2"/>
  <c r="H59" i="2"/>
  <c r="I59" i="2"/>
  <c r="D59" i="2"/>
  <c r="C284" i="17"/>
  <c r="K4" i="17"/>
  <c r="C16" i="10"/>
  <c r="H62" i="2"/>
  <c r="I62" i="2"/>
  <c r="D62" i="2"/>
  <c r="H60" i="2"/>
  <c r="I60" i="2"/>
  <c r="D60" i="2"/>
  <c r="B2" i="2"/>
  <c r="I9" i="1"/>
  <c r="J9" i="1" s="1" a="1"/>
  <c r="J9" i="1" s="1"/>
  <c r="I11" i="1"/>
  <c r="J11" i="1" s="1" a="1"/>
  <c r="J11" i="1" s="1"/>
  <c r="E15" i="7"/>
  <c r="C5" i="8"/>
  <c r="H8" i="1"/>
  <c r="H12" i="1"/>
  <c r="H6" i="1"/>
  <c r="H13" i="1"/>
  <c r="H2" i="1"/>
  <c r="H85" i="1"/>
  <c r="H5" i="1"/>
  <c r="H4" i="1"/>
  <c r="H14" i="1"/>
  <c r="H9" i="1"/>
  <c r="H7" i="1"/>
  <c r="H3" i="1"/>
  <c r="H10" i="1"/>
  <c r="H11" i="1"/>
  <c r="G24" i="2"/>
  <c r="H49" i="1"/>
  <c r="G46" i="2"/>
  <c r="H86" i="1"/>
  <c r="H57" i="2"/>
  <c r="I57" i="2"/>
  <c r="D57" i="2"/>
  <c r="G7" i="2"/>
  <c r="H18" i="1"/>
  <c r="G40" i="2"/>
  <c r="H74" i="1"/>
  <c r="H45" i="2"/>
  <c r="I45" i="2"/>
  <c r="D45" i="2"/>
  <c r="G56" i="2"/>
  <c r="G4" i="2"/>
  <c r="G20" i="2"/>
  <c r="H61" i="1"/>
  <c r="H41" i="1"/>
  <c r="G27" i="2"/>
  <c r="G42" i="2"/>
  <c r="H76" i="1"/>
  <c r="G36" i="2"/>
  <c r="H66" i="1"/>
  <c r="H50" i="2"/>
  <c r="I50" i="2"/>
  <c r="D50" i="2"/>
  <c r="G37" i="2"/>
  <c r="H68" i="1"/>
  <c r="H16" i="2"/>
  <c r="I16" i="2"/>
  <c r="D16" i="2"/>
  <c r="H4" i="2"/>
  <c r="I4" i="2"/>
  <c r="D4" i="2"/>
  <c r="G25" i="2"/>
  <c r="H48" i="1"/>
  <c r="H53" i="1"/>
  <c r="H51" i="1"/>
  <c r="H82" i="1"/>
  <c r="H73" i="1"/>
  <c r="G18" i="2"/>
  <c r="H53" i="2"/>
  <c r="I53" i="2"/>
  <c r="D53" i="2"/>
  <c r="H17" i="2"/>
  <c r="I17" i="2"/>
  <c r="D17" i="2"/>
  <c r="H36" i="2"/>
  <c r="I36" i="2"/>
  <c r="D36" i="2"/>
  <c r="H96" i="1"/>
  <c r="H10" i="2"/>
  <c r="I10" i="2"/>
  <c r="D10" i="2"/>
  <c r="G48" i="2"/>
  <c r="H89" i="1"/>
  <c r="H43" i="1"/>
  <c r="H39" i="1"/>
  <c r="H38" i="1"/>
  <c r="H72" i="1"/>
  <c r="H71" i="1"/>
  <c r="H90" i="1"/>
  <c r="H94" i="1"/>
  <c r="H31" i="1"/>
  <c r="H30" i="1"/>
  <c r="H22" i="1"/>
  <c r="H35" i="1"/>
  <c r="H42" i="1"/>
  <c r="H28" i="1"/>
  <c r="H25" i="1"/>
  <c r="H75" i="1"/>
  <c r="H80" i="1"/>
  <c r="H24" i="1"/>
  <c r="H32" i="1"/>
  <c r="H33" i="1"/>
  <c r="H83" i="1"/>
  <c r="H78" i="1"/>
  <c r="H101" i="1"/>
  <c r="H102" i="1"/>
  <c r="H92" i="1"/>
  <c r="H95" i="1"/>
  <c r="H59" i="1"/>
  <c r="H40" i="1"/>
  <c r="H57" i="1"/>
  <c r="H58" i="1"/>
  <c r="H67" i="1"/>
  <c r="H65" i="1"/>
  <c r="H62" i="1"/>
  <c r="G6" i="2"/>
  <c r="H49" i="2"/>
  <c r="I49" i="2"/>
  <c r="D49" i="2"/>
  <c r="H98" i="1"/>
  <c r="G23" i="2"/>
  <c r="H46" i="1"/>
  <c r="H8" i="2"/>
  <c r="I8" i="2"/>
  <c r="D8" i="2"/>
  <c r="G14" i="2"/>
  <c r="H81" i="1"/>
  <c r="H29" i="2"/>
  <c r="I29" i="2"/>
  <c r="D29" i="2"/>
  <c r="G9" i="2"/>
  <c r="H20" i="1"/>
  <c r="H79" i="1"/>
  <c r="H29" i="1"/>
  <c r="H12" i="2"/>
  <c r="I12" i="2"/>
  <c r="D12" i="2"/>
  <c r="H87" i="1"/>
  <c r="H33" i="2"/>
  <c r="I33" i="2"/>
  <c r="D33" i="2"/>
  <c r="H44" i="2"/>
  <c r="I44" i="2"/>
  <c r="D44" i="2"/>
  <c r="G30" i="2"/>
  <c r="H47" i="1"/>
  <c r="Q18" i="9" a="1"/>
  <c r="Q18" i="9"/>
  <c r="T18" i="9" a="1"/>
  <c r="T18" i="9"/>
  <c r="H47" i="9"/>
  <c r="U8" i="9" a="1"/>
  <c r="U8" i="9" s="1"/>
  <c r="R18" i="9" a="1"/>
  <c r="R18" i="9"/>
  <c r="U18" i="9" a="1"/>
  <c r="U18" i="9"/>
  <c r="S18" i="9" a="1"/>
  <c r="S18" i="9"/>
  <c r="J45" i="9"/>
  <c r="W6" i="9" s="1"/>
  <c r="B3" i="20" s="1"/>
  <c r="B11" i="9"/>
  <c r="C11" i="9"/>
  <c r="G33" i="9" a="1"/>
  <c r="G33" i="9"/>
  <c r="P18" i="9" a="1"/>
  <c r="P18" i="9"/>
  <c r="W18" i="9"/>
  <c r="R16" i="9" a="1"/>
  <c r="R16" i="9"/>
  <c r="B10" i="9"/>
  <c r="H34" i="9" a="1"/>
  <c r="H34" i="9"/>
  <c r="G32" i="9" a="1"/>
  <c r="G32" i="9"/>
  <c r="B9" i="9"/>
  <c r="G34" i="9" a="1"/>
  <c r="G34" i="9"/>
  <c r="H29" i="9" a="1"/>
  <c r="H29" i="9"/>
  <c r="J30" i="9"/>
  <c r="B13" i="9"/>
  <c r="J48" i="9"/>
  <c r="W9" i="9" s="1"/>
  <c r="B6" i="20" s="1"/>
  <c r="B12" i="9"/>
  <c r="E12" i="9"/>
  <c r="H33" i="9" a="1"/>
  <c r="H33" i="9"/>
  <c r="B15" i="9"/>
  <c r="H32" i="9" a="1"/>
  <c r="H32" i="9"/>
  <c r="J29" i="9"/>
  <c r="B5" i="9"/>
  <c r="H31" i="9" a="1"/>
  <c r="H31" i="9"/>
  <c r="I31" i="9"/>
  <c r="J32" i="9"/>
  <c r="U16" i="9" a="1"/>
  <c r="U16" i="9"/>
  <c r="J38" i="9"/>
  <c r="J28" i="9"/>
  <c r="G28" i="9" a="1"/>
  <c r="G28" i="9"/>
  <c r="J36" i="9"/>
  <c r="J33" i="9"/>
  <c r="H49" i="9"/>
  <c r="U10" i="9" a="1"/>
  <c r="U10" i="9" s="1"/>
  <c r="H38" i="9" a="1"/>
  <c r="H38" i="9"/>
  <c r="G27" i="9" a="1"/>
  <c r="G27" i="9"/>
  <c r="H28" i="9" a="1"/>
  <c r="H28" i="9"/>
  <c r="B14" i="9"/>
  <c r="D47" i="9"/>
  <c r="Q8" i="9" a="1"/>
  <c r="Q8" i="9" s="1"/>
  <c r="U17" i="9" a="1"/>
  <c r="U17" i="9"/>
  <c r="R17" i="9" a="1"/>
  <c r="R17" i="9"/>
  <c r="T16" i="9" a="1"/>
  <c r="T16" i="9"/>
  <c r="H37" i="9" a="1"/>
  <c r="H37" i="9"/>
  <c r="P17" i="9" a="1"/>
  <c r="P17" i="9"/>
  <c r="T17" i="9" a="1"/>
  <c r="T17" i="9"/>
  <c r="B26" i="9"/>
  <c r="G44" i="9"/>
  <c r="B8" i="9"/>
  <c r="B6" i="9"/>
  <c r="H30" i="9" a="1"/>
  <c r="H30" i="9"/>
  <c r="J51" i="9"/>
  <c r="W12" i="9" s="1"/>
  <c r="G29" i="9" a="1"/>
  <c r="G29" i="9"/>
  <c r="Q17" i="9" a="1"/>
  <c r="Q17" i="9"/>
  <c r="D53" i="9"/>
  <c r="Q14" i="9" a="1"/>
  <c r="Q14" i="9"/>
  <c r="J35" i="9"/>
  <c r="G53" i="9"/>
  <c r="T14" i="9" a="1"/>
  <c r="T14" i="9" s="1"/>
  <c r="H27" i="9" a="1"/>
  <c r="H27" i="9"/>
  <c r="J31" i="9"/>
  <c r="C53" i="9"/>
  <c r="P14" i="9" a="1"/>
  <c r="P14" i="9" s="1"/>
  <c r="J34" i="9"/>
  <c r="D51" i="9"/>
  <c r="Q12" i="9" s="1" a="1"/>
  <c r="Q12" i="9" s="1"/>
  <c r="D10" i="19" s="1" a="1"/>
  <c r="D10" i="19" s="1"/>
  <c r="J27" i="9"/>
  <c r="E51" i="9"/>
  <c r="R12" i="9" s="1" a="1"/>
  <c r="R12" i="9" s="1"/>
  <c r="D12" i="19" s="1" a="1"/>
  <c r="D12" i="19" s="1"/>
  <c r="J37" i="9"/>
  <c r="G35" i="9" a="1"/>
  <c r="G35" i="9"/>
  <c r="B7" i="9"/>
  <c r="P16" i="9" a="1"/>
  <c r="P16" i="9"/>
  <c r="H36" i="9" a="1"/>
  <c r="H36" i="9"/>
  <c r="S17" i="9" a="1"/>
  <c r="S17" i="9"/>
  <c r="B16" i="9"/>
  <c r="G36" i="9" a="1"/>
  <c r="G36" i="9"/>
  <c r="H35" i="9" a="1"/>
  <c r="H35" i="9"/>
  <c r="C51" i="9"/>
  <c r="P12" i="9" a="1"/>
  <c r="P12" i="9" s="1"/>
  <c r="D8" i="19" s="1" a="1"/>
  <c r="D8" i="19" s="1"/>
  <c r="G38" i="9" a="1"/>
  <c r="G38" i="9"/>
  <c r="S16" i="9" a="1"/>
  <c r="S16" i="9"/>
  <c r="Q16" i="9" a="1"/>
  <c r="Q16" i="9"/>
  <c r="E53" i="9"/>
  <c r="R14" i="9" s="1" a="1"/>
  <c r="R14" i="9" s="1"/>
  <c r="G30" i="9" a="1"/>
  <c r="G30" i="9"/>
  <c r="G37" i="9" a="1"/>
  <c r="G37" i="9"/>
  <c r="H51" i="9"/>
  <c r="U12" i="9" a="1"/>
  <c r="U12" i="9"/>
  <c r="H48" i="9"/>
  <c r="U9" i="9" s="1" a="1"/>
  <c r="U9" i="9" s="1"/>
  <c r="H52" i="9"/>
  <c r="U13" i="9" s="1" a="1"/>
  <c r="U13" i="9" s="1"/>
  <c r="D49" i="9"/>
  <c r="Q10" i="9" a="1"/>
  <c r="Q10" i="9" s="1"/>
  <c r="F54" i="9"/>
  <c r="S15" i="9" a="1"/>
  <c r="S15" i="9"/>
  <c r="D45" i="9"/>
  <c r="Q6" i="9" s="1" a="1"/>
  <c r="Q6" i="9" s="1"/>
  <c r="D52" i="9"/>
  <c r="Q13" i="9" s="1" a="1"/>
  <c r="Q13" i="9" s="1"/>
  <c r="F53" i="9"/>
  <c r="S14" i="9" a="1"/>
  <c r="S14" i="9" s="1"/>
  <c r="D54" i="9"/>
  <c r="Q15" i="9" a="1"/>
  <c r="Q15" i="9"/>
  <c r="C47" i="9"/>
  <c r="P8" i="9" s="1" a="1"/>
  <c r="P8" i="9" s="1"/>
  <c r="C45" i="9"/>
  <c r="P6" i="9" s="1" a="1"/>
  <c r="P6" i="9" s="1"/>
  <c r="H53" i="9"/>
  <c r="H46" i="9"/>
  <c r="U7" i="9" s="1" a="1"/>
  <c r="U7" i="9" s="1"/>
  <c r="H54" i="9"/>
  <c r="U15" i="9" a="1"/>
  <c r="U15" i="9" s="1"/>
  <c r="D48" i="9"/>
  <c r="Q9" i="9" a="1"/>
  <c r="Q9" i="9" s="1"/>
  <c r="J49" i="9"/>
  <c r="W10" i="9" s="1"/>
  <c r="B7" i="20" s="1"/>
  <c r="D46" i="9"/>
  <c r="Q7" i="9" s="1" a="1"/>
  <c r="Q7" i="9" s="1"/>
  <c r="H45" i="9"/>
  <c r="U6" i="9" a="1"/>
  <c r="U6" i="9" s="1"/>
  <c r="F46" i="9"/>
  <c r="S7" i="9" a="1"/>
  <c r="S7" i="9" s="1"/>
  <c r="D50" i="9"/>
  <c r="Q11" i="9" a="1"/>
  <c r="Q11" i="9" s="1"/>
  <c r="C46" i="9"/>
  <c r="P7" i="9" s="1" a="1"/>
  <c r="P7" i="9" s="1"/>
  <c r="J46" i="9"/>
  <c r="W7" i="9"/>
  <c r="B4" i="20" s="1"/>
  <c r="C48" i="9"/>
  <c r="P9" i="9" a="1"/>
  <c r="P9" i="9" s="1"/>
  <c r="V19" i="9"/>
  <c r="F50" i="9"/>
  <c r="S11" i="9" s="1" a="1"/>
  <c r="S11" i="9" s="1"/>
  <c r="C52" i="9"/>
  <c r="P13" i="9" s="1" a="1"/>
  <c r="P13" i="9" s="1"/>
  <c r="H50" i="9"/>
  <c r="U11" i="9" s="1" a="1"/>
  <c r="U11" i="9" s="1"/>
  <c r="J54" i="9"/>
  <c r="W15" i="9" s="1"/>
  <c r="B12" i="20" s="1"/>
  <c r="C54" i="9"/>
  <c r="P15" i="9" s="1" a="1"/>
  <c r="P15" i="9" s="1"/>
  <c r="F49" i="9"/>
  <c r="S10" i="9" s="1" a="1"/>
  <c r="S10" i="9" s="1"/>
  <c r="C49" i="9"/>
  <c r="P10" i="9" s="1" a="1"/>
  <c r="P10" i="9" s="1"/>
  <c r="C50" i="9"/>
  <c r="P11" i="9" s="1" a="1"/>
  <c r="P11" i="9" s="1"/>
  <c r="N14" i="6"/>
  <c r="C4" i="8"/>
  <c r="G60" i="6"/>
  <c r="N6" i="17"/>
  <c r="J53" i="9"/>
  <c r="W14" i="9"/>
  <c r="B11" i="20"/>
  <c r="J50" i="9"/>
  <c r="W11" i="9" s="1"/>
  <c r="B8" i="20" s="1"/>
  <c r="G45" i="9"/>
  <c r="T6" i="9" s="1" a="1"/>
  <c r="T6" i="9" s="1"/>
  <c r="V6" i="9" s="1"/>
  <c r="X6" i="9" s="1"/>
  <c r="C3" i="20" s="1"/>
  <c r="I7" i="1"/>
  <c r="J7" i="1" a="1"/>
  <c r="J7" i="1" s="1"/>
  <c r="E49" i="9"/>
  <c r="R10" i="9" a="1"/>
  <c r="R10" i="9"/>
  <c r="I10" i="1"/>
  <c r="J10" i="1" s="1" a="1"/>
  <c r="J10" i="1" s="1"/>
  <c r="E52" i="9"/>
  <c r="R13" i="9" s="1" a="1"/>
  <c r="R13" i="9" s="1"/>
  <c r="I3" i="1"/>
  <c r="J3" i="1" a="1"/>
  <c r="J3" i="1" s="1"/>
  <c r="J104" i="1" s="1" a="1"/>
  <c r="J104" i="1" s="1"/>
  <c r="E45" i="9"/>
  <c r="R6" i="9" a="1"/>
  <c r="R6" i="9"/>
  <c r="I8" i="1"/>
  <c r="J8" i="1" s="1" a="1"/>
  <c r="J8" i="1" s="1"/>
  <c r="E50" i="9"/>
  <c r="R11" i="9" a="1"/>
  <c r="R11" i="9"/>
  <c r="J47" i="9"/>
  <c r="W8" i="9"/>
  <c r="B5" i="20" s="1"/>
  <c r="G50" i="9"/>
  <c r="T11" i="9" a="1"/>
  <c r="T11" i="9"/>
  <c r="I4" i="1"/>
  <c r="J4" i="1" s="1" a="1"/>
  <c r="J4" i="1" s="1"/>
  <c r="E46" i="9"/>
  <c r="R7" i="9" a="1"/>
  <c r="R7" i="9"/>
  <c r="I14" i="1"/>
  <c r="J14" i="1" a="1"/>
  <c r="J14" i="1" s="1"/>
  <c r="G47" i="9"/>
  <c r="I2" i="1"/>
  <c r="G51" i="9"/>
  <c r="I51" i="9" s="1"/>
  <c r="K51" i="9" s="1"/>
  <c r="G54" i="9"/>
  <c r="T15" i="9" s="1" a="1"/>
  <c r="T15" i="9" s="1"/>
  <c r="V15" i="9" s="1"/>
  <c r="I12" i="1"/>
  <c r="J12" i="1" a="1"/>
  <c r="J12" i="1" s="1"/>
  <c r="E54" i="9"/>
  <c r="R15" i="9" a="1"/>
  <c r="R15" i="9" s="1"/>
  <c r="G49" i="9"/>
  <c r="I49" i="9" s="1"/>
  <c r="K49" i="9" s="1"/>
  <c r="I6" i="1"/>
  <c r="J6" i="1" a="1"/>
  <c r="J6" i="1" s="1"/>
  <c r="E48" i="9"/>
  <c r="R9" i="9" a="1"/>
  <c r="R9" i="9" s="1"/>
  <c r="G52" i="9"/>
  <c r="I52" i="9" s="1"/>
  <c r="K52" i="9" s="1"/>
  <c r="I5" i="1"/>
  <c r="J5" i="1" s="1" a="1"/>
  <c r="J5" i="1" s="1"/>
  <c r="E47" i="9"/>
  <c r="R8" i="9" s="1" a="1"/>
  <c r="R8" i="9" s="1"/>
  <c r="J52" i="9"/>
  <c r="W13" i="9" s="1"/>
  <c r="B10" i="20" s="1"/>
  <c r="F51" i="9"/>
  <c r="S12" i="9" s="1" a="1"/>
  <c r="S12" i="9" s="1"/>
  <c r="D14" i="19" s="1" a="1"/>
  <c r="D14" i="19" s="1"/>
  <c r="F47" i="9"/>
  <c r="S8" i="9" s="1" a="1"/>
  <c r="S8" i="9" s="1"/>
  <c r="F45" i="9"/>
  <c r="S6" i="9" s="1" a="1"/>
  <c r="S6" i="9" s="1"/>
  <c r="F52" i="9"/>
  <c r="S13" i="9" s="1" a="1"/>
  <c r="S13" i="9" s="1"/>
  <c r="X19" i="9"/>
  <c r="D35" i="18"/>
  <c r="C11" i="8"/>
  <c r="J35" i="14"/>
  <c r="C12" i="8"/>
  <c r="E35" i="18"/>
  <c r="I35" i="12"/>
  <c r="D35" i="14"/>
  <c r="C10" i="8"/>
  <c r="C37" i="12"/>
  <c r="G13" i="15"/>
  <c r="H60" i="6"/>
  <c r="I60" i="6"/>
  <c r="L41" i="6"/>
  <c r="H13" i="15"/>
  <c r="A5" i="20"/>
  <c r="A12" i="21"/>
  <c r="B12" i="21"/>
  <c r="A13" i="20"/>
  <c r="A3" i="20"/>
  <c r="A5" i="21"/>
  <c r="B5" i="21"/>
  <c r="A6" i="21"/>
  <c r="B6" i="21"/>
  <c r="W17" i="9"/>
  <c r="B14" i="20" s="1"/>
  <c r="W16" i="9"/>
  <c r="B13" i="20"/>
  <c r="A13" i="21"/>
  <c r="B13" i="21"/>
  <c r="A7" i="20"/>
  <c r="A4" i="20"/>
  <c r="A10" i="21"/>
  <c r="B10" i="21"/>
  <c r="A12" i="20"/>
  <c r="A10" i="20"/>
  <c r="E11" i="9"/>
  <c r="A4" i="21"/>
  <c r="B4" i="21"/>
  <c r="O5" i="9"/>
  <c r="A7" i="21"/>
  <c r="B7" i="21"/>
  <c r="A11" i="20"/>
  <c r="A3" i="21"/>
  <c r="B3" i="21"/>
  <c r="A9" i="20"/>
  <c r="A11" i="21"/>
  <c r="B11" i="21"/>
  <c r="A8" i="21"/>
  <c r="B8" i="21"/>
  <c r="A9" i="21"/>
  <c r="B9" i="21"/>
  <c r="A8" i="20"/>
  <c r="A6" i="20"/>
  <c r="A14" i="20"/>
  <c r="H34" i="1"/>
  <c r="H26" i="1"/>
  <c r="H55" i="1"/>
  <c r="H64" i="1"/>
  <c r="H17" i="1"/>
  <c r="H16" i="1"/>
  <c r="V18" i="9"/>
  <c r="F44" i="9"/>
  <c r="S5" i="9" a="1"/>
  <c r="S5" i="9"/>
  <c r="J26" i="9"/>
  <c r="K26" i="9" s="1"/>
  <c r="D44" i="9"/>
  <c r="Q5" i="9" a="1"/>
  <c r="Q5" i="9"/>
  <c r="C44" i="9"/>
  <c r="P5" i="9" a="1"/>
  <c r="P5" i="9" s="1"/>
  <c r="E44" i="9"/>
  <c r="R5" i="9" a="1"/>
  <c r="R5" i="9" s="1"/>
  <c r="V17" i="9"/>
  <c r="C12" i="9"/>
  <c r="I34" i="9"/>
  <c r="K34" i="9"/>
  <c r="V16" i="9"/>
  <c r="X16" i="9"/>
  <c r="C13" i="20" s="1"/>
  <c r="I33" i="9"/>
  <c r="K33" i="9"/>
  <c r="I38" i="9"/>
  <c r="K38" i="9"/>
  <c r="I36" i="9"/>
  <c r="K36" i="9"/>
  <c r="I35" i="9"/>
  <c r="K35" i="9"/>
  <c r="K31" i="9"/>
  <c r="I53" i="9"/>
  <c r="K53" i="9" s="1"/>
  <c r="I28" i="9"/>
  <c r="K28" i="9"/>
  <c r="I37" i="9"/>
  <c r="K37" i="9"/>
  <c r="U14" i="9" a="1"/>
  <c r="U14" i="9" s="1"/>
  <c r="I30" i="9"/>
  <c r="K30" i="9"/>
  <c r="I45" i="9"/>
  <c r="K45" i="9"/>
  <c r="X18" i="9"/>
  <c r="C16" i="9"/>
  <c r="E16" i="9"/>
  <c r="E13" i="9"/>
  <c r="C13" i="9"/>
  <c r="E7" i="9"/>
  <c r="C7" i="9"/>
  <c r="I29" i="9"/>
  <c r="K29" i="9"/>
  <c r="C14" i="9"/>
  <c r="E14" i="9"/>
  <c r="E9" i="9" a="1"/>
  <c r="E9" i="9" s="1"/>
  <c r="C9" i="9"/>
  <c r="E5" i="9"/>
  <c r="C5" i="9"/>
  <c r="C6" i="9"/>
  <c r="E6" i="9"/>
  <c r="I27" i="9"/>
  <c r="K27" i="9"/>
  <c r="C8" i="9"/>
  <c r="E8" i="9"/>
  <c r="I32" i="9"/>
  <c r="K32" i="9"/>
  <c r="E10" i="9"/>
  <c r="C10" i="9"/>
  <c r="C14" i="19" a="1"/>
  <c r="C14" i="19" s="1"/>
  <c r="D26" i="9" a="1"/>
  <c r="D26" i="9"/>
  <c r="C26" i="9" a="1"/>
  <c r="C26" i="9"/>
  <c r="B4" i="9"/>
  <c r="G26" i="9" a="1"/>
  <c r="G26" i="9"/>
  <c r="F26" i="9" a="1"/>
  <c r="F26" i="9"/>
  <c r="H26" i="9" a="1"/>
  <c r="H26" i="9"/>
  <c r="E26" i="9" a="1"/>
  <c r="E26" i="9"/>
  <c r="H44" i="9"/>
  <c r="U5" i="9" a="1"/>
  <c r="U5" i="9" s="1"/>
  <c r="J44" i="9"/>
  <c r="W5" i="9"/>
  <c r="B2" i="20" s="1"/>
  <c r="C12" i="19" a="1"/>
  <c r="C12" i="19" s="1"/>
  <c r="E15" i="9"/>
  <c r="C15" i="9"/>
  <c r="D2" i="17"/>
  <c r="C12" i="10" s="1"/>
  <c r="G46" i="9"/>
  <c r="I46" i="9" s="1"/>
  <c r="K46" i="9" s="1"/>
  <c r="T13" i="9" a="1"/>
  <c r="T13" i="9" s="1"/>
  <c r="J2" i="1" a="1"/>
  <c r="J2" i="1"/>
  <c r="T5" i="9" a="1"/>
  <c r="T5" i="9"/>
  <c r="V5" i="9" s="1"/>
  <c r="X5" i="9" s="1"/>
  <c r="C2" i="20" s="1"/>
  <c r="I47" i="9"/>
  <c r="K47" i="9"/>
  <c r="T8" i="9" a="1"/>
  <c r="T8" i="9" s="1"/>
  <c r="V8" i="9" s="1"/>
  <c r="X8" i="9" s="1"/>
  <c r="C5" i="20" s="1"/>
  <c r="I54" i="9"/>
  <c r="K54" i="9" s="1"/>
  <c r="F48" i="9"/>
  <c r="S9" i="9" a="1"/>
  <c r="S9" i="9" s="1"/>
  <c r="I13" i="1"/>
  <c r="J13" i="1" s="1" a="1"/>
  <c r="J13" i="1" s="1"/>
  <c r="G48" i="9"/>
  <c r="T9" i="9" s="1" a="1"/>
  <c r="T9" i="9" s="1"/>
  <c r="V9" i="9" s="1"/>
  <c r="X9" i="9" s="1"/>
  <c r="C6" i="20" s="1"/>
  <c r="F35" i="18"/>
  <c r="C9" i="8"/>
  <c r="C14" i="8"/>
  <c r="C4" i="10"/>
  <c r="C15" i="10"/>
  <c r="C17" i="10"/>
  <c r="A2" i="20"/>
  <c r="A2" i="21"/>
  <c r="B2" i="21"/>
  <c r="I44" i="9"/>
  <c r="K44" i="9" s="1"/>
  <c r="I26" i="9"/>
  <c r="C20" i="9"/>
  <c r="I104" i="1" a="1"/>
  <c r="I104" i="1" s="1"/>
  <c r="C4" i="9"/>
  <c r="E4" i="9"/>
  <c r="I48" i="9"/>
  <c r="K48" i="9" s="1"/>
  <c r="T7" i="9" a="1"/>
  <c r="T7" i="9" s="1"/>
  <c r="V7" i="9" s="1"/>
  <c r="X7" i="9" s="1"/>
  <c r="C4" i="20" s="1"/>
  <c r="N5" i="17"/>
  <c r="N7" i="17" s="1"/>
  <c r="D284" i="17"/>
  <c r="K5" i="17" s="1"/>
  <c r="K6" i="17" s="1"/>
  <c r="C2" i="2"/>
  <c r="E14" i="19" l="1"/>
  <c r="E12" i="19"/>
  <c r="D2" i="2"/>
  <c r="C19" i="10"/>
  <c r="P7" i="17"/>
  <c r="X15" i="9"/>
  <c r="C12" i="20" s="1"/>
  <c r="B9" i="20"/>
  <c r="E18" i="19" a="1"/>
  <c r="E18" i="19" s="1"/>
  <c r="V11" i="9"/>
  <c r="X11" i="9" s="1"/>
  <c r="C8" i="20" s="1"/>
  <c r="V14" i="9"/>
  <c r="X14" i="9" s="1"/>
  <c r="C11" i="20" s="1"/>
  <c r="K104" i="1"/>
  <c r="V13" i="9"/>
  <c r="X13" i="9" s="1"/>
  <c r="C10" i="20" s="1"/>
  <c r="E16" i="19"/>
  <c r="I50" i="9"/>
  <c r="K50" i="9" s="1"/>
  <c r="T12" i="9" a="1"/>
  <c r="T12" i="9" s="1"/>
  <c r="V12" i="9" s="1"/>
  <c r="X12" i="9" s="1"/>
  <c r="T10" i="9" a="1"/>
  <c r="T10" i="9" s="1"/>
  <c r="V10" i="9" s="1"/>
  <c r="X10" i="9" s="1"/>
  <c r="C7" i="20" s="1"/>
  <c r="F284" i="17"/>
  <c r="X17" i="9"/>
  <c r="E20" i="19" l="1" a="1"/>
  <c r="E20" i="19" s="1"/>
  <c r="C9" i="20"/>
  <c r="C22" i="9"/>
  <c r="C3" i="1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<sst xmlns="http://schemas.openxmlformats.org/spreadsheetml/2006/main" count="1528" uniqueCount="347">
  <si>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</si>
  <si>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</si>
  <si>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</si>
  <si>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</si>
  <si>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</si>
  <si>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</si>
  <si>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</si>
  <si>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</si>
  <si>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</si>
  <si>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</si>
  <si>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</si>
  <si>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</si>
  <si>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</si>
  <si>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</si>
  <si>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</si>
  <si>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</si>
  <si>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</si>
  <si>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</si>
  <si>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</si>
  <si>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</si>
  <si>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</si>
  <si>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</si>
  <si>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</si>
  <si>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</si>
  <si>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</si>
  <si>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</si>
  <si>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</si>
  <si>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</si>
  <si>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</si>
  <si>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</si>
  <si>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</si>
  <si>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</si>
  <si>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</si>
  <si>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</si>
  <si>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</si>
  <si>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</si>
  <si>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</si>
  <si>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</si>
  <si>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</si>
  <si>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</si>
  <si>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</si>
  <si>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</si>
  <si>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</si>
  <si>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</si>
  <si>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</si>
  <si>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</si>
  <si>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</si>
  <si>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</si>
  <si>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</si>
  <si>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</si>
  <si>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</si>
  <si>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</si>
  <si>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</si>
  <si>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</si>
  <si>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</si>
  <si>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</si>
  <si>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</si>
  <si>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</si>
  <si>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</si>
  <si>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</si>
  <si>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</si>
  <si>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</si>
  <si>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</si>
  <si>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</si>
  <si>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</si>
  <si>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</si>
  <si>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</si>
  <si>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</si>
  <si>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</si>
  <si>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</si>
  <si>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</si>
  <si>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</si>
  <si>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</si>
  <si>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</si>
  <si>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</si>
  <si>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</si>
  <si>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</si>
  <si>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</si>
  <si>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</si>
  <si>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</si>
  <si>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</si>
  <si>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</si>
  <si>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</si>
  <si>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</si>
  <si>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</si>
  <si>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</si>
  <si>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</si>
  <si>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</si>
  <si>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</si>
  <si>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</si>
  <si>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</si>
  <si>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</si>
  <si>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</si>
  <si>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</si>
  <si>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</si>
  <si>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</si>
  <si>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</si>
  <si>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</si>
  <si>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</si>
  <si>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</si>
  <si>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</si>
  <si>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</si>
  <si>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</si>
  <si>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</si>
  <si>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</si>
  <si>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</si>
  <si>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</si>
  <si>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</si>
  <si>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</si>
  <si>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</si>
  <si>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</si>
  <si>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</si>
  <si>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</si>
  <si>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</si>
  <si>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</si>
  <si>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</si>
  <si>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</si>
  <si>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</si>
  <si>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</si>
  <si>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</si>
  <si>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</si>
  <si>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</si>
  <si>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</si>
  <si>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</si>
  <si>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</si>
  <si>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</si>
  <si>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</si>
  <si>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</si>
  <si>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</si>
  <si>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</si>
  <si>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</si>
  <si>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</si>
  <si>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</si>
  <si>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</si>
  <si>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</si>
  <si>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</si>
  <si>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</si>
  <si>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</si>
  <si>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</si>
  <si>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</si>
  <si>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</si>
  <si>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</si>
  <si>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</si>
  <si>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</si>
  <si>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</si>
  <si>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</si>
  <si>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</si>
  <si>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</si>
  <si>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</si>
  <si>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</si>
  <si>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</si>
  <si>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</si>
  <si>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</si>
  <si>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</si>
  <si>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</si>
  <si>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</si>
  <si>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</si>
  <si>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</si>
  <si>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</si>
  <si>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</si>
  <si>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</si>
  <si>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</si>
  <si>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</si>
  <si>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</si>
  <si>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</si>
  <si>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</si>
  <si>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</si>
  <si>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</si>
  <si>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</si>
  <si>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</si>
  <si>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</si>
  <si>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</si>
  <si>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</si>
  <si>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</si>
  <si>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</si>
  <si>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</si>
  <si>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</si>
  <si>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</si>
  <si>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</si>
  <si>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</si>
  <si>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</si>
  <si>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</si>
  <si>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</si>
  <si>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</si>
  <si>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</si>
  <si>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</si>
  <si>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</si>
  <si>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</si>
  <si>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</si>
  <si>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</si>
  <si>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</si>
  <si>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</si>
  <si>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</si>
  <si>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</si>
  <si>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</si>
  <si>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</si>
  <si>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</si>
  <si>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</si>
  <si>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</si>
  <si>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</si>
  <si>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</si>
  <si>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</si>
  <si>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</si>
  <si>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</si>
  <si>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</si>
  <si>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</si>
  <si>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</si>
  <si>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</si>
  <si>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</si>
  <si>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</si>
  <si>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</si>
  <si>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</si>
  <si>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</si>
  <si>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</si>
  <si>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</si>
  <si>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</si>
  <si>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</si>
  <si>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</si>
  <si>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</si>
  <si>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</si>
  <si>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</si>
  <si>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</si>
  <si>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</si>
  <si>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</si>
  <si>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</si>
  <si>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</si>
  <si>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</si>
  <si>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</si>
  <si>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</si>
  <si>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</si>
  <si>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</si>
  <si>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</si>
  <si>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</si>
  <si>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</si>
  <si>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</si>
  <si>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</si>
  <si>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</si>
  <si>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</si>
  <si>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</si>
  <si>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</si>
  <si>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</si>
  <si>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</si>
  <si>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</si>
  <si>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</si>
  <si>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</si>
  <si>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</si>
  <si>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</si>
  <si>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</si>
  <si>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</si>
  <si>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</si>
  <si>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</si>
  <si>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</si>
  <si>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</si>
  <si>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</si>
  <si>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</si>
  <si>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</si>
  <si>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</si>
  <si>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</si>
  <si>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</si>
  <si>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</si>
  <si>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</si>
  <si>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</si>
  <si>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</si>
  <si>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</si>
  <si>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</si>
  <si>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</si>
  <si>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</si>
  <si>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</si>
  <si>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</si>
  <si>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</si>
  <si>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</si>
  <si>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</si>
  <si>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</si>
  <si>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</si>
  <si>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</si>
  <si>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</si>
  <si>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</si>
  <si>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</si>
  <si>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</si>
  <si>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</si>
  <si>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</si>
  <si>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</si>
  <si>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</si>
  <si>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</si>
  <si>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</si>
  <si>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</si>
  <si>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</si>
  <si>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</si>
  <si>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</si>
  <si>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</si>
  <si>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</si>
  <si>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</si>
  <si>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</si>
  <si>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</si>
  <si>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</si>
  <si>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</si>
  <si>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</si>
  <si>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</si>
  <si>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</si>
  <si>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</si>
  <si>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</si>
  <si>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</si>
  <si>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</si>
  <si>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</si>
  <si>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</si>
  <si>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</si>
  <si>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</si>
  <si>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</si>
  <si>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</si>
  <si>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</si>
  <si>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</si>
  <si>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</si>
  <si>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</si>
  <si>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</si>
  <si>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</si>
  <si>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</si>
  <si>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</si>
  <si>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</si>
  <si>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</si>
  <si>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</si>
  <si>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</si>
  <si>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</si>
  <si>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</si>
  <si>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</si>
  <si>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</si>
  <si>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</si>
  <si>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</si>
  <si>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</si>
  <si>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</si>
  <si>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</si>
  <si>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</si>
  <si>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</si>
  <si>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</si>
  <si>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</si>
  <si>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</si>
  <si>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</si>
  <si>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</si>
  <si>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</si>
  <si>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</si>
  <si>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</si>
  <si>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</si>
  <si>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TID:411497</t>
  </si>
  <si>
    <t>clip karaya</t>
  </si>
  <si>
    <t>petrol//bike</t>
  </si>
  <si>
    <t>TID:091160491058</t>
  </si>
  <si>
    <t>Malik zaheer wood</t>
  </si>
  <si>
    <t>challan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</si>
</sst>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cellXfs>
  <cellStyles count="2">
    <cellStyle name="Comma" xfId="1" builtinId="3"/>
    <cellStyle name="Normal" xfId="0" builtinId="0"/>
  </cellStyles>
  <dxfs count="127">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1003704</xdr:colOff>
      <xdr:row>110</xdr:row>
      <xdr:rowOff>2672</xdr:rowOff>
    </xdr:from>
    <xdr:to>
      <xdr:col>16</xdr:col>
      <xdr:colOff>59107</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398066</xdr:colOff>
      <xdr:row>25</xdr:row>
      <xdr:rowOff>144562</xdr:rowOff>
    </xdr:from>
    <xdr:to>
      <xdr:col>15</xdr:col>
      <xdr:colOff>220425</xdr:colOff>
      <xdr:row>37</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4.137754513889"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820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4.137755208336" createdVersion="8" refreshedVersion="8" minRefreshableVersion="3" recordCount="102"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d v="2025-10-03T00:00:00"/>
        <d v="2025-10-02T00:00:00" u="1"/>
        <d v="2025-10-04T00:00:00" u="1"/>
        <d v="2025-10-05T00:00:00" u="1"/>
        <d v="2025-10-06T00:00:00" u="1"/>
        <d v="2025-10-07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0">
        <s v="BSC"/>
        <s v="Ejaz Sahab"/>
        <s v="Arshad"/>
        <s v="Shehzad Kamoki"/>
        <s v="Sufi Nawaz Sahab"/>
        <s v="Sajad Khan"/>
        <s v="Raaz Fabrics"/>
        <s v="Azam"/>
        <s v="Ubaidullah"/>
        <s v="Ashraf Zia"/>
        <s v="Hafiz Qureshi"/>
        <s v="Badshah Fabrics"/>
        <s v="Reject"/>
        <m u="1"/>
        <s v="YING" u="1"/>
        <s v="Meow" u="1"/>
        <s v="Umer Sb" u="1"/>
        <s v="-" u="1"/>
        <s v="Sajjad" u="1"/>
        <s v="Haji Ejaz" u="1"/>
      </sharedItems>
    </cacheField>
    <cacheField name="Bill Number" numFmtId="0">
      <sharedItems containsMixedTypes="1" containsNumber="1" containsInteger="1" minValue="604" maxValue="920" count="308">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58">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92.408696713414798"/>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4.137756249998" createdVersion="8" refreshedVersion="8" minRefreshableVersion="3" recordCount="56" xr:uid="{3E5C2981-ACF5-44A9-8567-B1D65DB3A8D2}">
  <cacheSource type="worksheet">
    <worksheetSource name="Table3"/>
  </cacheSource>
  <cacheFields count="9">
    <cacheField name="Date" numFmtId="14">
      <sharedItems containsNonDate="0" containsDate="1" containsString="0" containsBlank="1" minDate="2025-05-02T00:00:00" maxDate="2025-10-04T00:00:00" count="70">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m/>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6">
        <s v="Malik Zaheer"/>
        <s v="Aqib"/>
        <s v="Rafaqat"/>
        <s v="Kaleem ullah"/>
        <m/>
        <s v="Aqib Freight" u="1"/>
      </sharedItems>
    </cacheField>
    <cacheField name="Vehicle Number" numFmtId="0">
      <sharedItems containsBlank="1" containsMixedTypes="1" containsNumber="1" containsInteger="1" minValue="31" maxValue="9940" count="63">
        <s v="Closing Balance CF"/>
        <n v="112"/>
        <n v="1435"/>
        <m/>
        <n v="4646"/>
        <n v="1196"/>
        <n v="4366"/>
        <n v="442"/>
        <n v="6613"/>
        <n v="4095"/>
        <n v="3229"/>
        <n v="162"/>
        <n v="8141"/>
        <n v="5560"/>
        <n v="685"/>
        <n v="571"/>
        <n v="160"/>
        <s v="KBI 112"/>
        <s v="LES 5974"/>
        <s v="LES 8168"/>
        <s v="TAD 074"/>
        <s v="GAK 9902"/>
        <s v="E 9399"/>
        <n v="3414"/>
        <s v="LES 3220"/>
        <s v="TKL 364"/>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29370"/>
    </cacheField>
    <cacheField name="balance" numFmtId="164">
      <sharedItems containsSemiMixedTypes="0" containsString="0" containsNumber="1" containsInteger="1" minValue="-296250"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4.137756597222"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4.137756828706"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4">
        <s v="BSC"/>
        <s v="Ejaz Sahab"/>
        <s v="Arshad"/>
        <s v="Shehzad Kamoki"/>
        <s v="Sufi Nawaz Sahab"/>
        <s v="Sajad Khan"/>
        <s v="Raaz Fabrics"/>
        <s v="Azam"/>
        <s v="Ubaidullah"/>
        <s v="Ashraf Zia"/>
        <s v="Hafiz Qureshi"/>
        <s v="Badshah Fabrics"/>
        <s v="Reject"/>
        <n v="0" u="1"/>
      </sharedItems>
    </cacheField>
    <cacheField name="Tiyaar" numFmtId="1">
      <sharedItems containsSemiMixedTypes="0" containsString="0" containsNumber="1" minValue="0" maxValue="343963.05779078277"/>
    </cacheField>
    <cacheField name="Rate" numFmtId="0">
      <sharedItems containsString="0" containsBlank="1" containsNumber="1" minValue="10" maxValue="12"/>
    </cacheField>
    <cacheField name="Total" numFmtId="164">
      <sharedItems containsSemiMixedTypes="0" containsString="0" containsNumber="1" minValue="0" maxValue="3702314.3745427947"/>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4.137757060184" createdVersion="8" refreshedVersion="8" minRefreshableVersion="3" recordCount="255" xr:uid="{B5BDFB73-D93A-4A7A-8149-666BC190B09B}">
  <cacheSource type="worksheet">
    <worksheetSource name="Table14"/>
  </cacheSource>
  <cacheFields count="7">
    <cacheField name="Date" numFmtId="14">
      <sharedItems containsSemiMixedTypes="0" containsNonDate="0" containsDate="1" containsString="0" minDate="2025-09-16T00:00:00" maxDate="2025-10-04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ontainsBlank="1"/>
    </cacheField>
    <cacheField name="Withdrawal" numFmtId="0">
      <sharedItems containsString="0" containsBlank="1" containsNumber="1" containsInteger="1" minValue="3000" maxValue="5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0"/>
    <n v="0"/>
    <n v="0"/>
  </r>
  <r>
    <d v="2025-09-30T00:00:00"/>
    <x v="0"/>
    <s v="BP26"/>
    <m/>
    <m/>
    <n v="82000"/>
    <n v="82000"/>
    <n v="0"/>
  </r>
  <r>
    <m/>
    <x v="3"/>
    <m/>
    <m/>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95303218238210263"/>
    <n v="23436.356986100953"/>
    <n v="234363.56986100954"/>
    <m/>
  </r>
  <r>
    <x v="9"/>
    <x v="3"/>
    <x v="38"/>
    <s v="Chamki"/>
    <x v="24"/>
    <n v="9911"/>
    <n v="10710"/>
    <n v="1.1871346276668362"/>
    <n v="9793.3430870519387"/>
    <n v="102830.10241404535"/>
    <m/>
  </r>
  <r>
    <x v="10"/>
    <x v="0"/>
    <x v="39"/>
    <s v="Chamki"/>
    <x v="23"/>
    <n v="32916"/>
    <n v="10161"/>
    <n v="-0.95303218238210263"/>
    <n v="9291.331382589613"/>
    <n v="92913.313825896126"/>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r>
    <x v="13"/>
    <x v="11"/>
    <x v="70"/>
    <s v="Silky"/>
    <x v="41"/>
    <n v="14459"/>
    <n v="15367"/>
    <n v="2.8165456162325171"/>
    <n v="14051.755669348941"/>
    <n v="168621.06803218729"/>
    <m/>
  </r>
  <r>
    <x v="13"/>
    <x v="12"/>
    <x v="71"/>
    <m/>
    <x v="0"/>
    <m/>
    <m/>
    <e v="#DIV/0!"/>
    <n v="0"/>
    <m/>
    <m/>
  </r>
  <r>
    <x v="13"/>
    <x v="1"/>
    <x v="72"/>
    <s v="Silky"/>
    <x v="42"/>
    <n v="15029"/>
    <n v="8722"/>
    <n v="0.87440312299413847"/>
    <n v="7975.4937820043897"/>
    <n v="95705.92538405268"/>
    <m/>
  </r>
  <r>
    <x v="13"/>
    <x v="1"/>
    <x v="73"/>
    <s v="Silky"/>
    <x v="42"/>
    <n v="15029"/>
    <n v="7570"/>
    <n v="0.87440312299413847"/>
    <n v="6922.0921726408196"/>
    <n v="83065.106071689836"/>
    <m/>
  </r>
  <r>
    <x v="13"/>
    <x v="4"/>
    <x v="74"/>
    <s v="Chamki"/>
    <x v="43"/>
    <n v="12128"/>
    <n v="6580"/>
    <n v="50.388974566342334"/>
    <n v="6016.8251645940018"/>
    <n v="54151.426481346018"/>
    <m/>
  </r>
  <r>
    <x v="14"/>
    <x v="3"/>
    <x v="75"/>
    <s v="Chamki"/>
    <x v="44"/>
    <n v="3889"/>
    <n v="4202"/>
    <n v="1.1993951390290363"/>
    <n v="3842.3555230431607"/>
    <n v="40344.732991953184"/>
    <m/>
  </r>
  <r>
    <x v="14"/>
    <x v="0"/>
    <x v="76"/>
    <s v="Chamki"/>
    <x v="45"/>
    <n v="16003"/>
    <n v="12967"/>
    <n v="0.28501879745390113"/>
    <n v="11857.168983174837"/>
    <n v="118571.68983174837"/>
    <m/>
  </r>
  <r>
    <x v="14"/>
    <x v="10"/>
    <x v="77"/>
    <s v="Chamki"/>
    <x v="46"/>
    <n v="25001"/>
    <n v="15228"/>
    <n v="1.0134693368666063"/>
    <n v="13924.65252377469"/>
    <n v="139246.52523774689"/>
    <m/>
  </r>
  <r>
    <x v="14"/>
    <x v="0"/>
    <x v="78"/>
    <s v="Chamki"/>
    <x v="47"/>
    <n v="25814"/>
    <n v="16294"/>
    <n v="-0.55901004479235894"/>
    <n v="14899.414776883688"/>
    <n v="148994.14776883688"/>
    <m/>
  </r>
  <r>
    <x v="14"/>
    <x v="4"/>
    <x v="79"/>
    <s v="Chamki"/>
    <x v="48"/>
    <n v="20007"/>
    <n v="13202"/>
    <n v="39.660840724766075"/>
    <n v="12072.055596196051"/>
    <n v="108648.50036576446"/>
    <m/>
  </r>
  <r>
    <x v="14"/>
    <x v="0"/>
    <x v="80"/>
    <s v="Chamki"/>
    <x v="45"/>
    <n v="16003"/>
    <n v="4484"/>
    <n v="0.28501879745390113"/>
    <n v="4100.2194586686173"/>
    <n v="41002.194586686172"/>
    <m/>
  </r>
  <r>
    <x v="14"/>
    <x v="0"/>
    <x v="81"/>
    <s v="Chamki"/>
    <x v="47"/>
    <n v="25814"/>
    <n v="12094"/>
    <n v="-0.55901004479235894"/>
    <n v="11058.888076079005"/>
    <n v="110588.88076079005"/>
    <m/>
  </r>
  <r>
    <x v="14"/>
    <x v="10"/>
    <x v="82"/>
    <s v="Chamki"/>
    <x v="46"/>
    <n v="25001"/>
    <n v="11836"/>
    <n v="1.0134693368666063"/>
    <n v="10822.970007315291"/>
    <n v="108229.70007315291"/>
    <m/>
  </r>
  <r>
    <x v="14"/>
    <x v="0"/>
    <x v="83"/>
    <s v="Chamki"/>
    <x v="49"/>
    <n v="30174"/>
    <n v="2505"/>
    <n v="92.408696713414798"/>
    <n v="2290.5998536942211"/>
    <n v="22905.99853694221"/>
    <m/>
  </r>
  <r>
    <x v="15"/>
    <x v="4"/>
    <x v="84"/>
    <s v="Chamki"/>
    <x v="48"/>
    <n v="20007"/>
    <n v="8464"/>
    <n v="39.660840724766075"/>
    <n v="7739.5757132406734"/>
    <n v="69656.181419166067"/>
    <m/>
  </r>
  <r>
    <x v="15"/>
    <x v="0"/>
    <x v="85"/>
    <s v="Chamki"/>
    <x v="49"/>
    <n v="30174"/>
    <n v="27378"/>
    <n v="92.408696713414798"/>
    <n v="25034.747622531093"/>
    <n v="250347.47622531094"/>
    <m/>
  </r>
  <r>
    <x v="15"/>
    <x v="0"/>
    <x v="86"/>
    <s v="Chamki"/>
    <x v="50"/>
    <n v="21113"/>
    <n v="2122"/>
    <s v="NF"/>
    <n v="1940.3803950256038"/>
    <n v="19403.803950256039"/>
    <m/>
  </r>
  <r>
    <x v="15"/>
    <x v="5"/>
    <x v="87"/>
    <s v="Chamki"/>
    <x v="51"/>
    <n v="56411"/>
    <n v="5121"/>
    <s v="NF"/>
    <n v="4682.6993416239948"/>
    <n v="46826.993416239944"/>
    <m/>
  </r>
  <r>
    <x v="15"/>
    <x v="5"/>
    <x v="88"/>
    <s v="Chamki"/>
    <x v="51"/>
    <n v="56411"/>
    <n v="40366"/>
    <s v="NF"/>
    <n v="36911.119239209955"/>
    <n v="369111.19239209953"/>
    <m/>
  </r>
  <r>
    <x v="15"/>
    <x v="0"/>
    <x v="89"/>
    <s v="Chamki"/>
    <x v="49"/>
    <n v="30174"/>
    <n v="1976"/>
    <n v="92.408696713414798"/>
    <n v="1806.8763716166791"/>
    <n v="18068.763716166792"/>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4"/>
    <x v="3"/>
    <m/>
    <m/>
    <m/>
    <n v="0"/>
    <m/>
    <n v="0"/>
  </r>
  <r>
    <x v="18"/>
    <x v="4"/>
    <x v="3"/>
    <m/>
    <m/>
    <m/>
    <n v="0"/>
    <m/>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211907.461594733"/>
    <n v="10"/>
    <n v="2119458.6686174106"/>
  </r>
  <r>
    <x v="1"/>
    <n v="42778.895391367965"/>
    <n v="10"/>
    <n v="457584.12582297006"/>
  </r>
  <r>
    <x v="2"/>
    <n v="44059.985369422095"/>
    <n v="10"/>
    <n v="470188.36869056337"/>
  </r>
  <r>
    <x v="3"/>
    <n v="13635.6986100951"/>
    <n v="10.5"/>
    <n v="143174.83540599854"/>
  </r>
  <r>
    <x v="4"/>
    <n v="343963.05779078277"/>
    <n v="10"/>
    <n v="3702314.3745427947"/>
  </r>
  <r>
    <x v="5"/>
    <n v="116627.6517922458"/>
    <n v="10"/>
    <n v="1166276.517922458"/>
  </r>
  <r>
    <x v="6"/>
    <n v="23509.509875640091"/>
    <n v="10"/>
    <n v="235095.09875640093"/>
  </r>
  <r>
    <x v="7"/>
    <n v="96059.802487198249"/>
    <n v="10"/>
    <n v="960598.02487198252"/>
  </r>
  <r>
    <x v="8"/>
    <n v="15599.853694220923"/>
    <n v="10"/>
    <n v="155998.53694220923"/>
  </r>
  <r>
    <x v="9"/>
    <n v="0"/>
    <n v="12"/>
    <n v="0"/>
  </r>
  <r>
    <x v="10"/>
    <n v="24747.622531089979"/>
    <m/>
    <n v="247476.22531089978"/>
  </r>
  <r>
    <x v="11"/>
    <n v="128383.32114118509"/>
    <m/>
    <n v="1372172.6408193125"/>
  </r>
  <r>
    <x v="12"/>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5">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3T00:00:00"/>
    <x v="28"/>
    <m/>
    <m/>
    <m/>
    <m/>
    <m/>
  </r>
  <r>
    <d v="2025-10-03T00:00:00"/>
    <x v="28"/>
    <m/>
    <m/>
    <m/>
    <m/>
    <m/>
  </r>
  <r>
    <d v="2025-10-03T00:00:00"/>
    <x v="28"/>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5">
        <item x="2"/>
        <item x="0"/>
        <item x="1"/>
        <item x="3"/>
        <item m="1" x="13"/>
        <item x="4"/>
        <item x="5"/>
        <item x="6"/>
        <item x="10"/>
        <item x="8"/>
        <item x="9"/>
        <item x="7"/>
        <item x="11"/>
        <item x="12"/>
        <item t="default"/>
      </items>
    </pivotField>
    <pivotField dataField="1" showAll="0"/>
    <pivotField showAll="0"/>
    <pivotField dataField="1" showAll="0"/>
  </pivotFields>
  <rowFields count="1">
    <field x="0"/>
  </rowFields>
  <rowItems count="14">
    <i>
      <x/>
    </i>
    <i>
      <x v="1"/>
    </i>
    <i>
      <x v="2"/>
    </i>
    <i>
      <x v="3"/>
    </i>
    <i>
      <x v="5"/>
    </i>
    <i>
      <x v="6"/>
    </i>
    <i>
      <x v="7"/>
    </i>
    <i>
      <x v="8"/>
    </i>
    <i>
      <x v="9"/>
    </i>
    <i>
      <x v="10"/>
    </i>
    <i>
      <x v="11"/>
    </i>
    <i>
      <x v="12"/>
    </i>
    <i>
      <x v="13"/>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38:K155"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6"/>
        <item x="15"/>
        <item m="1" x="17"/>
        <item m="1" x="18"/>
        <item m="1" x="19"/>
        <item m="1" x="20"/>
        <item m="1" x="21"/>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7">
    <i>
      <x v="18"/>
    </i>
    <i>
      <x v="41"/>
    </i>
    <i>
      <x v="42"/>
    </i>
    <i>
      <x v="43"/>
    </i>
    <i>
      <x v="44"/>
    </i>
    <i>
      <x v="45"/>
    </i>
    <i>
      <x v="46"/>
    </i>
    <i>
      <x v="47"/>
    </i>
    <i>
      <x v="48"/>
    </i>
    <i>
      <x v="49"/>
    </i>
    <i>
      <x v="50"/>
    </i>
    <i>
      <x v="51"/>
    </i>
    <i>
      <x v="52"/>
    </i>
    <i>
      <x v="53"/>
    </i>
    <i>
      <x v="54"/>
    </i>
    <i>
      <x v="5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38:G229"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6"/>
        <item x="15"/>
        <item m="1" x="17"/>
        <item m="1" x="18"/>
        <item m="1" x="19"/>
        <item m="1" x="20"/>
        <item m="1" x="21"/>
        <item m="1" x="22"/>
        <item m="1" x="23"/>
        <item t="default"/>
      </items>
    </pivotField>
    <pivotField axis="axisPage" multipleItemSelectionAllowed="1" showAll="0">
      <items count="21">
        <item x="2"/>
        <item x="0"/>
        <item m="1" x="19"/>
        <item x="6"/>
        <item m="1" x="18"/>
        <item m="1" x="17"/>
        <item m="1" x="16"/>
        <item x="1"/>
        <item x="3"/>
        <item m="1" x="15"/>
        <item x="4"/>
        <item m="1" x="14"/>
        <item m="1" x="13"/>
        <item x="5"/>
        <item x="10"/>
        <item x="8"/>
        <item x="9"/>
        <item x="7"/>
        <item x="11"/>
        <item x="12"/>
        <item t="default"/>
      </items>
    </pivotField>
    <pivotField axis="axisRow" numFmtId="164" showAll="0">
      <items count="30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198"/>
        <item m="1" x="199"/>
        <item m="1" x="200"/>
        <item m="1" x="201"/>
        <item m="1" x="202"/>
        <item m="1" x="203"/>
        <item m="1" x="204"/>
        <item m="1" x="205"/>
        <item m="1" x="206"/>
        <item m="1" x="207"/>
        <item m="1" x="208"/>
        <item m="1" x="209"/>
        <item m="1" x="210"/>
        <item m="1" x="211"/>
        <item m="1" x="212"/>
        <item m="1" x="213"/>
        <item m="1" x="214"/>
        <item m="1" x="215"/>
        <item m="1" x="244"/>
        <item m="1" x="216"/>
        <item m="1" x="217"/>
        <item m="1" x="218"/>
        <item m="1" x="219"/>
        <item m="1" x="220"/>
        <item m="1" x="221"/>
        <item m="1" x="233"/>
        <item m="1" x="222"/>
        <item m="1" x="223"/>
        <item m="1" x="224"/>
        <item m="1" x="225"/>
        <item m="1" x="226"/>
        <item m="1" x="227"/>
        <item m="1" x="228"/>
        <item m="1" x="229"/>
        <item m="1" x="230"/>
        <item m="1" x="231"/>
        <item m="1" x="232"/>
        <item m="1" x="234"/>
        <item m="1" x="235"/>
        <item m="1" x="236"/>
        <item m="1" x="237"/>
        <item m="1" x="238"/>
        <item m="1" x="239"/>
        <item m="1" x="240"/>
        <item m="1" x="241"/>
        <item m="1" x="242"/>
        <item m="1" x="243"/>
        <item m="1" x="245"/>
        <item m="1" x="246"/>
        <item m="1" x="247"/>
        <item m="1" x="248"/>
        <item m="1" x="249"/>
        <item m="1" x="250"/>
        <item m="1" x="251"/>
        <item m="1" x="252"/>
        <item m="1" x="253"/>
        <item m="1" x="254"/>
        <item m="1" x="255"/>
        <item m="1" x="256"/>
        <item m="1" x="257"/>
        <item m="1" x="258"/>
        <item m="1" x="259"/>
        <item m="1" x="90"/>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91"/>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8"/>
        <item m="1" x="189"/>
        <item m="1" x="190"/>
        <item m="1" x="187"/>
        <item m="1" x="191"/>
        <item m="1" x="192"/>
        <item m="1" x="193"/>
        <item m="1" x="194"/>
        <item m="1" x="195"/>
        <item m="1" x="196"/>
        <item m="1" x="1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pivotField axis="axisPage" multipleItemSelectionAllowed="1" showAll="0">
      <items count="159">
        <item m="1" x="112"/>
        <item m="1" x="141"/>
        <item m="1" x="142"/>
        <item m="1" x="150"/>
        <item m="1" x="140"/>
        <item m="1" x="139"/>
        <item m="1" x="143"/>
        <item m="1" x="154"/>
        <item m="1" x="146"/>
        <item m="1" x="147"/>
        <item m="1" x="144"/>
        <item m="1" x="145"/>
        <item m="1" x="155"/>
        <item m="1" x="148"/>
        <item m="1" x="149"/>
        <item m="1" x="152"/>
        <item m="1" x="153"/>
        <item m="1" x="151"/>
        <item m="1" x="107"/>
        <item m="1" x="157"/>
        <item m="1" x="106"/>
        <item m="1" x="156"/>
        <item m="1" x="109"/>
        <item m="1" x="108"/>
        <item m="1" x="110"/>
        <item m="1" x="116"/>
        <item m="1" x="111"/>
        <item m="1" x="113"/>
        <item m="1" x="117"/>
        <item m="1" x="118"/>
        <item m="1" x="137"/>
        <item m="1" x="114"/>
        <item m="1" x="115"/>
        <item m="1" x="77"/>
        <item m="1" x="99"/>
        <item m="1" x="138"/>
        <item m="1" x="119"/>
        <item m="1" x="120"/>
        <item m="1" x="121"/>
        <item m="1" x="122"/>
        <item m="1" x="123"/>
        <item m="1" x="53"/>
        <item m="1" x="124"/>
        <item m="1" x="125"/>
        <item m="1" x="126"/>
        <item m="1" x="127"/>
        <item m="1" x="128"/>
        <item m="1" x="129"/>
        <item m="1" x="130"/>
        <item m="1" x="131"/>
        <item m="1" x="132"/>
        <item m="1" x="133"/>
        <item m="1" x="134"/>
        <item m="1" x="135"/>
        <item m="1" x="136"/>
        <item x="0"/>
        <item m="1" x="52"/>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8"/>
        <item m="1" x="79"/>
        <item m="1" x="80"/>
        <item m="1" x="81"/>
        <item m="1" x="82"/>
        <item m="1" x="83"/>
        <item m="1" x="84"/>
        <item m="1" x="85"/>
        <item m="1" x="86"/>
        <item m="1" x="87"/>
        <item m="1" x="88"/>
        <item m="1" x="89"/>
        <item m="1" x="90"/>
        <item m="1" x="91"/>
        <item m="1" x="92"/>
        <item m="1" x="93"/>
        <item m="1" x="94"/>
        <item m="1" x="95"/>
        <item m="1" x="96"/>
        <item m="1" x="97"/>
        <item m="1" x="98"/>
        <item m="1" x="100"/>
        <item m="1" x="101"/>
        <item m="1" x="102"/>
        <item m="1" x="103"/>
        <item m="1" x="104"/>
        <item m="1" x="10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91">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8:I126" firstHeaderRow="0" firstDataRow="1" firstDataCol="1" rowPageCount="1" colPageCount="1"/>
  <pivotFields count="9">
    <pivotField axis="axisRow" numFmtId="14" showAll="0">
      <items count="71">
        <item m="1" x="54"/>
        <item m="1" x="55"/>
        <item m="1" x="56"/>
        <item m="1" x="57"/>
        <item m="1" x="58"/>
        <item m="1" x="59"/>
        <item m="1" x="60"/>
        <item m="1" x="69"/>
        <item m="1" x="50"/>
        <item m="1" x="61"/>
        <item m="1" x="62"/>
        <item m="1" x="63"/>
        <item m="1" x="64"/>
        <item m="1" x="65"/>
        <item m="1" x="66"/>
        <item m="1" x="67"/>
        <item m="1" x="21"/>
        <item m="1" x="22"/>
        <item m="1" x="68"/>
        <item m="1" x="23"/>
        <item m="1" x="20"/>
        <item m="1" x="24"/>
        <item m="1" x="26"/>
        <item m="1" x="27"/>
        <item m="1" x="28"/>
        <item m="1" x="30"/>
        <item m="1" x="31"/>
        <item m="1" x="32"/>
        <item m="1" x="25"/>
        <item m="1" x="29"/>
        <item m="1" x="33"/>
        <item m="1" x="34"/>
        <item m="1" x="35"/>
        <item m="1" x="36"/>
        <item m="1" x="19"/>
        <item m="1" x="37"/>
        <item m="1" x="51"/>
        <item m="1" x="52"/>
        <item m="1" x="53"/>
        <item m="1" x="38"/>
        <item m="1" x="39"/>
        <item m="1" x="40"/>
        <item m="1" x="41"/>
        <item m="1" x="42"/>
        <item m="1" x="43"/>
        <item m="1" x="44"/>
        <item m="1" x="45"/>
        <item m="1" x="46"/>
        <item m="1" x="47"/>
        <item m="1" x="48"/>
        <item m="1" x="49"/>
        <item x="0"/>
        <item x="1"/>
        <item x="2"/>
        <item x="3"/>
        <item x="4"/>
        <item x="5"/>
        <item x="6"/>
        <item x="7"/>
        <item x="9"/>
        <item x="10"/>
        <item x="11"/>
        <item x="8"/>
        <item x="12"/>
        <item x="13"/>
        <item x="14"/>
        <item x="15"/>
        <item x="16"/>
        <item x="17"/>
        <item x="18"/>
        <item t="default"/>
      </items>
    </pivotField>
    <pivotField axis="axisPage" showAll="0">
      <items count="7">
        <item x="1"/>
        <item x="0"/>
        <item x="4"/>
        <item m="1" x="5"/>
        <item x="2"/>
        <item x="3"/>
        <item t="default"/>
      </items>
    </pivotField>
    <pivotField axis="axisRow" showAll="0">
      <items count="64">
        <item m="1" x="53"/>
        <item m="1" x="37"/>
        <item m="1" x="49"/>
        <item x="10"/>
        <item m="1" x="54"/>
        <item m="1" x="55"/>
        <item m="1" x="50"/>
        <item m="1" x="51"/>
        <item m="1" x="52"/>
        <item x="3"/>
        <item m="1" x="30"/>
        <item m="1" x="56"/>
        <item m="1" x="57"/>
        <item m="1" x="58"/>
        <item m="1" x="59"/>
        <item m="1" x="60"/>
        <item m="1" x="61"/>
        <item m="1" x="26"/>
        <item m="1" x="27"/>
        <item m="1" x="62"/>
        <item m="1" x="28"/>
        <item x="0"/>
        <item m="1" x="29"/>
        <item m="1" x="31"/>
        <item m="1" x="32"/>
        <item m="1" x="33"/>
        <item m="1" x="34"/>
        <item m="1" x="35"/>
        <item m="1" x="36"/>
        <item m="1" x="38"/>
        <item m="1" x="39"/>
        <item x="12"/>
        <item m="1" x="40"/>
        <item m="1" x="41"/>
        <item m="1" x="42"/>
        <item x="16"/>
        <item m="1" x="43"/>
        <item m="1" x="44"/>
        <item x="14"/>
        <item m="1" x="45"/>
        <item m="1" x="46"/>
        <item m="1" x="47"/>
        <item m="1" x="48"/>
        <item x="1"/>
        <item x="2"/>
        <item x="4"/>
        <item x="5"/>
        <item x="6"/>
        <item x="7"/>
        <item x="8"/>
        <item x="9"/>
        <item x="11"/>
        <item x="13"/>
        <item x="15"/>
        <item x="17"/>
        <item x="18"/>
        <item x="19"/>
        <item x="20"/>
        <item x="21"/>
        <item x="22"/>
        <item x="23"/>
        <item x="24"/>
        <item x="25"/>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58">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9"/>
    </i>
    <i r="1">
      <x v="55"/>
    </i>
    <i r="1">
      <x v="60"/>
    </i>
    <i>
      <x v="66"/>
    </i>
    <i r="1">
      <x v="56"/>
    </i>
    <i r="1">
      <x v="57"/>
    </i>
    <i>
      <x v="67"/>
    </i>
    <i r="1">
      <x v="9"/>
    </i>
    <i r="1">
      <x v="58"/>
    </i>
    <i r="1">
      <x v="59"/>
    </i>
    <i>
      <x v="68"/>
    </i>
    <i r="1">
      <x v="61"/>
    </i>
    <i r="1">
      <x v="62"/>
    </i>
    <i>
      <x v="69"/>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1">
      <pivotArea dataOnly="0" labelOnly="1" outline="0" fieldPosition="0">
        <references count="1">
          <reference field="1" count="1">
            <x v="1"/>
          </reference>
        </references>
      </pivotArea>
    </format>
    <format dxfId="8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42">
        <item x="7"/>
        <item x="4"/>
        <item x="8"/>
        <item x="26"/>
        <item m="1" x="30"/>
        <item x="18"/>
        <item x="2"/>
        <item x="5"/>
        <item x="11"/>
        <item x="17"/>
        <item x="12"/>
        <item m="1" x="39"/>
        <item x="24"/>
        <item x="9"/>
        <item m="1" x="32"/>
        <item m="1" x="37"/>
        <item x="10"/>
        <item x="19"/>
        <item x="6"/>
        <item x="1"/>
        <item x="28"/>
        <item x="20"/>
        <item m="1" x="40"/>
        <item x="16"/>
        <item x="3"/>
        <item m="1" x="38"/>
        <item m="1" x="29"/>
        <item x="25"/>
        <item m="1" x="31"/>
        <item m="1" x="33"/>
        <item m="1" x="34"/>
        <item m="1" x="35"/>
        <item x="23"/>
        <item m="1" x="36"/>
        <item x="27"/>
        <item x="14"/>
        <item x="13"/>
        <item x="15"/>
        <item x="0"/>
        <item x="21"/>
        <item x="22"/>
        <item t="default"/>
      </items>
    </pivotField>
    <pivotField dataField="1" showAll="0"/>
    <pivotField dataField="1" showAll="0"/>
    <pivotField showAll="0"/>
    <pivotField showAll="0"/>
    <pivotField showAll="0"/>
  </pivotFields>
  <rowFields count="1">
    <field x="1"/>
  </rowFields>
  <rowItems count="30">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6" firstHeaderRow="0" firstDataRow="1" firstDataCol="1" rowPageCount="1" colPageCount="1"/>
  <pivotFields count="14">
    <pivotField showAll="0"/>
    <pivotField axis="axisPage" showAll="0">
      <items count="21">
        <item m="1" x="17"/>
        <item x="2"/>
        <item x="0"/>
        <item x="1"/>
        <item m="1" x="19"/>
        <item m="1" x="15"/>
        <item x="6"/>
        <item m="1" x="18"/>
        <item x="3"/>
        <item x="4"/>
        <item m="1" x="16"/>
        <item m="1" x="14"/>
        <item m="1" x="13"/>
        <item x="5"/>
        <item x="10"/>
        <item x="8"/>
        <item x="9"/>
        <item x="7"/>
        <item x="11"/>
        <item x="12"/>
        <item t="default"/>
      </items>
    </pivotField>
    <pivotField showAll="0"/>
    <pivotField showAll="0"/>
    <pivotField axis="axisRow" showAll="0">
      <items count="159">
        <item m="1" x="141"/>
        <item m="1" x="142"/>
        <item m="1" x="140"/>
        <item m="1" x="139"/>
        <item m="1" x="143"/>
        <item m="1" x="145"/>
        <item m="1" x="144"/>
        <item m="1" x="146"/>
        <item m="1" x="147"/>
        <item m="1" x="148"/>
        <item m="1" x="149"/>
        <item m="1" x="150"/>
        <item m="1" x="151"/>
        <item m="1" x="152"/>
        <item m="1" x="77"/>
        <item m="1" x="99"/>
        <item m="1" x="153"/>
        <item m="1" x="154"/>
        <item m="1" x="155"/>
        <item m="1" x="107"/>
        <item m="1" x="106"/>
        <item m="1" x="156"/>
        <item m="1" x="157"/>
        <item m="1" x="116"/>
        <item m="1" x="108"/>
        <item m="1" x="109"/>
        <item m="1" x="110"/>
        <item m="1" x="111"/>
        <item m="1" x="112"/>
        <item m="1" x="113"/>
        <item m="1" x="114"/>
        <item m="1" x="115"/>
        <item m="1" x="117"/>
        <item m="1" x="137"/>
        <item m="1" x="118"/>
        <item m="1" x="138"/>
        <item m="1" x="119"/>
        <item m="1" x="120"/>
        <item m="1" x="121"/>
        <item m="1" x="122"/>
        <item m="1" x="123"/>
        <item m="1" x="53"/>
        <item m="1" x="124"/>
        <item m="1" x="125"/>
        <item m="1" x="126"/>
        <item m="1" x="127"/>
        <item m="1" x="128"/>
        <item m="1" x="129"/>
        <item m="1" x="130"/>
        <item m="1" x="131"/>
        <item m="1" x="132"/>
        <item m="1" x="133"/>
        <item m="1" x="134"/>
        <item m="1" x="135"/>
        <item m="1" x="136"/>
        <item x="0"/>
        <item m="1" x="52"/>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8"/>
        <item m="1" x="79"/>
        <item m="1" x="80"/>
        <item m="1" x="81"/>
        <item m="1" x="82"/>
        <item m="1" x="83"/>
        <item m="1" x="84"/>
        <item m="1" x="85"/>
        <item m="1" x="86"/>
        <item m="1" x="87"/>
        <item m="1" x="88"/>
        <item m="1" x="89"/>
        <item m="1" x="90"/>
        <item m="1" x="91"/>
        <item m="1" x="92"/>
        <item m="1" x="93"/>
        <item m="1" x="94"/>
        <item m="1" x="95"/>
        <item m="1" x="96"/>
        <item m="1" x="97"/>
        <item m="1" x="98"/>
        <item m="1" x="100"/>
        <item m="1" x="101"/>
        <item m="1" x="102"/>
        <item m="1" x="103"/>
        <item m="1" x="104"/>
        <item m="1" x="10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3">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5">
      <pivotArea type="all" dataOnly="0" outline="0" fieldPosition="0"/>
    </format>
    <format dxfId="14">
      <pivotArea outline="0" collapsedLevelsAreSubtotals="1" fieldPosition="0"/>
    </format>
    <format dxfId="13">
      <pivotArea field="4" type="button" dataOnly="0" labelOnly="1" outline="0" axis="axisRow" fieldPosition="0"/>
    </format>
    <format dxfId="12">
      <pivotArea dataOnly="0" labelOnly="1" fieldPosition="0">
        <references count="1">
          <reference field="4" count="0"/>
        </references>
      </pivotArea>
    </format>
    <format dxfId="11">
      <pivotArea dataOnly="0" labelOnly="1" grandRow="1" outline="0" fieldPosition="0"/>
    </format>
    <format dxfId="10">
      <pivotArea dataOnly="0" labelOnly="1" outline="0" fieldPosition="0">
        <references count="1">
          <reference field="4294967294" count="2">
            <x v="0"/>
            <x v="1"/>
          </reference>
        </references>
      </pivotArea>
    </format>
    <format dxfId="9">
      <pivotArea grandRow="1" outline="0" collapsedLevelsAreSubtotals="1" fieldPosition="0"/>
    </format>
    <format dxfId="8">
      <pivotArea field="4" type="button" dataOnly="0" labelOnly="1" outline="0" axis="axisRow" fieldPosition="0"/>
    </format>
    <format dxfId="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58">
        <i x="10" s="1"/>
        <i x="12" s="1"/>
        <i x="6" s="1"/>
        <i x="9" s="1"/>
        <i x="8" s="1"/>
        <i x="28" s="1"/>
        <i x="33" s="1"/>
        <i x="1" s="1"/>
        <i x="14" s="1"/>
        <i x="5" s="1"/>
        <i x="11" s="1"/>
        <i x="2" s="1"/>
        <i x="43" s="1"/>
        <i x="48" s="1"/>
        <i x="3" s="1"/>
        <i x="4" s="1"/>
        <i x="15" s="1"/>
        <i x="20" s="1"/>
        <i x="29" s="1"/>
        <i x="17" s="1"/>
        <i x="24" s="1"/>
        <i x="21" s="1"/>
        <i x="16" s="1"/>
        <i x="46" s="1"/>
        <i x="25" s="1"/>
        <i x="51" s="1"/>
        <i x="35" s="1"/>
        <i x="34" s="1"/>
        <i x="30" s="1"/>
        <i x="26" s="1"/>
        <i x="27" s="1"/>
        <i x="47" s="1"/>
        <i x="36" s="1"/>
        <i x="37" s="1"/>
        <i x="32" s="1"/>
        <i x="39" s="1"/>
        <i x="40" s="1"/>
        <i x="38" s="1"/>
        <i x="44" s="1"/>
        <i x="41" s="1"/>
        <i x="45" s="1"/>
        <i x="42" s="1"/>
        <i x="49" s="1"/>
        <i x="50" s="1"/>
        <i x="13" s="1"/>
        <i x="19" s="1"/>
        <i x="18" s="1"/>
        <i x="23" s="1"/>
        <i x="31" s="1"/>
        <i x="22" s="1"/>
        <i x="112" s="1" nd="1"/>
        <i x="141" s="1" nd="1"/>
        <i x="142" s="1" nd="1"/>
        <i x="150" s="1" nd="1"/>
        <i x="140" s="1" nd="1"/>
        <i x="139" s="1" nd="1"/>
        <i x="143" s="1" nd="1"/>
        <i x="154" s="1" nd="1"/>
        <i x="146" s="1" nd="1"/>
        <i x="147" s="1" nd="1"/>
        <i x="144" s="1" nd="1"/>
        <i x="145" s="1" nd="1"/>
        <i x="155" s="1" nd="1"/>
        <i x="148" s="1" nd="1"/>
        <i x="149" s="1" nd="1"/>
        <i x="152" s="1" nd="1"/>
        <i x="153" s="1" nd="1"/>
        <i x="151" s="1" nd="1"/>
        <i x="107" s="1" nd="1"/>
        <i x="157" s="1" nd="1"/>
        <i x="106" s="1" nd="1"/>
        <i x="156" s="1" nd="1"/>
        <i x="109" s="1" nd="1"/>
        <i x="70" s="1" nd="1"/>
        <i x="108" s="1" nd="1"/>
        <i x="110" s="1" nd="1"/>
        <i x="116" s="1" nd="1"/>
        <i x="111" s="1" nd="1"/>
        <i x="113" s="1" nd="1"/>
        <i x="129" s="1" nd="1"/>
        <i x="52" s="1" nd="1"/>
        <i x="117" s="1" nd="1"/>
        <i x="57" s="1" nd="1"/>
        <i x="123" s="1" nd="1"/>
        <i x="118" s="1" nd="1"/>
        <i x="121" s="1" nd="1"/>
        <i x="126" s="1" nd="1"/>
        <i x="137" s="1" nd="1"/>
        <i x="119" s="1" nd="1"/>
        <i x="131" s="1" nd="1"/>
        <i x="134" s="1" nd="1"/>
        <i x="125" s="1" nd="1"/>
        <i x="114" s="1" nd="1"/>
        <i x="122" s="1" nd="1"/>
        <i x="115" s="1" nd="1"/>
        <i x="120" s="1" nd="1"/>
        <i x="53" s="1" nd="1"/>
        <i x="124" s="1" nd="1"/>
        <i x="130" s="1" nd="1"/>
        <i x="67" s="1" nd="1"/>
        <i x="127" s="1" nd="1"/>
        <i x="132" s="1" nd="1"/>
        <i x="128" s="1" nd="1"/>
        <i x="94" s="1" nd="1"/>
        <i x="133" s="1" nd="1"/>
        <i x="135" s="1" nd="1"/>
        <i x="55" s="1" nd="1"/>
        <i x="62" s="1" nd="1"/>
        <i x="136" s="1" nd="1"/>
        <i x="59" s="1" nd="1"/>
        <i x="60" s="1" nd="1"/>
        <i x="54" s="1" nd="1"/>
        <i x="58" s="1" nd="1"/>
        <i x="56" s="1" nd="1"/>
        <i x="65" s="1" nd="1"/>
        <i x="61" s="1" nd="1"/>
        <i x="63" s="1" nd="1"/>
        <i x="66" s="1" nd="1"/>
        <i x="74" s="1" nd="1"/>
        <i x="64" s="1" nd="1"/>
        <i x="73" s="1" nd="1"/>
        <i x="78" s="1" nd="1"/>
        <i x="72" s="1" nd="1"/>
        <i x="75" s="1" nd="1"/>
        <i x="85" s="1" nd="1"/>
        <i x="71" s="1" nd="1"/>
        <i x="68" s="1" nd="1"/>
        <i x="69" s="1" nd="1"/>
        <i x="84" s="1" nd="1"/>
        <i x="77" s="1" nd="1"/>
        <i x="88" s="1" nd="1"/>
        <i x="83" s="1" nd="1"/>
        <i x="76" s="1" nd="1"/>
        <i x="100" s="1" nd="1"/>
        <i x="81" s="1" nd="1"/>
        <i x="91" s="1" nd="1"/>
        <i x="89" s="1" nd="1"/>
        <i x="79" s="1" nd="1"/>
        <i x="87" s="1" nd="1"/>
        <i x="86" s="1" nd="1"/>
        <i x="82" s="1" nd="1"/>
        <i x="92" s="1" nd="1"/>
        <i x="90" s="1" nd="1"/>
        <i x="93" s="1" nd="1"/>
        <i x="80" s="1" nd="1"/>
        <i x="95" s="1" nd="1"/>
        <i x="96" s="1" nd="1"/>
        <i x="103" s="1" nd="1"/>
        <i x="97" s="1" nd="1"/>
        <i x="98" s="1" nd="1"/>
        <i x="105" s="1" nd="1"/>
        <i x="104" s="1" nd="1"/>
        <i x="99" s="1" nd="1"/>
        <i x="102" s="1" nd="1"/>
        <i x="101" s="1" nd="1"/>
        <i x="7" s="1" nd="1"/>
        <i x="138"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04" totalsRowCount="1" headerRowDxfId="101" dataDxfId="100" headerRowCellStyle="Comma" dataCellStyle="Comma">
  <autoFilter ref="A1:K103" xr:uid="{11DACEC6-751B-4B1D-817F-5C5BCD38EF6D}"/>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94" dataCellStyle="Comma"/>
    <tableColumn id="6" xr3:uid="{F4E1FD2B-9017-4DEB-B772-BF447ECE56F7}" name="Kora/metre" dataDxfId="93" totalsRowDxfId="92" dataCellStyle="Comma"/>
    <tableColumn id="7" xr3:uid="{52ACC1DA-7A76-4A90-B809-3A1AE728E7EA}" name="Tiyaar/gaz" dataDxfId="91" totalsRowDxfId="90" dataCellStyle="Comma"/>
    <tableColumn id="8" xr3:uid="{31A0FF5E-56F0-44D1-9865-73256B964660}" name="shortage %" dataDxfId="89" totalsRowDxfId="88" dataCellStyle="Comma">
      <calculatedColumnFormula>_xlfn.XLOOKUP(Table1[[#This Row],[Shipment Number]], 'pivot '!A:A,'pivot '!G:G, "NF")</calculatedColumnFormula>
    </tableColumn>
    <tableColumn id="9" xr3:uid="{F99075E0-AC8E-094D-BB85-272AD2C6C568}" name="tiyar/meters" totalsRowFunction="custom" dataDxfId="87" totalsRowDxfId="8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5" totalsRowDxfId="8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3" totalsRowDxfId="8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0" totalsRowCount="1" headerRowDxfId="79" headerRowBorderDxfId="78" tableBorderDxfId="77">
  <autoFilter ref="A1:I59" xr:uid="{F8E8C957-ABE7-4E4F-8D4E-7D44E26B334F}">
    <filterColumn colId="1">
      <filters>
        <filter val="Malik Zaheer"/>
      </filters>
    </filterColumn>
  </autoFilter>
  <tableColumns count="9">
    <tableColumn id="1" xr3:uid="{C2E817D6-AB98-4DDD-8890-736B27F261CD}" name="Date" totalsRowLabel="." dataDxfId="76" totalsRowDxfId="75"/>
    <tableColumn id="2" xr3:uid="{CFB51890-CCDC-463C-81C9-3F8BD7469CB9}" name="Party Name"/>
    <tableColumn id="3" xr3:uid="{A113D971-1C9D-4733-99C4-BD0CC4333209}" name="Vehicle Number"/>
    <tableColumn id="4" xr3:uid="{49780304-3DD1-4AE9-98EE-2BC7EB8F3B57}" name="Weight" dataDxfId="74" totalsRowDxfId="73" dataCellStyle="Comma"/>
    <tableColumn id="5" xr3:uid="{FCAF1BC6-1D8C-42AD-8BBC-F924BF2DC7FE}" name="Rate" dataDxfId="72" totalsRowDxfId="71" dataCellStyle="Comma"/>
    <tableColumn id="6" xr3:uid="{8C70A624-4134-410C-9C45-9FDEB51D51BF}" name="Rent" dataDxfId="70" totalsRowDxfId="69" dataCellStyle="Comma"/>
    <tableColumn id="7" xr3:uid="{EBCE10AE-9634-4982-9C95-37ABC8A7078C}" name="Total" totalsRowFunction="sum" dataDxfId="68" totalsRowDxfId="67" dataCellStyle="Comma">
      <calculatedColumnFormula>D2*E2</calculatedColumnFormula>
    </tableColumn>
    <tableColumn id="9" xr3:uid="{D4788559-C94A-44D9-B9AE-E72B214355AC}" name="Paid" totalsRowFunction="sum" dataDxfId="66" totalsRowDxfId="65" dataCellStyle="Comma"/>
    <tableColumn id="8" xr3:uid="{E26F5BF0-1875-4FC6-994D-49F202ED562B}" name="balance" totalsRowFunction="sum" dataDxfId="64" totalsRowDxfId="63"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84" totalsRowCount="1">
  <autoFilter ref="A1:G283" xr:uid="{CB032221-B416-47A8-9A76-693DE76CFD04}"/>
  <tableColumns count="7">
    <tableColumn id="1" xr3:uid="{554B1EED-65B6-4E9A-B646-82727FAC40DE}" name="Date" dataDxfId="61" totalsRowDxfId="60"/>
    <tableColumn id="2" xr3:uid="{32259059-42CF-4947-83DE-115AA430BE2B}" name="Party"/>
    <tableColumn id="3" xr3:uid="{A1320223-D55D-483C-91C3-AB19B95CC9D8}" name="Debit" totalsRowFunction="sum" dataDxfId="59" totalsRowDxfId="58" dataCellStyle="Comma"/>
    <tableColumn id="4" xr3:uid="{E9745767-9FF0-4B1C-9052-FF335D1D7588}" name="Credit" totalsRowFunction="sum" dataDxfId="57" totalsRowDxfId="56" dataCellStyle="Comma"/>
    <tableColumn id="5" xr3:uid="{5C88A48E-2467-4E6D-B626-2442B7FD0BE4}" name="Description"/>
    <tableColumn id="6" xr3:uid="{63CA4666-144E-4BE6-8B7C-7CB992BD3041}" name="Mode" totalsRowFunction="custom" dataDxfId="55" totalsRowDxfId="54">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3" tableBorderDxfId="52" totalsRowBorderDxfId="51">
  <autoFilter ref="J3:K6" xr:uid="{DCE01694-23ED-48BF-8B92-4186B9ED10A8}"/>
  <tableColumns count="2">
    <tableColumn id="1" xr3:uid="{C8484DAF-2989-4C2F-9AEC-A6917E1C57F6}" name="Type" dataDxfId="50"/>
    <tableColumn id="2" xr3:uid="{B07B7A2A-4D4E-4654-BED6-FE2F0A7BEC34}" name="Amount" dataDxfId="4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48" headerRowBorderDxfId="47" tableBorderDxfId="46" totalsRowBorderDxfId="45">
  <autoFilter ref="M3:O6" xr:uid="{D166BDD1-ACD7-45D7-8AE9-7350373F8CEB}"/>
  <tableColumns count="3">
    <tableColumn id="1" xr3:uid="{64F0205E-DEA7-4571-BA86-E4374A5FEE28}" name="Type" totalsRowLabel="Total" dataDxfId="44" totalsRowDxfId="43"/>
    <tableColumn id="2" xr3:uid="{15FA05F9-789C-4459-9BE0-5C1EC84D3365}" name="amount" totalsRowFunction="custom" dataDxfId="42" totalsRowDxfId="41">
      <totalsRowFormula>SUM(N5:N6)</totalsRowFormula>
    </tableColumn>
    <tableColumn id="3" xr3:uid="{3681D409-90C6-44D0-BDE2-4B5943A516F0}" name="Actual" totalsRowFunction="custom" totalsRowDxfId="40">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39" totalsRowDxfId="38"/>
    <tableColumn id="2" xr3:uid="{5B9D0FEE-4304-4C5C-A05C-5B27CF7841D3}" name="Type"/>
    <tableColumn id="3" xr3:uid="{6A91CA0D-C802-4C6F-9F39-CA53687E8EDE}" name="Description"/>
    <tableColumn id="4" xr3:uid="{A251D40C-AB87-4BB4-85F8-444B20E32FDF}" name="Total" totalsRowFunction="custom" dataDxfId="37" totalsRowDxfId="36"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35" headerRowBorderDxfId="34">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3"/>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31" headerRowBorderDxfId="30">
  <autoFilter ref="A4:H12" xr:uid="{A4C80688-A8BA-4BA7-90B4-791CD99446B4}"/>
  <sortState xmlns:xlrd2="http://schemas.microsoft.com/office/spreadsheetml/2017/richdata2" ref="A5:H6">
    <sortCondition ref="A4:A6"/>
  </sortState>
  <tableColumns count="8">
    <tableColumn id="1" xr3:uid="{4A818912-918E-4111-ACFC-BC93FEF7C1AD}" name="Date" dataDxfId="29" totalsRowDxfId="28"/>
    <tableColumn id="8" xr3:uid="{477ACFD5-62AF-4F69-974B-E9B974C11D7D}" name="Party Name" dataDxfId="2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26">
      <calculatedColumnFormula>Table2[[#This Row],[Quantity]]*250</calculatedColumnFormula>
    </tableColumn>
    <tableColumn id="6" xr3:uid="{30432929-CBD4-4BA8-B63F-CD0F6CF6405F}" name="Paid" totalsRowFunction="sum" dataDxfId="2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4">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3" totalsRowDxfId="22"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1" totalsRowDxfId="20"/>
    <tableColumn id="2" xr3:uid="{053BFC14-4828-417C-9F9F-95B6E232A945}" name="Amount" totalsRowFunction="custom" dataDxfId="19" totalsRowDxfId="1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7" totalsRowDxfId="1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 totalsRowDxfId="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 totalsRowDxfId="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2">
      <calculatedColumnFormula>Billing!O5</calculatedColumnFormula>
    </tableColumn>
    <tableColumn id="2" xr3:uid="{7093A59E-B58F-487D-888A-9AA8156B5F9A}" name="Amount Paid" dataDxfId="1">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0"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6"/>
  <sheetViews>
    <sheetView topLeftCell="N1" zoomScale="103" workbookViewId="0">
      <selection activeCell="T8" sqref="T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554687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211907.461594733</v>
      </c>
      <c r="D4">
        <v>10</v>
      </c>
      <c r="E4" s="14">
        <f>(SUMIFS(ledger!G:G, ledger!B:B, B4, ledger!E:E, "&lt;&gt;*RD*",ledger!D:D, "Silky") / 1.0936)*12 + (SUMIFS(ledger!G:G, ledger!B:B, B4, ledger!E:E, "&lt;&gt;*RD*",ledger!D:D, "Chamki") / 1.0936)*10</f>
        <v>2119458.6686174106</v>
      </c>
      <c r="I4" s="4" t="s">
        <v>9</v>
      </c>
      <c r="J4" s="5">
        <v>44059.985369422095</v>
      </c>
      <c r="K4" s="18">
        <v>470188.36869056337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42778.895391367965</v>
      </c>
      <c r="D5">
        <v>10</v>
      </c>
      <c r="E5" s="14">
        <f>(SUMIFS(ledger!G:G, ledger!B:B, B5, ledger!E:E, "&lt;&gt;*RD*",ledger!D:D, "Silky") / 1.0936)*12 + (SUMIFS(ledger!G:G, ledger!B:B, B5, ledger!E:E, "&lt;&gt;*RD*",ledger!D:D, "Chamki") / 1.0936)*10</f>
        <v>457584.12582297006</v>
      </c>
      <c r="I5" s="4" t="s">
        <v>21</v>
      </c>
      <c r="J5" s="5">
        <v>211907.461594733</v>
      </c>
      <c r="K5" s="18">
        <v>2119458.6686174106</v>
      </c>
      <c r="O5" s="25" t="str" cm="1">
        <f t="array" ref="O5:O17">_xlfn.UNIQUE(Table1[Party Name])</f>
        <v>BSC</v>
      </c>
      <c r="P5" s="23" cm="1">
        <f t="array" ref="P5">_xlfn.BYROW(B26,_xlfn.LAMBDA(_xlpm.party,SUMIFS(ledger!G:G,ledger!B:B,_xlpm.party,ledger!E:E,"&lt;&gt;*RD*")))+_xlfn.IFNA(C44,0)</f>
        <v>1421563</v>
      </c>
      <c r="Q5" s="23" cm="1">
        <f t="array" ref="Q5">_xlfn.BYROW(B26, _xlfn.LAMBDA(_xlpm.party, SUMIFS(ledger!G:G, ledger!B:B, _xlpm.party, ledger!E:E, "&lt;&gt;*RD*") / 1.0936 ))+_xlfn.IFNA(D44,0)</f>
        <v>1299893.013899049</v>
      </c>
      <c r="R5" s="23" cm="1">
        <f t="array" ref="R5">(_xlfn.BYROW(B26,_xlfn.LAMBDA(_xlpm.party,SUMIFS(ledger!G:G,ledger!B:B,_xlpm.party,ledger!E:E,"&lt;&gt;*RD*",ledger!D:D,"Chamki")+SUMIFS(ledger!G:G, ledger!B:B, _xlpm.party, ledger!E:E, "&lt;&gt;*RD*", ledger!D:D, "Crinkle")))/1.0936)+_xlfn.IFNA(E44,0)</f>
        <v>1285149.0490124361</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12851490.490124362</v>
      </c>
      <c r="U5" s="23" cm="1">
        <f t="array" ref="U5">(_xlfn.BYROW(B26,_xlfn.LAMBDA(_xlpm.party,SUMIFS(ledger!G:G,ledger!B:B,_xlpm.party,ledger!E:E,"&lt;&gt;*RD*",ledger!D:D, "Silky")/1.0936))* 12)+_xlfn.IFNA(H44,0)</f>
        <v>176927.57863935624</v>
      </c>
      <c r="V5" s="44">
        <f>T5+U5</f>
        <v>13028418.068763718</v>
      </c>
      <c r="W5" s="23">
        <f>(SUMIF(Table14[Party],O5,Table14[Credit]))+_xlfn.IFNA(J44,0)</f>
        <v>10164043</v>
      </c>
      <c r="X5" s="97">
        <f>V5-W5</f>
        <v>2864375.068763718</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22</v>
      </c>
      <c r="J6" s="5">
        <v>42778.895391367965</v>
      </c>
      <c r="K6" s="18">
        <v>457584.12582297006</v>
      </c>
      <c r="O6" s="25" t="str">
        <v>Ejaz Sahab</v>
      </c>
      <c r="P6" s="23" cm="1">
        <f t="array" ref="P6">_xlfn.BYROW(B27,_xlfn.LAMBDA(_xlpm.party,SUMIFS(ledger!G:G,ledger!B:B,_xlpm.party,ledger!E:E,"&lt;&gt;*RD*")))+_xlfn.IFNA(C45,0)</f>
        <v>140822</v>
      </c>
      <c r="Q6" s="23" cm="1">
        <f t="array" ref="Q6">_xlfn.BYROW(B27, _xlfn.LAMBDA(_xlpm.party, SUMIFS(ledger!G:G, ledger!B:B, _xlpm.party, ledger!E:E, "&lt;&gt;*RD*") / 1.0936 ))+_xlfn.IFNA(D45,0)</f>
        <v>128769.20263350403</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14897.58595464521</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178771.03145574252</v>
      </c>
      <c r="V6" s="44">
        <f t="shared" ref="V6:V12" si="1">T6+U6</f>
        <v>1317487.1982443307</v>
      </c>
      <c r="W6" s="23">
        <f>(SUMIF(Table14[Party],O6,Table14[Credit]))+_xlfn.IFNA(J45,0)</f>
        <v>859904</v>
      </c>
      <c r="X6" s="97">
        <f>V6-W6</f>
        <v>457583.19824433071</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_xlfn.BYROW(B28,_xlfn.LAMBDA(_xlpm.party,SUMIFS(ledger!G:G,ledger!B:B,_xlpm.party,ledger!E:E,"&lt;&gt;*RD*")))+_xlfn.IFNA(C46,0)</f>
        <v>205292</v>
      </c>
      <c r="Q7" s="23" cm="1">
        <f t="array" ref="Q7">_xlfn.BYROW(B28, _xlfn.LAMBDA(_xlpm.party, SUMIFS(ledger!G:G, ledger!B:B, _xlpm.party, ledger!E:E, "&lt;&gt;*RD*") / 1.0936 ))+_xlfn.IFNA(D46,0)</f>
        <v>187721.2874908559</v>
      </c>
      <c r="R7" s="23" cm="1">
        <f t="array" ref="R7">(_xlfn.BYROW(B28,_xlfn.LAMBDA(_xlpm.party,SUMIFS(ledger!G:G,ledger!B:B,_xlpm.party,ledger!E:E,"&lt;&gt;*RD*",ledger!D:D,"Chamki")+SUMIFS(ledger!G:G, ledger!B:B, _xlpm.party, ledger!E:E, "&lt;&gt;*RD*", ledger!D:D, "Crinkle")))/1.0936)+_xlfn.IFNA(E46,0)</f>
        <v>172927.02999268472</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1729270.2999268472</v>
      </c>
      <c r="U7" s="23" cm="1">
        <f t="array" ref="U7">(_xlfn.BYROW(B28,_xlfn.LAMBDA(_xlpm.party,SUMIFS(ledger!G:G,ledger!B:B,_xlpm.party,ledger!E:E,"&lt;&gt;*RD*",ledger!D:D, "Silky")/1.0936))* 12)+_xlfn.IFNA(H46,0)</f>
        <v>177531.08997805414</v>
      </c>
      <c r="V7" s="44">
        <f t="shared" si="1"/>
        <v>1906801.3899049014</v>
      </c>
      <c r="W7" s="23">
        <f>(SUMIF(Table14[Party],O7,Table14[Credit]))+_xlfn.IFNA(J46,0)</f>
        <v>1906701</v>
      </c>
      <c r="X7" s="97">
        <f>V7-W7</f>
        <v>100.38990490138531</v>
      </c>
      <c r="Y7" s="22">
        <v>10</v>
      </c>
      <c r="Z7" s="22">
        <v>12</v>
      </c>
    </row>
    <row r="8" spans="2:26" x14ac:dyDescent="0.3">
      <c r="B8" t="str">
        <f t="shared" si="0"/>
        <v>Sufi Nawaz Sahab</v>
      </c>
      <c r="C8" s="18">
        <f>SUMIFS(ledger!G:G, ledger!B:B, B8, ledger!E:E, "&lt;&gt;*RD*") / 1.0936</f>
        <v>343963.05779078277</v>
      </c>
      <c r="D8">
        <v>10</v>
      </c>
      <c r="E8" s="14">
        <f>((SUMIFS(ledger!G:G, ledger!B:B, B8, ledger!E:E, "&lt;&gt;*RD*",ledger!D:D, "Silky") / 1.0936) *12) + ((SUMIFS(ledger!G:G, ledger!B:B, B8, ledger!E:E, "&lt;&gt;*RD*",ledger!D:D, "Chamki") / 1.0936)* 9)</f>
        <v>3702314.3745427947</v>
      </c>
      <c r="I8" s="4" t="s">
        <v>24</v>
      </c>
      <c r="J8" s="5">
        <v>343963.05779078277</v>
      </c>
      <c r="K8" s="18">
        <v>3702314.3745427947</v>
      </c>
      <c r="O8" s="25" t="str">
        <v>Shehzad Kamoki</v>
      </c>
      <c r="P8" s="23" cm="1">
        <f t="array" ref="P8">_xlfn.BYROW(B29,_xlfn.LAMBDA(_xlpm.party,SUMIFS(ledger!G:G,ledger!B:B,_xlpm.party,ledger!E:E,"&lt;&gt;*RD*")))+_xlfn.IFNA(C47,0)</f>
        <v>134607</v>
      </c>
      <c r="Q8" s="23" cm="1">
        <f t="array" ref="Q8">_xlfn.BYROW(B29, _xlfn.LAMBDA(_xlpm.party, SUMIFS(ledger!G:G, ledger!B:B, _xlpm.party, ledger!E:E, "&lt;&gt;*RD*") / 1.0936 ))+_xlfn.IFNA(D47,0)</f>
        <v>123086.13752743235</v>
      </c>
      <c r="R8" s="23" cm="1">
        <f t="array" ref="R8">(_xlfn.BYROW(B29,_xlfn.LAMBDA(_xlpm.party,SUMIFS(ledger!G:G,ledger!B:B,_xlpm.party,ledger!E:E,"&lt;&gt;*RD*",ledger!D:D,"Chamki")+SUMIFS(ledger!G:G, ledger!B:B, _xlpm.party, ledger!E:E, "&lt;&gt;*RD*", ledger!D:D, "Crinkle")))/1.0936)+_xlfn.IFNA(E47,0)</f>
        <v>123086.13752743235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1269270.3440380397</v>
      </c>
      <c r="U8" s="23" cm="1">
        <f t="array" ref="U8">(_xlfn.BYROW(B29,_xlfn.LAMBDA(_xlpm.party,SUMIFS(ledger!G:G,ledger!B:B,_xlpm.party,ledger!E:E,"&lt;&gt;*RD*",ledger!D:D, "Silky")/1.0936))* 12)+_xlfn.IFNA(H47,0)</f>
        <v>0</v>
      </c>
      <c r="V8" s="44">
        <f t="shared" si="1"/>
        <v>1269270.3440380397</v>
      </c>
      <c r="W8" s="23">
        <f>(SUMIF(Table14[Party],O8,Table14[Credit]))+_xlfn.IFNA(J47,0)</f>
        <v>1268740</v>
      </c>
      <c r="X8" s="97">
        <f>V8-W8</f>
        <v>530.34403803967871</v>
      </c>
      <c r="Y8" s="22">
        <v>10.5</v>
      </c>
      <c r="Z8" s="22">
        <v>13</v>
      </c>
    </row>
    <row r="9" spans="2:26" x14ac:dyDescent="0.3">
      <c r="B9" t="str">
        <f t="shared" si="0"/>
        <v>Sajad Khan</v>
      </c>
      <c r="C9" s="18">
        <f>SUMIFS(ledger!G:G, ledger!B:B, B9, ledger!E:E, "&lt;&gt;*RD*") / 1.0936</f>
        <v>116627.6517922458</v>
      </c>
      <c r="D9">
        <v>10</v>
      </c>
      <c r="E9" s="14" cm="1">
        <f t="array" ref="E9">(SUMIFS(ledger!G:G, ledger!B:B, B9, ledger!E:E, "&lt;&gt;*RD*",ledger!D:D, "Silky") / 1.0936)*12 + (SUMIFS(ledger!G:G, ledger!B:B, B9, ledger!E:E, "&lt;&gt;*RD*",ledger!D:D, "Chamki") / 1.0936)*10 +(SUMIFS(ledger!G:G, ledger!B:B, party, ledger!E:E, "&lt;&gt;*RD*", ledger!D:D, "Crinkle")/ 1.0936)*10</f>
        <v>1166276.517922458</v>
      </c>
      <c r="I9" s="4" t="s">
        <v>25</v>
      </c>
      <c r="J9" s="5">
        <v>116627.6517922458</v>
      </c>
      <c r="K9" s="18">
        <v>1166276.517922458</v>
      </c>
      <c r="O9" s="25" t="str">
        <v>Sufi Nawaz Sahab</v>
      </c>
      <c r="P9" s="23" cm="1">
        <f t="array" ref="P9">_xlfn.BYROW(B30,_xlfn.LAMBDA(_xlpm.party,SUMIFS(ledger!G:G,ledger!B:B,_xlpm.party,ledger!E:E,"&lt;&gt;*RD*")))+_xlfn.IFNA(C48,0)</f>
        <v>1007517</v>
      </c>
      <c r="Q9" s="23" cm="1">
        <f t="array" ref="Q9">_xlfn.BYROW(B30, _xlfn.LAMBDA(_xlpm.party, SUMIFS(ledger!G:G, ledger!B:B, _xlpm.party, ledger!E:E, "&lt;&gt;*RD*") / 1.0936 ))+_xlfn.IFNA(D48,0)</f>
        <v>921284.74762253114</v>
      </c>
      <c r="R9" s="23" cm="1">
        <f t="array" ref="R9">(_xlfn.BYROW(B30,_xlfn.LAMBDA(_xlpm.party,SUMIFS(ledger!G:G,ledger!B:B,_xlpm.party,ledger!E:E,"&lt;&gt;*RD*",ledger!D:D,"Chamki")+SUMIFS(ledger!G:G, ledger!B:B, _xlpm.party, ledger!E:E, "&lt;&gt;*RD*", ledger!D:D, "Crinkle")))/1.0936)+_xlfn.IFNA(E48,0)</f>
        <v>501151.24359912222</v>
      </c>
      <c r="S9" s="78" cm="1">
        <f t="array" ref="S9">(_xlfn.BYROW(B30,_xlfn.LAMBDA(_xlpm.party,SUMIFS(ledger!G:G,ledger!B:B,_xlpm.party,ledger!E:E,"&lt;&gt;*RD*",ledger!D:D,"Silky")))/1.0936)+_xlfn.IFNA(F48,0)</f>
        <v>420133.50402340892</v>
      </c>
      <c r="T9" s="23" cm="1">
        <f t="array" ref="T9">(_xlfn.BYROW(B30,_xlfn.LAMBDA(_xlpm.party,(SUMIFS(ledger!G:G,ledger!B:B,_xlpm.party,ledger!E:E,"&lt;&gt;*RD*",ledger!D:D, "Chamki")+SUMIFS(ledger!G:G, ledger!B:B, _xlpm.party, ledger!E:E, "&lt;&gt;*RD*", ledger!D:D, "Crinkle"))/1.0936))*L30)+_xlfn.IFNA(G48,0)</f>
        <v>4510361.1923920996</v>
      </c>
      <c r="U9" s="23" cm="1">
        <f t="array" ref="U9">(_xlfn.BYROW(B30,_xlfn.LAMBDA(_xlpm.party,SUMIFS(ledger!G:G,ledger!B:B,_xlpm.party,ledger!E:E,"&lt;&gt;*RD*",ledger!D:D, "Silky")/1.0936))* 12)+_xlfn.IFNA(H48,0)</f>
        <v>5041602.0482809078</v>
      </c>
      <c r="V9" s="44">
        <f t="shared" si="1"/>
        <v>9551963.2406730074</v>
      </c>
      <c r="W9" s="23">
        <f>(SUMIF(Table14[Party],O9,Table14[Credit]))+_xlfn.IFNA(J48,0)</f>
        <v>8629100</v>
      </c>
      <c r="X9" s="97">
        <f t="shared" ref="X9:X17" si="2">V9-W9</f>
        <v>922863.24067300744</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_xlfn.BYROW(B31,_xlfn.LAMBDA(_xlpm.party,SUMIFS(ledger!G:G,ledger!B:B,_xlpm.party,ledger!E:E,"&lt;&gt;*RD*")))+_xlfn.IFNA(C49,0)</f>
        <v>402100</v>
      </c>
      <c r="Q10" s="23" cm="1">
        <f t="array" ref="Q10">_xlfn.BYROW(B31, _xlfn.LAMBDA(_xlpm.party, SUMIFS(ledger!G:G, ledger!B:B, _xlpm.party, ledger!E:E, "&lt;&gt;*RD*") / 1.0936 ))+_xlfn.IFNA(D49,0)</f>
        <v>367684.71104608633</v>
      </c>
      <c r="R10" s="23" cm="1">
        <f t="array" ref="R10">(_xlfn.BYROW(B31,_xlfn.LAMBDA(_xlpm.party,SUMIFS(ledger!G:G,ledger!B:B,_xlpm.party,ledger!E:E,"&lt;&gt;*RD*",ledger!D:D,"Chamki")+SUMIFS(ledger!G:G, ledger!B:B, _xlpm.party, ledger!E:E, "&lt;&gt;*RD*", ledger!D:D, "Crinkle")))/1.0936)+_xlfn.IFNA(E49,0)</f>
        <v>367684.71104608633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3676847.1104608634</v>
      </c>
      <c r="U10" s="23" cm="1">
        <f t="array" ref="U10">(_xlfn.BYROW(B31,_xlfn.LAMBDA(_xlpm.party,SUMIFS(ledger!G:G,ledger!B:B,_xlpm.party,ledger!E:E,"&lt;&gt;*RD*",ledger!D:D, "Silky")/1.0936))* 12)+_xlfn.IFNA(H49,0)</f>
        <v>0</v>
      </c>
      <c r="V10" s="44">
        <f t="shared" si="1"/>
        <v>3676847.1104608634</v>
      </c>
      <c r="W10" s="23">
        <f>(SUMIF(Table14[Party],O10,Table14[Credit]))+_xlfn.IFNA(J49,0)</f>
        <v>2700000</v>
      </c>
      <c r="X10" s="97">
        <f t="shared" si="2"/>
        <v>976847.11046086345</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27</v>
      </c>
      <c r="J11" s="5">
        <v>24747.622531089979</v>
      </c>
      <c r="K11" s="18">
        <v>247476.22531089978</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1221620</v>
      </c>
      <c r="X12" s="97">
        <f t="shared" si="2"/>
        <v>33.255303584504873</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157</v>
      </c>
      <c r="J13" s="5">
        <v>0</v>
      </c>
      <c r="K13" s="18">
        <v>0</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162</v>
      </c>
      <c r="J14" s="5">
        <v>96059.802487198249</v>
      </c>
      <c r="K14" s="18">
        <v>960598.02487198252</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128383.32114118509</v>
      </c>
      <c r="E15" s="14">
        <f>(SUMIFS(ledger!G:G, ledger!B:B, B15, ledger!E:E, "&lt;&gt;*RD*",ledger!D:D, "Silky") / 1.0936)*12 + (SUMIFS(ledger!G:G, ledger!B:B, B15, ledger!E:E, "&lt;&gt;*RD*",ledger!D:D, "Chamki") / 1.0936)*10</f>
        <v>1372172.6408193125</v>
      </c>
      <c r="I15" s="4" t="s">
        <v>243</v>
      </c>
      <c r="J15" s="5">
        <v>128383.32114118509</v>
      </c>
      <c r="K15" s="18">
        <v>1372172.6408193125</v>
      </c>
      <c r="O15" s="25" t="str">
        <v>Hafiz Qureshi</v>
      </c>
      <c r="P15" s="23" cm="1">
        <f t="array" ref="P15">_xlfn.BYROW(B36,_xlfn.LAMBDA(_xlpm.party,SUMIFS(ledger!G:G,ledger!B:B,_xlpm.party,ledger!E:E,"&lt;&gt;*RD*")))+_xlfn.IFNA(C54,0)</f>
        <v>48871</v>
      </c>
      <c r="Q15" s="23" cm="1">
        <f t="array" ref="Q15">_xlfn.BYROW(B36, _xlfn.LAMBDA(_xlpm.party, SUMIFS(ledger!G:G, ledger!B:B, _xlpm.party, ledger!E:E, "&lt;&gt;*RD*") / 1.0936 ))+_xlfn.IFNA(D54,0)</f>
        <v>44688.185808339433</v>
      </c>
      <c r="R15" s="23" cm="1">
        <f t="array" ref="R15">(_xlfn.BYROW(B36,_xlfn.LAMBDA(_xlpm.party,SUMIFS(ledger!G:G,ledger!B:B,_xlpm.party,ledger!E:E,"&lt;&gt;*RD*",ledger!D:D,"Chamki")+SUMIFS(ledger!G:G, ledger!B:B, _xlpm.party, ledger!E:E, "&lt;&gt;*RD*", ledger!D:D, "Crinkle")))/1.0936)+_xlfn.IFNA(E54,0)</f>
        <v>44688.185808339433</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446881.85808339436</v>
      </c>
      <c r="U15" s="23" cm="1">
        <f t="array" ref="U15">(_xlfn.BYROW(B36,_xlfn.LAMBDA(_xlpm.party,SUMIFS(ledger!G:G,ledger!B:B,_xlpm.party,ledger!E:E,"&lt;&gt;*RD*",ledger!D:D, "Silky")/1.0936))* 12)+_xlfn.IFNA(H54,0)</f>
        <v>0</v>
      </c>
      <c r="V15" s="44">
        <f t="shared" si="4"/>
        <v>446881.85808339436</v>
      </c>
      <c r="W15" s="23">
        <f>(SUMIF(Table14[Party],O15,Table14[Credit]))+_xlfn.IFNA(J54,0)</f>
        <v>300000</v>
      </c>
      <c r="X15" s="42">
        <f t="shared" si="2"/>
        <v>146881.85808339436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316</v>
      </c>
      <c r="J16" s="5">
        <v>0</v>
      </c>
      <c r="K16" s="18">
        <v>0</v>
      </c>
      <c r="O16" s="25" t="str">
        <v>Badshah Fabrics</v>
      </c>
      <c r="P16" s="23" cm="1">
        <f t="array" ref="P16">_xlfn.BYROW(B37,_xlfn.LAMBDA(_xlpm.party,SUMIFS(ledger!G:G,ledger!B:B,_xlpm.party,ledger!E:E,"&lt;&gt;*RD*")))+_xlfn.IFNA(C55,0)</f>
        <v>140400</v>
      </c>
      <c r="Q16" s="23" cm="1">
        <f t="array" ref="Q16">_xlfn.BYROW(B37, _xlfn.LAMBDA(_xlpm.party, SUMIFS(ledger!G:G, ledger!B:B, _xlpm.party, ledger!E:E, "&lt;&gt;*RD*") / 1.0936 ))+_xlfn.IFNA(D55,0)</f>
        <v>128383.32114118509</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44169.714703730802</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530036.57644476963</v>
      </c>
      <c r="V16" s="44">
        <f t="shared" si="4"/>
        <v>1372172.6408193125</v>
      </c>
      <c r="W16" s="23">
        <f>(SUMIF(Table14[Party],O16,Table14[Credit]))+_xlfn.IFNA(J55,0)</f>
        <v>870000</v>
      </c>
      <c r="X16" s="42">
        <f t="shared" si="2"/>
        <v>502172.64081931254</v>
      </c>
      <c r="Y16" s="22">
        <v>10</v>
      </c>
      <c r="Z16" s="22">
        <v>12</v>
      </c>
    </row>
    <row r="17" spans="1:26" x14ac:dyDescent="0.3">
      <c r="I17" s="4" t="s">
        <v>28</v>
      </c>
      <c r="J17" s="14">
        <v>1061272.8602779808</v>
      </c>
      <c r="K17" s="14">
        <v>11030337.417703003</v>
      </c>
      <c r="O17" s="25" t="str">
        <v>Reject</v>
      </c>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11030337.417703001</v>
      </c>
      <c r="D20" t="s">
        <v>30</v>
      </c>
    </row>
    <row r="21" spans="1:26" x14ac:dyDescent="0.3">
      <c r="C21" s="18"/>
      <c r="O21" s="14"/>
    </row>
    <row r="22" spans="1:26" x14ac:dyDescent="0.3">
      <c r="B22" s="25" t="s">
        <v>31</v>
      </c>
      <c r="C22" s="42">
        <f ca="1">SUM(OFFSET(I26,0,0,COUNTA(I:I)-ROW(I26)+1))</f>
        <v>11030337.417703001</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8">_xlfn.UNIQUE(Table1[Party Name])</f>
        <v>BSC</v>
      </c>
      <c r="C26" s="23" cm="1">
        <f t="array" ref="C26:C38">_xlfn.BYROW(_xlfn.ANCHORARRAY(B26),_xlfn.LAMBDA(_xlpm.party,SUMIFS(ledger!G:G,ledger!B:B,_xlpm.party,ledger!E:E,"&lt;&gt;*RD*")))</f>
        <v>231742</v>
      </c>
      <c r="D26" s="23" cm="1">
        <f t="array" ref="D26:D38">_xlfn.BYROW(_xlfn.ANCHORARRAY(B26), _xlfn.LAMBDA(_xlpm.party, SUMIFS(ledger!G:G, ledger!B:B, _xlpm.party, ledger!E:E, "&lt;&gt;*RD*") / 1.0936 ))</f>
        <v>211907.461594733</v>
      </c>
      <c r="E26" s="71" cm="1">
        <f t="array" ref="E26:E38">(_xlfn.BYROW(_xlfn.ANCHORARRAY(B26),_xlfn.LAMBDA(_xlpm.party,SUMIFS(ledger!G:G,ledger!B:B,_xlpm.party,ledger!E:E,"&lt;&gt;*RD*",ledger!D:D,"Chamki")+SUMIFS(ledger!G:G, ledger!B:B, _xlpm.party, ledger!E:E, "&lt;&gt;*RD*", ledger!D:D, "Crinkle")))/1.0936)</f>
        <v>211715.43525969278</v>
      </c>
      <c r="F26" s="78" cm="1">
        <f t="array" ref="F26:F38">(_xlfn.BYROW(_xlfn.ANCHORARRAY(B26),_xlfn.LAMBDA(_xlpm.party,SUMIFS(ledger!G:G,ledger!B:B,_xlpm.party,ledger!E:E,"&lt;&gt;*RD*",ledger!D:D,"Silky")))/1.0936)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2117154.3525969279</v>
      </c>
      <c r="H26" s="23" cm="1">
        <f t="array" ref="H26">(_xlfn.BYROW(B26,_xlfn.LAMBDA(_xlpm.party,SUMIFS(ledger!G:G,ledger!B:B,_xlpm.party,ledger!E:E,"&lt;&gt;*RD*",ledger!D:D, "Silky")/1.0936))* M26)</f>
        <v>2304.3160204828091</v>
      </c>
      <c r="I26" s="44">
        <f t="shared" ref="I26:I34" si="7">G26+H26</f>
        <v>2119458.6686174106</v>
      </c>
      <c r="J26" s="23">
        <f>(SUMIF(Table14[Party],B26,Table14[Credit]))</f>
        <v>3005260</v>
      </c>
      <c r="K26" s="42">
        <f>I26-J26</f>
        <v>-885801.33138258941</v>
      </c>
      <c r="L26" s="22">
        <v>10</v>
      </c>
      <c r="M26" s="22">
        <v>12</v>
      </c>
    </row>
    <row r="27" spans="1:26" x14ac:dyDescent="0.3">
      <c r="B27" s="25" t="str">
        <v>Ejaz Sahab</v>
      </c>
      <c r="C27" s="23">
        <v>46783</v>
      </c>
      <c r="D27" s="23">
        <v>42778.895391367965</v>
      </c>
      <c r="E27" s="71">
        <v>27881.309436722753</v>
      </c>
      <c r="F27" s="78">
        <v>14897.58595464521</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178771.03145574252</v>
      </c>
      <c r="I27" s="44">
        <f t="shared" si="7"/>
        <v>457584.12582297006</v>
      </c>
      <c r="J27" s="23">
        <f>(SUMIF(Table14[Party],B27,Table14[Credit]))</f>
        <v>247550</v>
      </c>
      <c r="K27" s="42">
        <f>I27-J27</f>
        <v>210034.12582297006</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1152491</v>
      </c>
      <c r="K28" s="42">
        <f>I28-J28</f>
        <v>-682302.63130943663</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376158</v>
      </c>
      <c r="D30" s="23">
        <v>343963.05779078277</v>
      </c>
      <c r="E30" s="71">
        <v>141747.43964886613</v>
      </c>
      <c r="F30" s="78">
        <v>202215.61814191661</v>
      </c>
      <c r="G30" s="23" cm="1">
        <f t="array" ref="G30">(_xlfn.BYROW(B30,_xlfn.LAMBDA(_xlpm.party,(SUMIFS(ledger!G:G,ledger!B:B,_xlpm.party,ledger!E:E,"&lt;&gt;*RD*",ledger!D:D, "Chamki")+SUMIFS(ledger!G:G, ledger!B:B, _xlpm.party, ledger!E:E, "&lt;&gt;*RD*", ledger!D:D, "Crinkle"))/1.0936))*L30)</f>
        <v>1275726.9568397952</v>
      </c>
      <c r="H30" s="23" cm="1">
        <f t="array" ref="H30">(_xlfn.BYROW(B30,_xlfn.LAMBDA(_xlpm.party,SUMIFS(ledger!G:G,ledger!B:B,_xlpm.party,ledger!E:E,"&lt;&gt;*RD*",ledger!D:D, "Silky")/1.0936))* M30)</f>
        <v>2426587.4177029994</v>
      </c>
      <c r="I30" s="44">
        <f t="shared" si="7"/>
        <v>3702314.3745427947</v>
      </c>
      <c r="J30" s="23">
        <f>(SUMIF(Table14[Party],B30,Table14[Credit]))</f>
        <v>4550000</v>
      </c>
      <c r="K30" s="42">
        <f t="shared" si="8"/>
        <v>-847685.62545720534</v>
      </c>
      <c r="L30" s="22">
        <v>9</v>
      </c>
      <c r="M30" s="22">
        <v>12</v>
      </c>
    </row>
    <row r="31" spans="1:26" x14ac:dyDescent="0.3">
      <c r="B31" s="25" t="str">
        <v>Sajad Khan</v>
      </c>
      <c r="C31" s="23">
        <v>127544</v>
      </c>
      <c r="D31" s="23">
        <v>116627.6517922458</v>
      </c>
      <c r="E31" s="71">
        <v>116627.6517922458</v>
      </c>
      <c r="F31" s="22">
        <v>0</v>
      </c>
      <c r="G31" s="23" cm="1">
        <f t="array" ref="G31">(_xlfn.BYROW(B31,_xlfn.LAMBDA(_xlpm.party,(SUMIFS(ledger!G:G,ledger!B:B,_xlpm.party,ledger!E:E,"&lt;&gt;*RD*",ledger!D:D, "Chamki")+SUMIFS(ledger!G:G, ledger!B:B, _xlpm.party, ledger!E:E, "&lt;&gt;*RD*", ledger!D:D, "Crinkle"))/1.0936))*L31)</f>
        <v>1166276.517922458</v>
      </c>
      <c r="H31" s="23" cm="1">
        <f t="array" ref="H31">(_xlfn.BYROW(B31,_xlfn.LAMBDA(_xlpm.party,SUMIFS(ledger!G:G,ledger!B:B,_xlpm.party,ledger!E:E,"&lt;&gt;*RD*",ledger!D:D, "Silky")/1.0936))* M31)</f>
        <v>0</v>
      </c>
      <c r="I31" s="44">
        <f t="shared" si="7"/>
        <v>1166276.517922458</v>
      </c>
      <c r="J31" s="23">
        <f>(SUMIF(Table14[Party],B31,Table14[Credit]))</f>
        <v>400000</v>
      </c>
      <c r="K31" s="42">
        <f t="shared" si="8"/>
        <v>766276.51792245801</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1021620</v>
      </c>
      <c r="K33" s="42">
        <f t="shared" ref="K33:K38" si="9">I33-J33</f>
        <v>-61021.975128017482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200000</v>
      </c>
      <c r="K36" s="42">
        <f t="shared" si="9"/>
        <v>47476.225310899783</v>
      </c>
      <c r="L36" s="22">
        <v>10</v>
      </c>
      <c r="M36" s="22">
        <v>12</v>
      </c>
    </row>
    <row r="37" spans="2:13" x14ac:dyDescent="0.3">
      <c r="B37" s="25" t="str">
        <v>Badshah Fabrics</v>
      </c>
      <c r="C37" s="23">
        <v>140400</v>
      </c>
      <c r="D37" s="23">
        <v>128383.32114118509</v>
      </c>
      <c r="E37" s="71">
        <v>84213.606437454291</v>
      </c>
      <c r="F37" s="22">
        <v>44169.714703730802</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530036.57644476963</v>
      </c>
      <c r="I37" s="44">
        <f t="shared" si="10"/>
        <v>1372172.6408193125</v>
      </c>
      <c r="J37" s="23">
        <f>SUMIF(Table14[Party], B37, Table14[Credit])</f>
        <v>870000</v>
      </c>
      <c r="K37" s="42">
        <f t="shared" si="9"/>
        <v>502172.64081931254</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6">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row r="56" spans="2:13" x14ac:dyDescent="0.3">
      <c r="B56" t="str">
        <v>Reject</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6">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c r="J16" t="str">
        <v>Reject</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1221620</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33.255303584504873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6024940</v>
      </c>
      <c r="D4" t="s">
        <v>183</v>
      </c>
    </row>
    <row r="5" spans="1:4" x14ac:dyDescent="0.3">
      <c r="B5" t="s">
        <v>48</v>
      </c>
      <c r="C5" s="11">
        <f>SUM(Table8[Price])+Dyes!P41</f>
        <v>1313105</v>
      </c>
      <c r="D5" t="s">
        <v>189</v>
      </c>
    </row>
    <row r="6" spans="1:4" x14ac:dyDescent="0.3">
      <c r="B6" t="s">
        <v>49</v>
      </c>
      <c r="C6" s="11">
        <f>SUM(Table2[Price])+247000</f>
        <v>769350</v>
      </c>
      <c r="D6" t="s">
        <v>188</v>
      </c>
    </row>
    <row r="7" spans="1:4" x14ac:dyDescent="0.3">
      <c r="B7" t="s">
        <v>50</v>
      </c>
      <c r="C7" s="11">
        <f>SUMIFS(Table14[Debit], Table14[Party],Table12[[#This Row],[Type]])</f>
        <v>9055</v>
      </c>
    </row>
    <row r="8" spans="1:4" x14ac:dyDescent="0.3">
      <c r="B8" t="s">
        <v>51</v>
      </c>
      <c r="C8" s="11">
        <f>Electricity!E3</f>
        <v>0</v>
      </c>
    </row>
    <row r="9" spans="1:4" x14ac:dyDescent="0.3">
      <c r="B9" t="s">
        <v>52</v>
      </c>
      <c r="C9" s="11">
        <f>Table11[[#Totals],[Amount]]+'Salary Acc'!I35</f>
        <v>79000</v>
      </c>
    </row>
    <row r="10" spans="1:4" x14ac:dyDescent="0.3">
      <c r="B10" t="s">
        <v>53</v>
      </c>
      <c r="C10" s="11">
        <f>Table5[[#Totals],[Amount]]</f>
        <v>83550</v>
      </c>
    </row>
    <row r="11" spans="1:4" x14ac:dyDescent="0.3">
      <c r="B11" t="s">
        <v>54</v>
      </c>
      <c r="C11" s="11">
        <f>Table13[[#Totals],[Debit]]</f>
        <v>235726</v>
      </c>
    </row>
    <row r="12" spans="1:4" x14ac:dyDescent="0.3">
      <c r="B12" t="s">
        <v>55</v>
      </c>
      <c r="C12" s="11">
        <f>Table15[[#Totals],[Amount]]</f>
        <v>244957</v>
      </c>
    </row>
    <row r="13" spans="1:4" x14ac:dyDescent="0.3">
      <c r="C13" s="11"/>
    </row>
    <row r="14" spans="1:4" x14ac:dyDescent="0.3">
      <c r="C14" s="14">
        <f>SUM(Table12[Amount])</f>
        <v>8759683</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J19" sqref="J19"/>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11030337.417703001</v>
      </c>
      <c r="D3" t="s">
        <v>68</v>
      </c>
    </row>
    <row r="4" spans="1:4" x14ac:dyDescent="0.3">
      <c r="B4" s="11" t="s">
        <v>44</v>
      </c>
      <c r="C4" s="11">
        <f>Table12[[#Totals],[Amount]]</f>
        <v>8759683</v>
      </c>
    </row>
    <row r="5" spans="1:4" x14ac:dyDescent="0.3">
      <c r="A5" s="6"/>
      <c r="B5" s="15" t="s">
        <v>69</v>
      </c>
      <c r="C5" s="15">
        <f ca="1">C3-C4</f>
        <v>2270654.4177030008</v>
      </c>
    </row>
    <row r="10" spans="1:4" ht="15" thickBot="1" x14ac:dyDescent="0.35">
      <c r="B10" t="s">
        <v>66</v>
      </c>
      <c r="C10" s="14" t="s">
        <v>67</v>
      </c>
    </row>
    <row r="11" spans="1:4" x14ac:dyDescent="0.3">
      <c r="B11" s="64" t="s">
        <v>0</v>
      </c>
      <c r="C11" s="65">
        <f ca="1">C3</f>
        <v>11030337.417703001</v>
      </c>
    </row>
    <row r="12" spans="1:4" x14ac:dyDescent="0.3">
      <c r="B12" s="66" t="s">
        <v>70</v>
      </c>
      <c r="C12" s="67">
        <f>SUM(Table14[Credit])</f>
        <v>10986224</v>
      </c>
    </row>
    <row r="13" spans="1:4" ht="15" thickBot="1" x14ac:dyDescent="0.35">
      <c r="B13" s="82" t="s">
        <v>97</v>
      </c>
      <c r="C13" s="81">
        <f ca="1">(C11-C12)</f>
        <v>44113.417703000829</v>
      </c>
    </row>
    <row r="14" spans="1:4" ht="15" thickBot="1" x14ac:dyDescent="0.35">
      <c r="B14" s="66"/>
      <c r="C14" s="67"/>
    </row>
    <row r="15" spans="1:4" x14ac:dyDescent="0.3">
      <c r="B15" s="64" t="s">
        <v>44</v>
      </c>
      <c r="C15" s="65">
        <f>C4</f>
        <v>8759683</v>
      </c>
    </row>
    <row r="16" spans="1:4" x14ac:dyDescent="0.3">
      <c r="B16" s="66" t="s">
        <v>71</v>
      </c>
      <c r="C16" s="67">
        <f>SUM(Table14[Debit])</f>
        <v>10901237</v>
      </c>
    </row>
    <row r="17" spans="2:6" ht="15" thickBot="1" x14ac:dyDescent="0.35">
      <c r="B17" s="82" t="s">
        <v>72</v>
      </c>
      <c r="C17" s="81">
        <f>C15-C16</f>
        <v>-2141554</v>
      </c>
    </row>
    <row r="18" spans="2:6" ht="15" thickBot="1" x14ac:dyDescent="0.35">
      <c r="B18" s="66"/>
      <c r="C18" s="67"/>
    </row>
    <row r="19" spans="2:6" ht="15" thickBot="1" x14ac:dyDescent="0.35">
      <c r="B19" s="83" t="s">
        <v>73</v>
      </c>
      <c r="C19" s="84">
        <f>Table18[[#Totals],[amount]]</f>
        <v>84987</v>
      </c>
    </row>
    <row r="20" spans="2:6" ht="15" thickBot="1" x14ac:dyDescent="0.35">
      <c r="B20" s="79"/>
      <c r="C20" s="80"/>
    </row>
    <row r="21" spans="2:6" ht="15" thickBot="1" x14ac:dyDescent="0.35">
      <c r="B21" s="68" t="s">
        <v>74</v>
      </c>
      <c r="C21" s="69">
        <f ca="1">(C13-C17)+C19</f>
        <v>2270654.4177030008</v>
      </c>
      <c r="E21" s="87" t="s">
        <v>75</v>
      </c>
      <c r="F21" s="88">
        <f ca="1">C5*0.05</f>
        <v>113532.72088515005</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6600</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235726</v>
      </c>
      <c r="E35">
        <f>SUBTOTAL(109,Table13[Credit])</f>
        <v>0</v>
      </c>
      <c r="F35">
        <f>Table13[[#Totals],[Debit]]-Table13[[#Totals],[Credit]]</f>
        <v>235726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9"/>
  <sheetViews>
    <sheetView topLeftCell="B88" zoomScale="126" workbookViewId="0">
      <selection activeCell="I109" sqref="I109"/>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 style="10" bestFit="1" customWidth="1"/>
    <col min="5" max="5" width="15.5546875" style="10" bestFit="1" customWidth="1"/>
    <col min="6" max="6" width="17.44140625" style="10" bestFit="1" customWidth="1"/>
    <col min="7" max="7" width="12.33203125" style="10" bestFit="1" customWidth="1"/>
    <col min="8" max="8" width="18" style="10" bestFit="1" customWidth="1"/>
    <col min="9" max="9" width="12.33203125" style="10" bestFit="1" customWidth="1"/>
    <col min="10" max="10" width="17.4414062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294</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295</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296</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297</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298</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243</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316</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50.388974566342334</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90.809546748327548</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26.266475366800904</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26.266475366800904</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c r="B104"/>
      <c r="C104"/>
      <c r="D104"/>
      <c r="E104" s="14"/>
      <c r="F104" s="14"/>
      <c r="G104" s="14"/>
      <c r="H104" s="50"/>
      <c r="I104" s="117" cm="1">
        <f t="array" aca="1" ref="I104" ca="1">SUMPRODUCT( SUBTOTAL(109, OFFSET(Table1[tiyar/meters], ROW(Table1[tiyar/meters])-MIN(ROW(Table1[tiyar/meters])), 0, 1)), --(Table1[Bill Number]&lt;&gt;"August Closing CF") )</f>
        <v>1061272.860277981</v>
      </c>
      <c r="J104" s="50" cm="1">
        <f t="array" aca="1" ref="J104" ca="1">SUMPRODUCT( SUBTOTAL(109, OFFSET(Table1[billing], ROW(Table1[billing])-MIN(ROW(Table1[billing])), 0, 1)), --(Table1[Bill Number]&lt;&gt;"August Closing CF") )</f>
        <v>11030337.417703001</v>
      </c>
      <c r="K104" s="14">
        <f>SUMIFS(Table1[billing], Table1[Bill Number], "&lt;&gt;August Closing CF")</f>
        <v>11030337.417703001</v>
      </c>
      <c r="L104"/>
      <c r="M104"/>
      <c r="N104"/>
      <c r="O104"/>
      <c r="P104"/>
      <c r="Q104"/>
    </row>
    <row r="105" spans="1:17" x14ac:dyDescent="0.3">
      <c r="L105"/>
      <c r="M105"/>
      <c r="N105"/>
      <c r="O105"/>
    </row>
    <row r="106" spans="1:17" x14ac:dyDescent="0.3">
      <c r="L106"/>
      <c r="M106"/>
      <c r="N106"/>
      <c r="O106"/>
    </row>
    <row r="107" spans="1:17" x14ac:dyDescent="0.3">
      <c r="L107"/>
      <c r="M107"/>
      <c r="N107"/>
      <c r="O107"/>
    </row>
    <row r="108" spans="1:17" x14ac:dyDescent="0.3">
      <c r="L108"/>
      <c r="M108"/>
      <c r="N108"/>
      <c r="O108"/>
    </row>
    <row r="109" spans="1:17" x14ac:dyDescent="0.3">
      <c r="L109"/>
      <c r="M109"/>
      <c r="N109"/>
      <c r="O109"/>
    </row>
    <row r="110" spans="1:17" x14ac:dyDescent="0.3">
      <c r="L110"/>
      <c r="M110"/>
      <c r="N110"/>
      <c r="O110"/>
    </row>
    <row r="111" spans="1:17" x14ac:dyDescent="0.3">
      <c r="L111"/>
      <c r="M111"/>
      <c r="N111"/>
      <c r="O111"/>
    </row>
    <row r="112" spans="1:17" x14ac:dyDescent="0.3">
      <c r="L112"/>
      <c r="M112"/>
      <c r="N112"/>
      <c r="O112"/>
    </row>
    <row r="113" spans="12:15" x14ac:dyDescent="0.3">
      <c r="L113"/>
      <c r="M113"/>
      <c r="N113"/>
      <c r="O113"/>
    </row>
    <row r="114" spans="12:15" x14ac:dyDescent="0.3">
      <c r="L114"/>
      <c r="M114"/>
      <c r="N114"/>
      <c r="O114"/>
    </row>
    <row r="115" spans="12:15" x14ac:dyDescent="0.3">
      <c r="L115"/>
      <c r="M115"/>
      <c r="N115"/>
      <c r="O115"/>
    </row>
    <row r="116" spans="12:15" x14ac:dyDescent="0.3">
      <c r="L116"/>
      <c r="M116"/>
      <c r="N116"/>
    </row>
    <row r="117" spans="12:15" x14ac:dyDescent="0.3">
      <c r="L117"/>
      <c r="M117"/>
      <c r="N117"/>
    </row>
    <row r="118" spans="12:15" x14ac:dyDescent="0.3">
      <c r="L118"/>
      <c r="M118"/>
      <c r="N118"/>
    </row>
    <row r="119" spans="12:15" x14ac:dyDescent="0.3">
      <c r="L119"/>
      <c r="M119"/>
      <c r="N119"/>
    </row>
    <row r="120" spans="12:15" x14ac:dyDescent="0.3">
      <c r="L120"/>
      <c r="M120"/>
      <c r="N120"/>
    </row>
    <row r="121" spans="12:15" x14ac:dyDescent="0.3">
      <c r="L121"/>
      <c r="M121"/>
      <c r="N121"/>
    </row>
    <row r="122" spans="12:15" x14ac:dyDescent="0.3">
      <c r="L122"/>
      <c r="M122"/>
      <c r="N122"/>
    </row>
    <row r="123" spans="12:15" x14ac:dyDescent="0.3">
      <c r="L123"/>
      <c r="M123"/>
      <c r="N123"/>
    </row>
    <row r="124" spans="12:15" x14ac:dyDescent="0.3">
      <c r="L124"/>
      <c r="M124"/>
      <c r="N124"/>
    </row>
    <row r="125" spans="12:15" x14ac:dyDescent="0.3">
      <c r="L125"/>
      <c r="M125"/>
      <c r="N125"/>
    </row>
    <row r="126" spans="12:15" x14ac:dyDescent="0.3">
      <c r="L126"/>
      <c r="M126"/>
      <c r="N126"/>
    </row>
    <row r="127" spans="12:15" x14ac:dyDescent="0.3">
      <c r="L127"/>
      <c r="M127"/>
      <c r="N127"/>
    </row>
    <row r="128" spans="12: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34" spans="4:14" x14ac:dyDescent="0.3">
      <c r="D134" s="3" t="s">
        <v>2</v>
      </c>
      <c r="E134" t="s">
        <v>89</v>
      </c>
    </row>
    <row r="135" spans="4:14" x14ac:dyDescent="0.3">
      <c r="D135" s="3" t="s">
        <v>76</v>
      </c>
      <c r="E135" t="s">
        <v>89</v>
      </c>
    </row>
    <row r="136" spans="4:14" x14ac:dyDescent="0.3">
      <c r="D136" s="3" t="s">
        <v>80</v>
      </c>
      <c r="E136" t="s">
        <v>89</v>
      </c>
    </row>
    <row r="138" spans="4:14" x14ac:dyDescent="0.3">
      <c r="D138" s="3" t="s">
        <v>6</v>
      </c>
      <c r="E138" t="s">
        <v>90</v>
      </c>
      <c r="F138" t="s">
        <v>91</v>
      </c>
      <c r="G138" t="s">
        <v>92</v>
      </c>
      <c r="I138" s="3" t="s">
        <v>6</v>
      </c>
      <c r="J138" t="s">
        <v>91</v>
      </c>
      <c r="K138" t="s">
        <v>92</v>
      </c>
    </row>
    <row r="139" spans="4:14" x14ac:dyDescent="0.3">
      <c r="D139" s="16" t="s">
        <v>164</v>
      </c>
      <c r="E139"/>
      <c r="F139" s="33">
        <v>2397934.3452816382</v>
      </c>
      <c r="G139">
        <v>24159091.119458668</v>
      </c>
      <c r="I139" s="27">
        <v>45888</v>
      </c>
      <c r="J139" s="50">
        <v>2002.56035113387</v>
      </c>
      <c r="K139" s="14">
        <v>20025.603511338701</v>
      </c>
    </row>
    <row r="140" spans="4:14" x14ac:dyDescent="0.3">
      <c r="D140" s="16">
        <v>835</v>
      </c>
      <c r="E140">
        <v>19968</v>
      </c>
      <c r="F140" s="33">
        <v>18258.961228968546</v>
      </c>
      <c r="G140">
        <v>182589.61228968546</v>
      </c>
      <c r="I140" s="27">
        <v>45916</v>
      </c>
      <c r="J140" s="50">
        <v>2397934.3452816382</v>
      </c>
      <c r="K140" s="14">
        <v>24159091.119458668</v>
      </c>
    </row>
    <row r="141" spans="4:14" x14ac:dyDescent="0.3">
      <c r="D141" s="16">
        <v>836</v>
      </c>
      <c r="E141">
        <v>28988</v>
      </c>
      <c r="F141" s="33">
        <v>26506.949524506221</v>
      </c>
      <c r="G141">
        <v>318083.39429407462</v>
      </c>
      <c r="I141" s="27">
        <v>45917</v>
      </c>
      <c r="J141" s="50">
        <v>82800.841258229702</v>
      </c>
      <c r="K141" s="14">
        <v>925892.46525237756</v>
      </c>
    </row>
    <row r="142" spans="4:14" x14ac:dyDescent="0.3">
      <c r="D142" s="16">
        <v>837</v>
      </c>
      <c r="E142">
        <v>3979</v>
      </c>
      <c r="F142" s="33">
        <v>3638.4418434528166</v>
      </c>
      <c r="G142">
        <v>43661.3021214338</v>
      </c>
      <c r="I142" s="27">
        <v>45918</v>
      </c>
      <c r="J142" s="50">
        <v>34217.264081931236</v>
      </c>
      <c r="K142" s="14">
        <v>342172.64081931236</v>
      </c>
    </row>
    <row r="143" spans="4:14" x14ac:dyDescent="0.3">
      <c r="D143" s="16">
        <v>838</v>
      </c>
      <c r="E143">
        <v>6476</v>
      </c>
      <c r="F143" s="33">
        <v>5921.7264081931244</v>
      </c>
      <c r="G143">
        <v>71060.716898317492</v>
      </c>
      <c r="I143" s="27">
        <v>45919</v>
      </c>
      <c r="J143" s="50">
        <v>26449.341623994151</v>
      </c>
      <c r="K143" s="14">
        <v>264493.41623994149</v>
      </c>
    </row>
    <row r="144" spans="4:14" x14ac:dyDescent="0.3">
      <c r="D144" s="16">
        <v>839</v>
      </c>
      <c r="E144">
        <v>10952</v>
      </c>
      <c r="F144" s="33">
        <v>10014.630577907828</v>
      </c>
      <c r="G144">
        <v>120175.56693489394</v>
      </c>
      <c r="I144" s="27">
        <v>45920</v>
      </c>
      <c r="J144" s="50">
        <v>59877.468910021955</v>
      </c>
      <c r="K144" s="14">
        <v>598774.68910021952</v>
      </c>
    </row>
    <row r="145" spans="4:11" x14ac:dyDescent="0.3">
      <c r="D145" s="16">
        <v>840</v>
      </c>
      <c r="E145">
        <v>3128</v>
      </c>
      <c r="F145" s="33">
        <v>2860.2779809802491</v>
      </c>
      <c r="G145">
        <v>34323.335771762991</v>
      </c>
      <c r="I145" s="27">
        <v>45922</v>
      </c>
      <c r="J145" s="50">
        <v>129489.75859546452</v>
      </c>
      <c r="K145" s="14">
        <v>1188917.3372348209</v>
      </c>
    </row>
    <row r="146" spans="4:11" x14ac:dyDescent="0.3">
      <c r="D146" s="16">
        <v>841</v>
      </c>
      <c r="E146">
        <v>17060</v>
      </c>
      <c r="F146" s="33">
        <v>15599.853694220923</v>
      </c>
      <c r="G146">
        <v>155998.53694220923</v>
      </c>
      <c r="I146" s="27">
        <v>45923</v>
      </c>
      <c r="J146" s="50">
        <v>54385.515727871258</v>
      </c>
      <c r="K146" s="14">
        <v>533916.42282370164</v>
      </c>
    </row>
    <row r="147" spans="4:11" x14ac:dyDescent="0.3">
      <c r="D147" s="16">
        <v>842</v>
      </c>
      <c r="E147"/>
      <c r="F147" s="33">
        <v>0</v>
      </c>
      <c r="G147">
        <v>0</v>
      </c>
      <c r="I147" s="27">
        <v>45924</v>
      </c>
      <c r="J147" s="50">
        <v>100605.34016093636</v>
      </c>
      <c r="K147" s="14">
        <v>1207264.0819312364</v>
      </c>
    </row>
    <row r="148" spans="4:11" x14ac:dyDescent="0.3">
      <c r="D148" s="16">
        <v>843</v>
      </c>
      <c r="E148">
        <v>37420</v>
      </c>
      <c r="F148" s="33">
        <v>34217.264081931236</v>
      </c>
      <c r="G148">
        <v>342172.64081931236</v>
      </c>
      <c r="I148" s="27">
        <v>45925</v>
      </c>
      <c r="J148" s="50">
        <v>63347.659107534753</v>
      </c>
      <c r="K148" s="14">
        <v>698609.18068763718</v>
      </c>
    </row>
    <row r="149" spans="4:11" x14ac:dyDescent="0.3">
      <c r="D149" s="16">
        <v>844</v>
      </c>
      <c r="E149">
        <v>2641</v>
      </c>
      <c r="F149" s="33">
        <v>2414.9597659107535</v>
      </c>
      <c r="G149">
        <v>24149.597659107534</v>
      </c>
      <c r="I149" s="27">
        <v>45926</v>
      </c>
      <c r="J149" s="50">
        <v>59054.498902706662</v>
      </c>
      <c r="K149" s="14">
        <v>590929.04169714719</v>
      </c>
    </row>
    <row r="150" spans="4:11" x14ac:dyDescent="0.3">
      <c r="D150" s="16">
        <v>845</v>
      </c>
      <c r="E150"/>
      <c r="F150" s="33">
        <v>0</v>
      </c>
      <c r="G150">
        <v>0</v>
      </c>
      <c r="I150" s="27">
        <v>45927</v>
      </c>
      <c r="J150" s="50">
        <v>83154.718361375286</v>
      </c>
      <c r="K150" s="14">
        <v>831547.18361375283</v>
      </c>
    </row>
    <row r="151" spans="4:11" x14ac:dyDescent="0.3">
      <c r="D151" s="16">
        <v>846</v>
      </c>
      <c r="E151">
        <v>2190</v>
      </c>
      <c r="F151" s="33">
        <v>2002.56035113387</v>
      </c>
      <c r="G151">
        <v>20025.603511338701</v>
      </c>
      <c r="I151" s="27">
        <v>45929</v>
      </c>
      <c r="J151" s="50">
        <v>100475.49378200439</v>
      </c>
      <c r="K151" s="14">
        <v>1004754.937820044</v>
      </c>
    </row>
    <row r="152" spans="4:11" x14ac:dyDescent="0.3">
      <c r="D152" s="16">
        <v>847</v>
      </c>
      <c r="E152">
        <v>26284</v>
      </c>
      <c r="F152" s="33">
        <v>24034.381858083398</v>
      </c>
      <c r="G152">
        <v>240343.81858083396</v>
      </c>
      <c r="I152" s="27">
        <v>45930</v>
      </c>
      <c r="J152" s="50">
        <v>102428.67593269936</v>
      </c>
      <c r="K152" s="14">
        <v>1211093.63569861</v>
      </c>
    </row>
    <row r="153" spans="4:11" x14ac:dyDescent="0.3">
      <c r="D153" s="16">
        <v>848</v>
      </c>
      <c r="E153"/>
      <c r="F153" s="33">
        <v>0</v>
      </c>
      <c r="G153">
        <v>0</v>
      </c>
      <c r="I153" s="27">
        <v>45931</v>
      </c>
      <c r="J153" s="50">
        <v>84868.324798829562</v>
      </c>
      <c r="K153" s="14">
        <v>838532.37015362107</v>
      </c>
    </row>
    <row r="154" spans="4:11" x14ac:dyDescent="0.3">
      <c r="D154" s="16">
        <v>849</v>
      </c>
      <c r="E154">
        <v>6883</v>
      </c>
      <c r="F154" s="33">
        <v>6293.8917337234825</v>
      </c>
      <c r="G154">
        <v>62938.917337234823</v>
      </c>
      <c r="I154" s="27">
        <v>45933</v>
      </c>
      <c r="J154" s="50">
        <v>78115.398683248</v>
      </c>
      <c r="K154" s="14">
        <v>773414.41111923929</v>
      </c>
    </row>
    <row r="155" spans="4:11" x14ac:dyDescent="0.3">
      <c r="D155" s="16">
        <v>850</v>
      </c>
      <c r="E155"/>
      <c r="F155" s="33">
        <v>0</v>
      </c>
      <c r="G155">
        <v>0</v>
      </c>
      <c r="I155" s="27" t="s">
        <v>28</v>
      </c>
      <c r="J155" s="50">
        <v>3459207.2055596192</v>
      </c>
      <c r="K155" s="14">
        <v>35189428.537161663</v>
      </c>
    </row>
    <row r="156" spans="4:11" x14ac:dyDescent="0.3">
      <c r="D156" s="16">
        <v>851</v>
      </c>
      <c r="E156"/>
      <c r="F156" s="33">
        <v>0</v>
      </c>
      <c r="G156">
        <v>0</v>
      </c>
      <c r="I156"/>
      <c r="J156"/>
      <c r="K156"/>
    </row>
    <row r="157" spans="4:11" x14ac:dyDescent="0.3">
      <c r="D157" s="16">
        <v>852</v>
      </c>
      <c r="E157">
        <v>10423</v>
      </c>
      <c r="F157" s="33">
        <v>9530.9070958302855</v>
      </c>
      <c r="G157">
        <v>95309.070958302851</v>
      </c>
      <c r="I157"/>
      <c r="J157"/>
      <c r="K157"/>
    </row>
    <row r="158" spans="4:11" x14ac:dyDescent="0.3">
      <c r="D158" s="16">
        <v>853</v>
      </c>
      <c r="E158">
        <v>22769</v>
      </c>
      <c r="F158" s="33">
        <v>20820.226773957573</v>
      </c>
      <c r="G158">
        <v>208202.26773957573</v>
      </c>
      <c r="I158"/>
      <c r="J158"/>
      <c r="K158"/>
    </row>
    <row r="159" spans="4:11" x14ac:dyDescent="0.3">
      <c r="D159" s="16">
        <v>854</v>
      </c>
      <c r="E159">
        <v>25407</v>
      </c>
      <c r="F159" s="33">
        <v>23232.44330651061</v>
      </c>
      <c r="G159">
        <v>232324.4330651061</v>
      </c>
      <c r="I159"/>
      <c r="J159"/>
      <c r="K159"/>
    </row>
    <row r="160" spans="4:11" x14ac:dyDescent="0.3">
      <c r="D160" s="16">
        <v>855</v>
      </c>
      <c r="E160"/>
      <c r="F160" s="33">
        <v>0</v>
      </c>
      <c r="G160">
        <v>0</v>
      </c>
      <c r="I160"/>
      <c r="J160"/>
      <c r="K160"/>
    </row>
    <row r="161" spans="4:11" x14ac:dyDescent="0.3">
      <c r="D161" s="16">
        <v>856</v>
      </c>
      <c r="E161">
        <v>25710</v>
      </c>
      <c r="F161" s="33">
        <v>23509.509875640091</v>
      </c>
      <c r="G161">
        <v>235095.09875640093</v>
      </c>
      <c r="I161"/>
      <c r="J161"/>
      <c r="K161"/>
    </row>
    <row r="162" spans="4:11" x14ac:dyDescent="0.3">
      <c r="D162" s="16">
        <v>857</v>
      </c>
      <c r="E162">
        <v>18018</v>
      </c>
      <c r="F162" s="33">
        <v>16475.859546452088</v>
      </c>
      <c r="G162">
        <v>148282.73591806879</v>
      </c>
      <c r="I162"/>
      <c r="J162"/>
      <c r="K162"/>
    </row>
    <row r="163" spans="4:11" x14ac:dyDescent="0.3">
      <c r="D163" s="16">
        <v>858</v>
      </c>
      <c r="E163">
        <v>52061</v>
      </c>
      <c r="F163" s="33">
        <v>47605.157278712511</v>
      </c>
      <c r="G163">
        <v>428446.41550841258</v>
      </c>
      <c r="I163"/>
      <c r="J163"/>
      <c r="K163"/>
    </row>
    <row r="164" spans="4:11" x14ac:dyDescent="0.3">
      <c r="D164" s="16">
        <v>859</v>
      </c>
      <c r="E164">
        <v>45821</v>
      </c>
      <c r="F164" s="33">
        <v>41899.231894659846</v>
      </c>
      <c r="G164">
        <v>377093.08705193864</v>
      </c>
      <c r="I164"/>
      <c r="J164"/>
      <c r="K164"/>
    </row>
    <row r="165" spans="4:11" x14ac:dyDescent="0.3">
      <c r="D165" s="16">
        <v>860</v>
      </c>
      <c r="E165">
        <v>41491</v>
      </c>
      <c r="F165" s="33">
        <v>37939.831748354067</v>
      </c>
      <c r="G165">
        <v>379398.31748354068</v>
      </c>
    </row>
    <row r="166" spans="4:11" x14ac:dyDescent="0.3">
      <c r="D166" s="16">
        <v>861</v>
      </c>
      <c r="E166">
        <v>7116</v>
      </c>
      <c r="F166" s="33">
        <v>6506.9495245062189</v>
      </c>
      <c r="G166">
        <v>65069.495245062193</v>
      </c>
    </row>
    <row r="167" spans="4:11" x14ac:dyDescent="0.3">
      <c r="D167" s="16">
        <v>862</v>
      </c>
      <c r="E167"/>
      <c r="F167" s="33">
        <v>0</v>
      </c>
      <c r="G167">
        <v>0</v>
      </c>
    </row>
    <row r="168" spans="4:11" x14ac:dyDescent="0.3">
      <c r="D168" s="16">
        <v>863</v>
      </c>
      <c r="E168">
        <v>10869</v>
      </c>
      <c r="F168" s="33">
        <v>9938.7344550109738</v>
      </c>
      <c r="G168">
        <v>89448.61009509876</v>
      </c>
    </row>
    <row r="169" spans="4:11" x14ac:dyDescent="0.3">
      <c r="D169" s="16">
        <v>864</v>
      </c>
      <c r="E169">
        <v>35692</v>
      </c>
      <c r="F169" s="33">
        <v>32637.161667885885</v>
      </c>
      <c r="G169">
        <v>391645.94001463061</v>
      </c>
    </row>
    <row r="170" spans="4:11" x14ac:dyDescent="0.3">
      <c r="D170" s="16">
        <v>865</v>
      </c>
      <c r="E170">
        <v>28089</v>
      </c>
      <c r="F170" s="33">
        <v>25684.893928310172</v>
      </c>
      <c r="G170">
        <v>308218.72713972209</v>
      </c>
    </row>
    <row r="171" spans="4:11" x14ac:dyDescent="0.3">
      <c r="D171" s="16">
        <v>866</v>
      </c>
      <c r="E171">
        <v>14996</v>
      </c>
      <c r="F171" s="33">
        <v>13712.509144111194</v>
      </c>
      <c r="G171">
        <v>164550.10972933433</v>
      </c>
    </row>
    <row r="172" spans="4:11" x14ac:dyDescent="0.3">
      <c r="D172" s="16">
        <v>867</v>
      </c>
      <c r="E172">
        <v>13485</v>
      </c>
      <c r="F172" s="33">
        <v>12330.833942940748</v>
      </c>
      <c r="G172">
        <v>147970.00731528897</v>
      </c>
    </row>
    <row r="173" spans="4:11" x14ac:dyDescent="0.3">
      <c r="D173" s="16">
        <v>868</v>
      </c>
      <c r="E173">
        <v>15066</v>
      </c>
      <c r="F173" s="33">
        <v>13776.517922457939</v>
      </c>
      <c r="G173">
        <v>165318.21506949526</v>
      </c>
    </row>
    <row r="174" spans="4:11" x14ac:dyDescent="0.3">
      <c r="D174" s="16">
        <v>869</v>
      </c>
      <c r="E174">
        <v>2694</v>
      </c>
      <c r="F174" s="33">
        <v>2463.4235552304317</v>
      </c>
      <c r="G174">
        <v>29561.08266276518</v>
      </c>
    </row>
    <row r="175" spans="4:11" x14ac:dyDescent="0.3">
      <c r="D175" s="16">
        <v>870</v>
      </c>
      <c r="E175">
        <v>32937</v>
      </c>
      <c r="F175" s="33">
        <v>30117.95903438186</v>
      </c>
      <c r="G175">
        <v>361415.50841258233</v>
      </c>
    </row>
    <row r="176" spans="4:11" x14ac:dyDescent="0.3">
      <c r="D176" s="16">
        <v>871</v>
      </c>
      <c r="E176">
        <v>25630</v>
      </c>
      <c r="F176" s="33">
        <v>23436.356986100953</v>
      </c>
      <c r="G176">
        <v>234363.56986100954</v>
      </c>
    </row>
    <row r="177" spans="4:7" x14ac:dyDescent="0.3">
      <c r="D177" s="16">
        <v>872</v>
      </c>
      <c r="E177">
        <v>10710</v>
      </c>
      <c r="F177" s="33">
        <v>9793.3430870519387</v>
      </c>
      <c r="G177">
        <v>102830.10241404535</v>
      </c>
    </row>
    <row r="178" spans="4:7" x14ac:dyDescent="0.3">
      <c r="D178" s="16">
        <v>873</v>
      </c>
      <c r="E178">
        <v>10161</v>
      </c>
      <c r="F178" s="33">
        <v>9291.331382589613</v>
      </c>
      <c r="G178">
        <v>92913.313825896126</v>
      </c>
    </row>
    <row r="179" spans="4:7" x14ac:dyDescent="0.3">
      <c r="D179" s="16">
        <v>874</v>
      </c>
      <c r="E179">
        <v>20984</v>
      </c>
      <c r="F179" s="33">
        <v>19188.002926115583</v>
      </c>
      <c r="G179">
        <v>191880.02926115584</v>
      </c>
    </row>
    <row r="180" spans="4:7" x14ac:dyDescent="0.3">
      <c r="D180" s="16">
        <v>875</v>
      </c>
      <c r="E180">
        <v>13939</v>
      </c>
      <c r="F180" s="33">
        <v>12745.976591075349</v>
      </c>
      <c r="G180">
        <v>127459.76591075349</v>
      </c>
    </row>
    <row r="181" spans="4:7" x14ac:dyDescent="0.3">
      <c r="D181" s="16">
        <v>876</v>
      </c>
      <c r="E181">
        <v>210</v>
      </c>
      <c r="F181" s="33">
        <v>192.0263350402341</v>
      </c>
      <c r="G181">
        <v>2304.3160204828091</v>
      </c>
    </row>
    <row r="182" spans="4:7" x14ac:dyDescent="0.3">
      <c r="D182" s="16">
        <v>877</v>
      </c>
      <c r="E182">
        <v>19288</v>
      </c>
      <c r="F182" s="33">
        <v>17637.161667885885</v>
      </c>
      <c r="G182">
        <v>176371.61667885885</v>
      </c>
    </row>
    <row r="183" spans="4:7" x14ac:dyDescent="0.3">
      <c r="D183" s="16">
        <v>878</v>
      </c>
      <c r="E183">
        <v>12510</v>
      </c>
      <c r="F183" s="33">
        <v>11439.283101682517</v>
      </c>
      <c r="G183">
        <v>114392.83101682516</v>
      </c>
    </row>
    <row r="184" spans="4:7" x14ac:dyDescent="0.3">
      <c r="D184" s="16">
        <v>879</v>
      </c>
      <c r="E184">
        <v>16471</v>
      </c>
      <c r="F184" s="33">
        <v>15061.265544989028</v>
      </c>
      <c r="G184">
        <v>150612.65544989027</v>
      </c>
    </row>
    <row r="185" spans="4:7" x14ac:dyDescent="0.3">
      <c r="D185" s="16">
        <v>880</v>
      </c>
      <c r="E185">
        <v>11222</v>
      </c>
      <c r="F185" s="33">
        <v>10261.521580102415</v>
      </c>
      <c r="G185">
        <v>102615.21580102415</v>
      </c>
    </row>
    <row r="186" spans="4:7" x14ac:dyDescent="0.3">
      <c r="D186" s="16">
        <v>881</v>
      </c>
      <c r="E186">
        <v>15796</v>
      </c>
      <c r="F186" s="33">
        <v>14444.038039502562</v>
      </c>
      <c r="G186">
        <v>144440.38039502563</v>
      </c>
    </row>
    <row r="187" spans="4:7" x14ac:dyDescent="0.3">
      <c r="D187" s="16">
        <v>882</v>
      </c>
      <c r="E187">
        <v>17234</v>
      </c>
      <c r="F187" s="33">
        <v>15758.961228968546</v>
      </c>
      <c r="G187">
        <v>157589.61228968546</v>
      </c>
    </row>
    <row r="188" spans="4:7" x14ac:dyDescent="0.3">
      <c r="D188" s="16">
        <v>883</v>
      </c>
      <c r="E188">
        <v>13257</v>
      </c>
      <c r="F188" s="33">
        <v>12122.348207754207</v>
      </c>
      <c r="G188">
        <v>121223.48207754207</v>
      </c>
    </row>
    <row r="189" spans="4:7" x14ac:dyDescent="0.3">
      <c r="D189" s="16">
        <v>884</v>
      </c>
      <c r="E189">
        <v>4448</v>
      </c>
      <c r="F189" s="33">
        <v>4067.3006583760061</v>
      </c>
      <c r="G189">
        <v>40673.006583760063</v>
      </c>
    </row>
    <row r="190" spans="4:7" x14ac:dyDescent="0.3">
      <c r="D190" s="16">
        <v>885</v>
      </c>
      <c r="E190">
        <v>1850</v>
      </c>
      <c r="F190" s="33">
        <v>1691.6605705925385</v>
      </c>
      <c r="G190">
        <v>16916.605705925387</v>
      </c>
    </row>
    <row r="191" spans="4:7" x14ac:dyDescent="0.3">
      <c r="D191" s="16">
        <v>886</v>
      </c>
      <c r="E191">
        <v>12863</v>
      </c>
      <c r="F191" s="33">
        <v>11762.070226773958</v>
      </c>
      <c r="G191">
        <v>117620.70226773957</v>
      </c>
    </row>
    <row r="192" spans="4:7" x14ac:dyDescent="0.3">
      <c r="D192" s="16">
        <v>887</v>
      </c>
      <c r="E192">
        <v>4262</v>
      </c>
      <c r="F192" s="33">
        <v>3897.2201901975131</v>
      </c>
      <c r="G192">
        <v>38972.201901975131</v>
      </c>
    </row>
    <row r="193" spans="4:7" x14ac:dyDescent="0.3">
      <c r="D193" s="16">
        <v>888</v>
      </c>
      <c r="E193">
        <v>4440</v>
      </c>
      <c r="F193" s="33">
        <v>4059.9853694220924</v>
      </c>
      <c r="G193">
        <v>40599.853694220925</v>
      </c>
    </row>
    <row r="194" spans="4:7" x14ac:dyDescent="0.3">
      <c r="D194" s="16">
        <v>889</v>
      </c>
      <c r="E194">
        <v>16998</v>
      </c>
      <c r="F194" s="33">
        <v>15543.160204828093</v>
      </c>
      <c r="G194">
        <v>155431.60204828094</v>
      </c>
    </row>
    <row r="195" spans="4:7" x14ac:dyDescent="0.3">
      <c r="D195" s="16">
        <v>890</v>
      </c>
      <c r="E195">
        <v>15007</v>
      </c>
      <c r="F195" s="33">
        <v>13722.567666422825</v>
      </c>
      <c r="G195">
        <v>137225.67666422826</v>
      </c>
    </row>
    <row r="196" spans="4:7" x14ac:dyDescent="0.3">
      <c r="D196" s="16">
        <v>891</v>
      </c>
      <c r="E196">
        <v>36453</v>
      </c>
      <c r="F196" s="33">
        <v>33333.028529626921</v>
      </c>
      <c r="G196">
        <v>333330.28529626923</v>
      </c>
    </row>
    <row r="197" spans="4:7" x14ac:dyDescent="0.3">
      <c r="D197" s="16">
        <v>892</v>
      </c>
      <c r="E197">
        <v>18007</v>
      </c>
      <c r="F197" s="33">
        <v>16465.801024140455</v>
      </c>
      <c r="G197">
        <v>164658.01024140455</v>
      </c>
    </row>
    <row r="198" spans="4:7" x14ac:dyDescent="0.3">
      <c r="D198" s="16">
        <v>893</v>
      </c>
      <c r="E198">
        <v>19462</v>
      </c>
      <c r="F198" s="33">
        <v>17796.269202633506</v>
      </c>
      <c r="G198">
        <v>213555.23043160207</v>
      </c>
    </row>
    <row r="199" spans="4:7" x14ac:dyDescent="0.3">
      <c r="D199" s="16">
        <v>894</v>
      </c>
      <c r="E199">
        <v>2846</v>
      </c>
      <c r="F199" s="33">
        <v>2602.4140453547916</v>
      </c>
      <c r="G199">
        <v>31228.968544257499</v>
      </c>
    </row>
    <row r="200" spans="4:7" x14ac:dyDescent="0.3">
      <c r="D200" s="16">
        <v>895</v>
      </c>
      <c r="E200">
        <v>8529</v>
      </c>
      <c r="F200" s="33">
        <v>7799.0124359912224</v>
      </c>
      <c r="G200">
        <v>93588.149231894669</v>
      </c>
    </row>
    <row r="201" spans="4:7" x14ac:dyDescent="0.3">
      <c r="D201" s="16">
        <v>896</v>
      </c>
      <c r="E201">
        <v>13770</v>
      </c>
      <c r="F201" s="33">
        <v>12591.441111923921</v>
      </c>
      <c r="G201">
        <v>151097.29334308705</v>
      </c>
    </row>
    <row r="202" spans="4:7" x14ac:dyDescent="0.3">
      <c r="D202" s="16">
        <v>897</v>
      </c>
      <c r="E202">
        <v>9238</v>
      </c>
      <c r="F202" s="33">
        <v>8447.3299195318214</v>
      </c>
      <c r="G202">
        <v>101367.95903438186</v>
      </c>
    </row>
    <row r="203" spans="4:7" x14ac:dyDescent="0.3">
      <c r="D203" s="16">
        <v>898</v>
      </c>
      <c r="E203">
        <v>6756</v>
      </c>
      <c r="F203" s="33">
        <v>6177.7615215801034</v>
      </c>
      <c r="G203">
        <v>74133.138258961233</v>
      </c>
    </row>
    <row r="204" spans="4:7" x14ac:dyDescent="0.3">
      <c r="D204" s="16" t="s">
        <v>294</v>
      </c>
      <c r="E204">
        <v>3124</v>
      </c>
      <c r="F204" s="33">
        <v>2856.620336503292</v>
      </c>
      <c r="G204">
        <v>34279.444038039503</v>
      </c>
    </row>
    <row r="205" spans="4:7" x14ac:dyDescent="0.3">
      <c r="D205" s="16" t="s">
        <v>295</v>
      </c>
      <c r="E205">
        <v>1928</v>
      </c>
      <c r="F205" s="33">
        <v>1762.984637893197</v>
      </c>
      <c r="G205">
        <v>21155.815654718364</v>
      </c>
    </row>
    <row r="206" spans="4:7" x14ac:dyDescent="0.3">
      <c r="D206" s="16" t="s">
        <v>296</v>
      </c>
      <c r="E206">
        <v>2578</v>
      </c>
      <c r="F206" s="33">
        <v>2357.3518653986835</v>
      </c>
      <c r="G206">
        <v>28288.222384784203</v>
      </c>
    </row>
    <row r="207" spans="4:7" x14ac:dyDescent="0.3">
      <c r="D207" s="16" t="s">
        <v>297</v>
      </c>
      <c r="E207">
        <v>4162</v>
      </c>
      <c r="F207" s="33">
        <v>3805.7790782735919</v>
      </c>
      <c r="G207">
        <v>45669.348939283103</v>
      </c>
    </row>
    <row r="208" spans="4:7" x14ac:dyDescent="0.3">
      <c r="D208" s="16" t="s">
        <v>298</v>
      </c>
      <c r="E208">
        <v>1384</v>
      </c>
      <c r="F208" s="33">
        <v>1265.5449890270668</v>
      </c>
      <c r="G208">
        <v>15186.539868324802</v>
      </c>
    </row>
    <row r="209" spans="4:7" x14ac:dyDescent="0.3">
      <c r="D209" s="16">
        <v>901</v>
      </c>
      <c r="E209">
        <v>15367</v>
      </c>
      <c r="F209" s="33">
        <v>14051.755669348941</v>
      </c>
      <c r="G209">
        <v>168621.06803218729</v>
      </c>
    </row>
    <row r="210" spans="4:7" x14ac:dyDescent="0.3">
      <c r="D210" s="16">
        <v>902</v>
      </c>
      <c r="E210"/>
      <c r="F210" s="33">
        <v>0</v>
      </c>
      <c r="G210"/>
    </row>
    <row r="211" spans="4:7" x14ac:dyDescent="0.3">
      <c r="D211" s="16">
        <v>903</v>
      </c>
      <c r="E211">
        <v>8722</v>
      </c>
      <c r="F211" s="33">
        <v>7975.4937820043897</v>
      </c>
      <c r="G211">
        <v>95705.92538405268</v>
      </c>
    </row>
    <row r="212" spans="4:7" x14ac:dyDescent="0.3">
      <c r="D212" s="16">
        <v>904</v>
      </c>
      <c r="E212">
        <v>7570</v>
      </c>
      <c r="F212" s="33">
        <v>6922.0921726408196</v>
      </c>
      <c r="G212">
        <v>83065.106071689836</v>
      </c>
    </row>
    <row r="213" spans="4:7" x14ac:dyDescent="0.3">
      <c r="D213" s="16">
        <v>905</v>
      </c>
      <c r="E213">
        <v>6580</v>
      </c>
      <c r="F213" s="33">
        <v>6016.8251645940018</v>
      </c>
      <c r="G213">
        <v>54151.426481346018</v>
      </c>
    </row>
    <row r="214" spans="4:7" x14ac:dyDescent="0.3">
      <c r="D214" s="16">
        <v>906</v>
      </c>
      <c r="E214">
        <v>4202</v>
      </c>
      <c r="F214" s="33">
        <v>3842.3555230431607</v>
      </c>
      <c r="G214">
        <v>40344.732991953184</v>
      </c>
    </row>
    <row r="215" spans="4:7" x14ac:dyDescent="0.3">
      <c r="D215" s="16">
        <v>907</v>
      </c>
      <c r="E215">
        <v>12967</v>
      </c>
      <c r="F215" s="33">
        <v>11857.168983174837</v>
      </c>
      <c r="G215">
        <v>118571.68983174837</v>
      </c>
    </row>
    <row r="216" spans="4:7" x14ac:dyDescent="0.3">
      <c r="D216" s="16">
        <v>908</v>
      </c>
      <c r="E216">
        <v>15228</v>
      </c>
      <c r="F216" s="33">
        <v>13924.65252377469</v>
      </c>
      <c r="G216">
        <v>139246.52523774689</v>
      </c>
    </row>
    <row r="217" spans="4:7" x14ac:dyDescent="0.3">
      <c r="D217" s="16">
        <v>909</v>
      </c>
      <c r="E217">
        <v>16294</v>
      </c>
      <c r="F217" s="33">
        <v>14899.414776883688</v>
      </c>
      <c r="G217">
        <v>148994.14776883688</v>
      </c>
    </row>
    <row r="218" spans="4:7" x14ac:dyDescent="0.3">
      <c r="D218" s="16">
        <v>910</v>
      </c>
      <c r="E218">
        <v>13202</v>
      </c>
      <c r="F218" s="33">
        <v>12072.055596196051</v>
      </c>
      <c r="G218">
        <v>108648.50036576446</v>
      </c>
    </row>
    <row r="219" spans="4:7" x14ac:dyDescent="0.3">
      <c r="D219" s="16">
        <v>911</v>
      </c>
      <c r="E219">
        <v>4484</v>
      </c>
      <c r="F219" s="33">
        <v>4100.2194586686173</v>
      </c>
      <c r="G219">
        <v>41002.194586686172</v>
      </c>
    </row>
    <row r="220" spans="4:7" x14ac:dyDescent="0.3">
      <c r="D220" s="16">
        <v>912</v>
      </c>
      <c r="E220">
        <v>12094</v>
      </c>
      <c r="F220" s="33">
        <v>11058.888076079005</v>
      </c>
      <c r="G220">
        <v>110588.88076079005</v>
      </c>
    </row>
    <row r="221" spans="4:7" x14ac:dyDescent="0.3">
      <c r="D221" s="16">
        <v>913</v>
      </c>
      <c r="E221">
        <v>11836</v>
      </c>
      <c r="F221" s="33">
        <v>10822.970007315291</v>
      </c>
      <c r="G221">
        <v>108229.70007315291</v>
      </c>
    </row>
    <row r="222" spans="4:7" x14ac:dyDescent="0.3">
      <c r="D222" s="16">
        <v>914</v>
      </c>
      <c r="E222">
        <v>2505</v>
      </c>
      <c r="F222" s="33">
        <v>2290.5998536942211</v>
      </c>
      <c r="G222">
        <v>22905.99853694221</v>
      </c>
    </row>
    <row r="223" spans="4:7" x14ac:dyDescent="0.3">
      <c r="D223" s="16">
        <v>915</v>
      </c>
      <c r="E223">
        <v>8464</v>
      </c>
      <c r="F223" s="33">
        <v>7739.5757132406734</v>
      </c>
      <c r="G223">
        <v>69656.181419166067</v>
      </c>
    </row>
    <row r="224" spans="4:7" x14ac:dyDescent="0.3">
      <c r="D224" s="16">
        <v>916</v>
      </c>
      <c r="E224">
        <v>27378</v>
      </c>
      <c r="F224" s="33">
        <v>25034.747622531093</v>
      </c>
      <c r="G224">
        <v>250347.47622531094</v>
      </c>
    </row>
    <row r="225" spans="4:7" x14ac:dyDescent="0.3">
      <c r="D225" s="16">
        <v>917</v>
      </c>
      <c r="E225">
        <v>2122</v>
      </c>
      <c r="F225" s="33">
        <v>1940.3803950256038</v>
      </c>
      <c r="G225">
        <v>19403.803950256039</v>
      </c>
    </row>
    <row r="226" spans="4:7" x14ac:dyDescent="0.3">
      <c r="D226" s="16">
        <v>918</v>
      </c>
      <c r="E226">
        <v>5121</v>
      </c>
      <c r="F226" s="33">
        <v>4682.6993416239948</v>
      </c>
      <c r="G226">
        <v>46826.993416239944</v>
      </c>
    </row>
    <row r="227" spans="4:7" x14ac:dyDescent="0.3">
      <c r="D227" s="16">
        <v>919</v>
      </c>
      <c r="E227">
        <v>40366</v>
      </c>
      <c r="F227" s="33">
        <v>36911.119239209955</v>
      </c>
      <c r="G227">
        <v>369111.19239209953</v>
      </c>
    </row>
    <row r="228" spans="4:7" x14ac:dyDescent="0.3">
      <c r="D228" s="16">
        <v>920</v>
      </c>
      <c r="E228">
        <v>1976</v>
      </c>
      <c r="F228" s="33">
        <v>1806.8763716166791</v>
      </c>
      <c r="G228">
        <v>18068.763716166792</v>
      </c>
    </row>
    <row r="229" spans="4:7" x14ac:dyDescent="0.3">
      <c r="D229" s="16" t="s">
        <v>28</v>
      </c>
      <c r="E229">
        <v>1160608</v>
      </c>
      <c r="F229" s="33">
        <v>3459207.2055596202</v>
      </c>
      <c r="G229">
        <v>35189428.537161663</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26"/>
  <sheetViews>
    <sheetView topLeftCell="F38" zoomScale="152" workbookViewId="0">
      <selection activeCell="H61" sqref="H61"/>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hidden="1" x14ac:dyDescent="0.3">
      <c r="A3" s="93">
        <v>45916</v>
      </c>
      <c r="B3" s="90" t="s">
        <v>100</v>
      </c>
      <c r="C3" s="90" t="s">
        <v>99</v>
      </c>
      <c r="D3" s="91"/>
      <c r="E3" s="91"/>
      <c r="F3" s="91"/>
      <c r="G3" s="91">
        <f>D3*E3</f>
        <v>0</v>
      </c>
      <c r="H3" s="11">
        <v>0</v>
      </c>
      <c r="I3" s="92">
        <v>0</v>
      </c>
      <c r="J3" s="11"/>
    </row>
    <row r="4" spans="1:14" hidden="1"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4">
        <f t="shared" ref="G6:G7" si="0">D6*E6</f>
        <v>212220</v>
      </c>
      <c r="H6" s="11"/>
      <c r="I6" s="11">
        <f>(D6*E6)-Table3[[#This Row],[Paid]]</f>
        <v>212220</v>
      </c>
      <c r="J6" s="11"/>
    </row>
    <row r="7" spans="1:14" hidden="1"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hidden="1"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hidden="1"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hidden="1"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hidden="1"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5781940</v>
      </c>
    </row>
    <row r="15" spans="1:14" x14ac:dyDescent="0.3">
      <c r="A15" s="1">
        <v>45919</v>
      </c>
      <c r="B15" t="s">
        <v>98</v>
      </c>
      <c r="C15">
        <v>1196</v>
      </c>
      <c r="D15" s="11">
        <v>35</v>
      </c>
      <c r="E15" s="11">
        <v>765</v>
      </c>
      <c r="F15" s="11"/>
      <c r="G15" s="114">
        <f t="shared" si="2"/>
        <v>26775</v>
      </c>
      <c r="H15" s="11"/>
      <c r="I15" s="11">
        <f>(D15*E15)-Table3[[#This Row],[Paid]]</f>
        <v>26775</v>
      </c>
    </row>
    <row r="16" spans="1:14" x14ac:dyDescent="0.3">
      <c r="A16" s="1">
        <v>45920</v>
      </c>
      <c r="B16" t="s">
        <v>98</v>
      </c>
      <c r="C16">
        <v>4366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4">
        <f t="shared" si="2"/>
        <v>219555</v>
      </c>
      <c r="H17" s="11"/>
      <c r="I17" s="11">
        <f>(D17*E17)-Table3[[#This Row],[Paid]]</f>
        <v>219555</v>
      </c>
    </row>
    <row r="18" spans="1:11" hidden="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4">
        <f t="shared" si="2"/>
        <v>57375</v>
      </c>
      <c r="H19" s="11">
        <f>SUMIFS(Table14[Debit], Table14[Date], Table3[[#This Row],[Date]], Table14[Party], Table3[[#This Row],[Party Name]])</f>
        <v>36000</v>
      </c>
      <c r="I19" s="11">
        <f>(D19*E19)-Table3[[#This Row],[Paid]]</f>
        <v>21375</v>
      </c>
    </row>
    <row r="20" spans="1:11" hidden="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hidden="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hidden="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4">
        <f>D23*E23</f>
        <v>113400</v>
      </c>
      <c r="H23" s="11"/>
      <c r="I23" s="11">
        <f>(D23*E23)-Table3[[#This Row],[Paid]]</f>
        <v>113400</v>
      </c>
    </row>
    <row r="24" spans="1:11" x14ac:dyDescent="0.3">
      <c r="A24" s="1">
        <v>45922</v>
      </c>
      <c r="B24" t="s">
        <v>98</v>
      </c>
      <c r="C24">
        <v>4095</v>
      </c>
      <c r="D24" s="11">
        <v>217</v>
      </c>
      <c r="E24" s="11">
        <v>810</v>
      </c>
      <c r="F24" s="11">
        <v>37400</v>
      </c>
      <c r="G24" s="114">
        <f>D24*E24</f>
        <v>175770</v>
      </c>
      <c r="H24" s="11">
        <f>SUMIFS(Table14[Debit], Table14[Date], Table3[[#This Row],[Date]], Table14[Party], Table3[[#This Row],[Party Name]])</f>
        <v>249402</v>
      </c>
      <c r="I24" s="11">
        <f>(D24*E24)-Table3[[#This Row],[Paid]]</f>
        <v>-73632</v>
      </c>
    </row>
    <row r="25" spans="1:11" hidden="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4">
        <f t="shared" ref="G26:G30" si="3">D26*E26</f>
        <v>76500</v>
      </c>
      <c r="H26" s="11"/>
      <c r="I26" s="11">
        <f>(D26*E26)-Table3[[#This Row],[Paid]]</f>
        <v>76500</v>
      </c>
    </row>
    <row r="27" spans="1:11" x14ac:dyDescent="0.3">
      <c r="A27" s="1">
        <v>45923</v>
      </c>
      <c r="B27" t="s">
        <v>98</v>
      </c>
      <c r="C27">
        <v>3229</v>
      </c>
      <c r="D27" s="11">
        <v>104</v>
      </c>
      <c r="E27" s="11">
        <v>810</v>
      </c>
      <c r="F27" s="11"/>
      <c r="G27" s="114">
        <f t="shared" si="3"/>
        <v>84240</v>
      </c>
      <c r="H27" s="11">
        <f>SUMIFS(Table14[Debit], Table14[Date], Table3[[#This Row],[Date]], Table14[Party], Table3[[#This Row],[Party Name]])</f>
        <v>362400</v>
      </c>
      <c r="I27" s="11">
        <f>(D27*E27)-Table3[[#This Row],[Paid]]</f>
        <v>-278160</v>
      </c>
    </row>
    <row r="28" spans="1:11" hidden="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4">
        <f t="shared" si="3"/>
        <v>187920</v>
      </c>
      <c r="H29" s="11"/>
      <c r="I29" s="11">
        <f>(D29*E29)-Table3[[#This Row],[Paid]]</f>
        <v>187920</v>
      </c>
      <c r="K29" s="14"/>
    </row>
    <row r="30" spans="1:11" hidden="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hidden="1"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hidden="1"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v>8141</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4">
        <f t="shared" si="5"/>
        <v>247050</v>
      </c>
      <c r="H36" s="11"/>
      <c r="I36" s="11">
        <f>(D36*E36)-Table3[[#This Row],[Paid]]</f>
        <v>247050</v>
      </c>
    </row>
    <row r="37" spans="1:12" x14ac:dyDescent="0.3">
      <c r="A37" s="1">
        <v>45927</v>
      </c>
      <c r="B37" t="s">
        <v>98</v>
      </c>
      <c r="C37">
        <v>685</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4">
        <f t="shared" si="5"/>
        <v>119070</v>
      </c>
      <c r="H38" s="11"/>
      <c r="I38" s="11">
        <f>(D38*E38)-Table3[[#This Row],[Paid]]</f>
        <v>119070</v>
      </c>
    </row>
    <row r="39" spans="1:12" x14ac:dyDescent="0.3">
      <c r="A39" s="1">
        <v>45928</v>
      </c>
      <c r="B39" t="s">
        <v>98</v>
      </c>
      <c r="C39">
        <v>571</v>
      </c>
      <c r="D39" s="11">
        <v>263</v>
      </c>
      <c r="E39" s="107">
        <v>810</v>
      </c>
      <c r="F39" s="11">
        <v>27300</v>
      </c>
      <c r="G39" s="114">
        <f t="shared" si="5"/>
        <v>213030</v>
      </c>
      <c r="H39" s="11">
        <f>SUMIFS(Table14[Debit], Table14[Date], Table3[[#This Row],[Date]], Table14[Party], Table3[[#This Row],[Party Name]])</f>
        <v>67300</v>
      </c>
      <c r="I39" s="11">
        <f>(D39*E39)-Table3[[#This Row],[Paid]]</f>
        <v>145730</v>
      </c>
    </row>
    <row r="40" spans="1:12" x14ac:dyDescent="0.3">
      <c r="A40" s="1">
        <v>45928</v>
      </c>
      <c r="B40" t="s">
        <v>98</v>
      </c>
      <c r="C40">
        <v>160</v>
      </c>
      <c r="D40" s="11">
        <v>241</v>
      </c>
      <c r="E40" s="11">
        <v>810</v>
      </c>
      <c r="F40" s="11">
        <v>40000</v>
      </c>
      <c r="G40" s="114">
        <f t="shared" si="5"/>
        <v>195210</v>
      </c>
      <c r="H40" s="11"/>
      <c r="I40" s="11">
        <f>(D40*E40)-Table3[[#This Row],[Paid]]</f>
        <v>195210</v>
      </c>
      <c r="L40" s="14"/>
    </row>
    <row r="41" spans="1:12" hidden="1" x14ac:dyDescent="0.3">
      <c r="A41" s="1">
        <v>45928</v>
      </c>
      <c r="B41" t="s">
        <v>159</v>
      </c>
      <c r="D41" s="11">
        <v>35</v>
      </c>
      <c r="E41" s="11">
        <v>580</v>
      </c>
      <c r="F41" s="11"/>
      <c r="G41" s="11">
        <f t="shared" ref="G41:G45" si="6">D41*E41</f>
        <v>20300</v>
      </c>
      <c r="H41" s="11"/>
      <c r="I41" s="11">
        <f>(D41*E41)-Table3[[#This Row],[Paid]]</f>
        <v>20300</v>
      </c>
      <c r="L41" s="14">
        <f>I2-Table3[[#Totals],[balance]]</f>
        <v>358708</v>
      </c>
    </row>
    <row r="42" spans="1:12" hidden="1" x14ac:dyDescent="0.3">
      <c r="A42" s="1">
        <v>45928</v>
      </c>
      <c r="B42" t="s">
        <v>159</v>
      </c>
      <c r="D42" s="11">
        <v>42</v>
      </c>
      <c r="E42" s="11">
        <v>580</v>
      </c>
      <c r="F42" s="11"/>
      <c r="G42" s="11">
        <f t="shared" si="6"/>
        <v>24360</v>
      </c>
      <c r="H42" s="11"/>
      <c r="I42" s="11">
        <f>(D42*E42)-Table3[[#This Row],[Paid]]</f>
        <v>24360</v>
      </c>
    </row>
    <row r="43" spans="1:12" hidden="1" x14ac:dyDescent="0.3">
      <c r="A43" s="1">
        <v>45928</v>
      </c>
      <c r="B43" t="s">
        <v>159</v>
      </c>
      <c r="D43" s="11">
        <v>173</v>
      </c>
      <c r="E43" s="11">
        <v>580</v>
      </c>
      <c r="F43" s="11"/>
      <c r="G43" s="11">
        <f t="shared" si="6"/>
        <v>100340</v>
      </c>
      <c r="H43" s="11"/>
      <c r="I43" s="11">
        <f>(D43*E43)-Table3[[#This Row],[Paid]]</f>
        <v>100340</v>
      </c>
    </row>
    <row r="44" spans="1:12" hidden="1"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v>45930</v>
      </c>
      <c r="B46" t="s">
        <v>98</v>
      </c>
      <c r="C46" t="s">
        <v>293</v>
      </c>
      <c r="D46" s="11">
        <v>252</v>
      </c>
      <c r="E46" s="11">
        <v>810</v>
      </c>
      <c r="F46" s="11">
        <v>41060</v>
      </c>
      <c r="G46" s="11">
        <f>D46*E46</f>
        <v>204120</v>
      </c>
      <c r="H46" s="11">
        <f>SUMIFS(Table14[Debit], Table14[Date], Table3[[#This Row],[Date]], Table14[Party], Table3[[#This Row],[Party Name]])</f>
        <v>341390</v>
      </c>
      <c r="I46" s="11">
        <f>(D46*E46)-Table3[[#This Row],[Paid]]</f>
        <v>-137270</v>
      </c>
    </row>
    <row r="47" spans="1:12" x14ac:dyDescent="0.3">
      <c r="A47" s="1">
        <v>45931</v>
      </c>
      <c r="B47" t="s">
        <v>98</v>
      </c>
      <c r="C47" t="s">
        <v>300</v>
      </c>
      <c r="D47" s="11">
        <v>295</v>
      </c>
      <c r="E47" s="11">
        <v>765</v>
      </c>
      <c r="F47" s="11">
        <v>40000</v>
      </c>
      <c r="G47" s="11">
        <f>D47*E47</f>
        <v>225675</v>
      </c>
      <c r="H47" s="11">
        <f>SUMIFS(Table14[Debit], Table14[Date], Table3[[#This Row],[Date]], Table14[Party], Table3[[#This Row],[Party Name]])</f>
        <v>402560</v>
      </c>
      <c r="I47" s="11">
        <f>(D47*E47)-Table3[[#This Row],[Paid]]</f>
        <v>-176885</v>
      </c>
    </row>
    <row r="48" spans="1:12" x14ac:dyDescent="0.3">
      <c r="A48" s="1">
        <v>45931</v>
      </c>
      <c r="B48" t="s">
        <v>98</v>
      </c>
      <c r="C48" t="s">
        <v>301</v>
      </c>
      <c r="D48" s="11">
        <v>376</v>
      </c>
      <c r="E48" s="11">
        <v>810</v>
      </c>
      <c r="F48" s="11">
        <v>62410</v>
      </c>
      <c r="G48" s="11">
        <f>D48*E48</f>
        <v>304560</v>
      </c>
      <c r="H48" s="11"/>
      <c r="I48" s="11">
        <f>(D48*E48)-Table3[[#This Row],[Paid]]</f>
        <v>304560</v>
      </c>
    </row>
    <row r="49" spans="1:9" x14ac:dyDescent="0.3">
      <c r="A49" s="1">
        <v>45932</v>
      </c>
      <c r="B49" t="s">
        <v>98</v>
      </c>
      <c r="C49" t="s">
        <v>309</v>
      </c>
      <c r="D49" s="11">
        <v>244</v>
      </c>
      <c r="E49" s="11">
        <v>810</v>
      </c>
      <c r="F49" s="11">
        <v>39200</v>
      </c>
      <c r="G49" s="11">
        <f t="shared" ref="G49:G57" si="7">D49*E49</f>
        <v>197640</v>
      </c>
      <c r="H49" s="11">
        <f>SUMIFS(Table14[Debit], Table14[Date], Table3[[#This Row],[Date]], Table14[Party], Table3[[#This Row],[Party Name]])</f>
        <v>384740</v>
      </c>
      <c r="I49" s="11">
        <f>(D49*E49)-Table3[[#This Row],[Paid]]</f>
        <v>-187100</v>
      </c>
    </row>
    <row r="50" spans="1:9" x14ac:dyDescent="0.3">
      <c r="A50" s="1">
        <v>45932</v>
      </c>
      <c r="B50" t="s">
        <v>98</v>
      </c>
      <c r="C50" t="s">
        <v>308</v>
      </c>
      <c r="D50" s="11">
        <v>275</v>
      </c>
      <c r="E50" s="11">
        <v>810</v>
      </c>
      <c r="F50" s="11">
        <v>44420</v>
      </c>
      <c r="G50" s="11">
        <f t="shared" si="7"/>
        <v>222750</v>
      </c>
      <c r="H50" s="11"/>
      <c r="I50" s="11">
        <f>(D50*E50)-Table3[[#This Row],[Paid]]</f>
        <v>222750</v>
      </c>
    </row>
    <row r="51" spans="1:9" hidden="1" x14ac:dyDescent="0.3">
      <c r="A51" s="1">
        <v>45930</v>
      </c>
      <c r="B51" t="s">
        <v>159</v>
      </c>
      <c r="D51" s="11">
        <v>41</v>
      </c>
      <c r="E51" s="11">
        <v>580</v>
      </c>
      <c r="F51" s="11"/>
      <c r="G51" s="11">
        <f t="shared" si="7"/>
        <v>23780</v>
      </c>
      <c r="H51" s="11"/>
      <c r="I51" s="11">
        <f>(D51*E51)-Table3[[#This Row],[Paid]]</f>
        <v>23780</v>
      </c>
    </row>
    <row r="52" spans="1:9" hidden="1" x14ac:dyDescent="0.3">
      <c r="A52" s="1">
        <v>45930</v>
      </c>
      <c r="B52" t="s">
        <v>317</v>
      </c>
      <c r="C52">
        <v>3414</v>
      </c>
      <c r="D52" s="11">
        <v>285</v>
      </c>
      <c r="E52" s="11">
        <v>775</v>
      </c>
      <c r="F52" s="11"/>
      <c r="G52" s="11">
        <f t="shared" si="7"/>
        <v>220875</v>
      </c>
      <c r="H52" s="11"/>
      <c r="I52" s="11">
        <f>(D52*E52)-Table3[[#This Row],[Paid]]</f>
        <v>220875</v>
      </c>
    </row>
    <row r="53" spans="1:9" hidden="1" x14ac:dyDescent="0.3">
      <c r="A53" s="1">
        <v>45932</v>
      </c>
      <c r="B53" t="s">
        <v>159</v>
      </c>
      <c r="D53" s="11"/>
      <c r="E53" s="11"/>
      <c r="F53" s="11"/>
      <c r="G53" s="11">
        <f t="shared" si="7"/>
        <v>0</v>
      </c>
      <c r="H53" s="11">
        <f>SUMIFS(Table14[Debit], Table14[Date], Table3[[#This Row],[Date]], Table14[Party], Table3[[#This Row],[Party Name]])</f>
        <v>125000</v>
      </c>
      <c r="I53" s="11">
        <f>(D53*E53)-Table3[[#This Row],[Paid]]</f>
        <v>-125000</v>
      </c>
    </row>
    <row r="54" spans="1:9" x14ac:dyDescent="0.3">
      <c r="A54" s="1">
        <v>45933</v>
      </c>
      <c r="B54" t="s">
        <v>98</v>
      </c>
      <c r="C54" t="s">
        <v>320</v>
      </c>
      <c r="D54" s="11">
        <v>210</v>
      </c>
      <c r="E54" s="11">
        <v>810</v>
      </c>
      <c r="F54" s="11">
        <v>34500</v>
      </c>
      <c r="G54" s="11">
        <f t="shared" si="7"/>
        <v>170100</v>
      </c>
      <c r="H54" s="11">
        <f>SUMIFS(Table14[Debit], Table14[Date], Table3[[#This Row],[Date]], Table14[Party], Table3[[#This Row],[Party Name]])</f>
        <v>429370</v>
      </c>
      <c r="I54" s="11">
        <f>(D54*E54)-Table3[[#This Row],[Paid]]</f>
        <v>-259270</v>
      </c>
    </row>
    <row r="55" spans="1:9" x14ac:dyDescent="0.3">
      <c r="A55" s="1">
        <v>45933</v>
      </c>
      <c r="B55" t="s">
        <v>98</v>
      </c>
      <c r="C55" t="s">
        <v>319</v>
      </c>
      <c r="D55" s="11">
        <v>443</v>
      </c>
      <c r="E55" s="11">
        <v>810</v>
      </c>
      <c r="F55" s="11">
        <v>92470</v>
      </c>
      <c r="G55" s="11">
        <f t="shared" si="7"/>
        <v>358830</v>
      </c>
      <c r="H55" s="11"/>
      <c r="I55" s="11">
        <f>(D55*E55)-Table3[[#This Row],[Paid]]</f>
        <v>358830</v>
      </c>
    </row>
    <row r="56" spans="1:9" x14ac:dyDescent="0.3">
      <c r="A56" s="1">
        <v>45934</v>
      </c>
      <c r="B56" t="s">
        <v>98</v>
      </c>
      <c r="C56" t="s">
        <v>336</v>
      </c>
      <c r="D56" s="11">
        <v>248</v>
      </c>
      <c r="E56" s="11">
        <v>810</v>
      </c>
      <c r="F56" s="11">
        <v>41720</v>
      </c>
      <c r="G56" s="11">
        <f t="shared" si="7"/>
        <v>200880</v>
      </c>
      <c r="H56" s="11">
        <f>SUMIFS(Table14[Debit], Table14[Date], Table3[[#This Row],[Date]], Table14[Party], Table3[[#This Row],[Party Name]])</f>
        <v>41720</v>
      </c>
      <c r="I56" s="11">
        <f>(D56*E56)-Table3[[#This Row],[Paid]]</f>
        <v>159160</v>
      </c>
    </row>
    <row r="57" spans="1:9" x14ac:dyDescent="0.3">
      <c r="A57" s="1">
        <v>45935</v>
      </c>
      <c r="B57" t="s">
        <v>98</v>
      </c>
      <c r="D57" s="11"/>
      <c r="E57" s="11"/>
      <c r="F57" s="11"/>
      <c r="G57" s="11">
        <f t="shared" si="7"/>
        <v>0</v>
      </c>
      <c r="H57" s="11">
        <f>SUMIFS(Table14[Debit], Table14[Date], Table3[[#This Row],[Date]], Table14[Party], Table3[[#This Row],[Party Name]])</f>
        <v>300900</v>
      </c>
      <c r="I57" s="11">
        <f>(D57*E57)-Table3[[#This Row],[Paid]]</f>
        <v>-300900</v>
      </c>
    </row>
    <row r="58" spans="1:9" hidden="1" x14ac:dyDescent="0.3">
      <c r="A58" s="1">
        <v>45936</v>
      </c>
      <c r="B58" t="s">
        <v>317</v>
      </c>
      <c r="D58" s="11"/>
      <c r="E58" s="11"/>
      <c r="F58" s="11"/>
      <c r="G58" s="11">
        <f>D58*E58</f>
        <v>0</v>
      </c>
      <c r="H58" s="11">
        <f>SUMIFS(Table14[Debit], Table14[Date], Table3[[#This Row],[Date]], Table14[Party], Table3[[#This Row],[Party Name]])</f>
        <v>219875</v>
      </c>
      <c r="I58" s="11">
        <f>(D58*E58)-Table3[[#This Row],[Paid]]</f>
        <v>-219875</v>
      </c>
    </row>
    <row r="59" spans="1:9" x14ac:dyDescent="0.3">
      <c r="A59" s="1">
        <v>45936</v>
      </c>
      <c r="B59" t="s">
        <v>98</v>
      </c>
      <c r="D59" s="11"/>
      <c r="E59" s="11"/>
      <c r="F59" s="11"/>
      <c r="G59" s="11">
        <f>D59*E59</f>
        <v>0</v>
      </c>
      <c r="H59" s="11">
        <f>SUMIFS(Table14[Debit], Table14[Date], Table3[[#This Row],[Date]], Table14[Party], Table3[[#This Row],[Party Name]])</f>
        <v>99018</v>
      </c>
      <c r="I59" s="11">
        <f>(D59*E59)-Table3[[#This Row],[Paid]]</f>
        <v>-99018</v>
      </c>
    </row>
    <row r="60" spans="1:9" x14ac:dyDescent="0.3">
      <c r="A60" s="1" t="s">
        <v>102</v>
      </c>
      <c r="D60" s="14"/>
      <c r="E60" s="14"/>
      <c r="F60" s="14"/>
      <c r="G60" s="14">
        <f>SUBTOTAL(109,Table3[Total])</f>
        <v>4965165</v>
      </c>
      <c r="H60" s="14">
        <f>SUBTOTAL(109,Table3[Paid])</f>
        <v>5323873</v>
      </c>
      <c r="I60" s="14">
        <f>SUBTOTAL(109,Table3[balance])</f>
        <v>2089439</v>
      </c>
    </row>
    <row r="66" spans="5:9" x14ac:dyDescent="0.3">
      <c r="E66" s="3" t="s">
        <v>2</v>
      </c>
      <c r="F66" t="s">
        <v>89</v>
      </c>
    </row>
    <row r="68" spans="5:9" x14ac:dyDescent="0.3">
      <c r="E68" s="3" t="s">
        <v>103</v>
      </c>
      <c r="F68" t="s">
        <v>104</v>
      </c>
      <c r="G68" t="s">
        <v>105</v>
      </c>
      <c r="H68" t="s">
        <v>106</v>
      </c>
      <c r="I68" t="s">
        <v>107</v>
      </c>
    </row>
    <row r="69" spans="5:9" x14ac:dyDescent="0.3">
      <c r="E69" s="27">
        <v>45916</v>
      </c>
      <c r="F69" s="14">
        <v>579</v>
      </c>
      <c r="G69" s="14">
        <v>448190</v>
      </c>
      <c r="H69" s="14">
        <v>361826</v>
      </c>
      <c r="I69" s="14">
        <v>2641241</v>
      </c>
    </row>
    <row r="70" spans="5:9" x14ac:dyDescent="0.3">
      <c r="E70" s="49" t="s">
        <v>108</v>
      </c>
      <c r="F70" s="14">
        <v>80</v>
      </c>
      <c r="G70" s="14">
        <v>44000</v>
      </c>
      <c r="H70" s="14">
        <v>0</v>
      </c>
      <c r="I70" s="14">
        <v>44000</v>
      </c>
    </row>
    <row r="71" spans="5:9" x14ac:dyDescent="0.3">
      <c r="E71" s="49" t="s">
        <v>99</v>
      </c>
      <c r="F71" s="14"/>
      <c r="G71" s="14">
        <v>0</v>
      </c>
      <c r="H71" s="14">
        <v>0</v>
      </c>
      <c r="I71" s="14">
        <v>2554877</v>
      </c>
    </row>
    <row r="72" spans="5:9" x14ac:dyDescent="0.3">
      <c r="E72" s="49">
        <v>112</v>
      </c>
      <c r="F72" s="14">
        <v>237</v>
      </c>
      <c r="G72" s="14">
        <v>191970</v>
      </c>
      <c r="H72" s="14">
        <v>361826</v>
      </c>
      <c r="I72" s="14">
        <v>-169856</v>
      </c>
    </row>
    <row r="73" spans="5:9" x14ac:dyDescent="0.3">
      <c r="E73" s="49">
        <v>1435</v>
      </c>
      <c r="F73" s="14">
        <v>262</v>
      </c>
      <c r="G73" s="14">
        <v>212220</v>
      </c>
      <c r="H73" s="14"/>
      <c r="I73" s="14">
        <v>212220</v>
      </c>
    </row>
    <row r="74" spans="5:9" x14ac:dyDescent="0.3">
      <c r="E74" s="27">
        <v>45917</v>
      </c>
      <c r="F74" s="14">
        <v>261</v>
      </c>
      <c r="G74" s="14">
        <v>143550</v>
      </c>
      <c r="H74" s="14">
        <v>120000</v>
      </c>
      <c r="I74" s="14">
        <v>23550</v>
      </c>
    </row>
    <row r="75" spans="5:9" x14ac:dyDescent="0.3">
      <c r="E75" s="49" t="s">
        <v>108</v>
      </c>
      <c r="F75" s="14">
        <v>261</v>
      </c>
      <c r="G75" s="14">
        <v>143550</v>
      </c>
      <c r="H75" s="14">
        <v>120000</v>
      </c>
      <c r="I75" s="14">
        <v>23550</v>
      </c>
    </row>
    <row r="76" spans="5:9" x14ac:dyDescent="0.3">
      <c r="E76" s="27">
        <v>45918</v>
      </c>
      <c r="F76" s="14">
        <v>291</v>
      </c>
      <c r="G76" s="14">
        <v>227390</v>
      </c>
      <c r="H76" s="14">
        <v>361760</v>
      </c>
      <c r="I76" s="14">
        <v>-134370</v>
      </c>
    </row>
    <row r="77" spans="5:9" x14ac:dyDescent="0.3">
      <c r="E77" s="49" t="s">
        <v>108</v>
      </c>
      <c r="F77" s="14">
        <v>32</v>
      </c>
      <c r="G77" s="14">
        <v>17600</v>
      </c>
      <c r="H77" s="14">
        <v>120000</v>
      </c>
      <c r="I77" s="14">
        <v>-102400</v>
      </c>
    </row>
    <row r="78" spans="5:9" x14ac:dyDescent="0.3">
      <c r="E78" s="49">
        <v>4646</v>
      </c>
      <c r="F78" s="14">
        <v>259</v>
      </c>
      <c r="G78" s="14">
        <v>209790</v>
      </c>
      <c r="H78" s="14">
        <v>241760</v>
      </c>
      <c r="I78" s="14">
        <v>-31970</v>
      </c>
    </row>
    <row r="79" spans="5:9" x14ac:dyDescent="0.3">
      <c r="E79" s="27">
        <v>45919</v>
      </c>
      <c r="F79" s="14">
        <v>206</v>
      </c>
      <c r="G79" s="14">
        <v>165285</v>
      </c>
      <c r="H79" s="14">
        <v>234300</v>
      </c>
      <c r="I79" s="14">
        <v>-69015</v>
      </c>
    </row>
    <row r="80" spans="5:9" x14ac:dyDescent="0.3">
      <c r="E80" s="49">
        <v>1196</v>
      </c>
      <c r="F80" s="14">
        <v>206</v>
      </c>
      <c r="G80" s="14">
        <v>165285</v>
      </c>
      <c r="H80" s="14">
        <v>234300</v>
      </c>
      <c r="I80" s="14">
        <v>-69015</v>
      </c>
    </row>
    <row r="81" spans="5:9" x14ac:dyDescent="0.3">
      <c r="E81" s="27">
        <v>45920</v>
      </c>
      <c r="F81" s="14">
        <v>633</v>
      </c>
      <c r="G81" s="14">
        <v>477975</v>
      </c>
      <c r="H81" s="14">
        <v>223385</v>
      </c>
      <c r="I81" s="14">
        <v>254590</v>
      </c>
    </row>
    <row r="82" spans="5:9" x14ac:dyDescent="0.3">
      <c r="E82" s="49" t="s">
        <v>108</v>
      </c>
      <c r="F82" s="14">
        <v>84</v>
      </c>
      <c r="G82" s="14">
        <v>46200</v>
      </c>
      <c r="H82" s="14">
        <v>0</v>
      </c>
      <c r="I82" s="14">
        <v>46200</v>
      </c>
    </row>
    <row r="83" spans="5:9" x14ac:dyDescent="0.3">
      <c r="E83" s="49">
        <v>4366</v>
      </c>
      <c r="F83" s="14">
        <v>262</v>
      </c>
      <c r="G83" s="14">
        <v>212220</v>
      </c>
      <c r="H83" s="14">
        <v>223385</v>
      </c>
      <c r="I83" s="14">
        <v>-11165</v>
      </c>
    </row>
    <row r="84" spans="5:9" x14ac:dyDescent="0.3">
      <c r="E84" s="49">
        <v>442</v>
      </c>
      <c r="F84" s="14">
        <v>287</v>
      </c>
      <c r="G84" s="14">
        <v>219555</v>
      </c>
      <c r="H84" s="14"/>
      <c r="I84" s="14">
        <v>219555</v>
      </c>
    </row>
    <row r="85" spans="5:9" x14ac:dyDescent="0.3">
      <c r="E85" s="27">
        <v>45921</v>
      </c>
      <c r="F85" s="14">
        <v>298</v>
      </c>
      <c r="G85" s="14">
        <v>216425</v>
      </c>
      <c r="H85" s="14">
        <v>36000</v>
      </c>
      <c r="I85" s="14">
        <v>180425</v>
      </c>
    </row>
    <row r="86" spans="5:9" x14ac:dyDescent="0.3">
      <c r="E86" s="49" t="s">
        <v>108</v>
      </c>
      <c r="F86" s="14">
        <v>83</v>
      </c>
      <c r="G86" s="14">
        <v>45650</v>
      </c>
      <c r="H86" s="14">
        <v>0</v>
      </c>
      <c r="I86" s="14">
        <v>45650</v>
      </c>
    </row>
    <row r="87" spans="5:9" x14ac:dyDescent="0.3">
      <c r="E87" s="49">
        <v>6613</v>
      </c>
      <c r="F87" s="14">
        <v>215</v>
      </c>
      <c r="G87" s="14">
        <v>170775</v>
      </c>
      <c r="H87" s="14">
        <v>36000</v>
      </c>
      <c r="I87" s="14">
        <v>134775</v>
      </c>
    </row>
    <row r="88" spans="5:9" x14ac:dyDescent="0.3">
      <c r="E88" s="27">
        <v>45922</v>
      </c>
      <c r="F88" s="14">
        <v>217</v>
      </c>
      <c r="G88" s="14">
        <v>175770</v>
      </c>
      <c r="H88" s="14">
        <v>399402</v>
      </c>
      <c r="I88" s="14">
        <v>-223632</v>
      </c>
    </row>
    <row r="89" spans="5:9" x14ac:dyDescent="0.3">
      <c r="E89" s="49" t="s">
        <v>108</v>
      </c>
      <c r="F89" s="14"/>
      <c r="G89" s="14">
        <v>0</v>
      </c>
      <c r="H89" s="14">
        <v>150000</v>
      </c>
      <c r="I89" s="14">
        <v>-150000</v>
      </c>
    </row>
    <row r="90" spans="5:9" x14ac:dyDescent="0.3">
      <c r="E90" s="49">
        <v>4095</v>
      </c>
      <c r="F90" s="14">
        <v>217</v>
      </c>
      <c r="G90" s="14">
        <v>175770</v>
      </c>
      <c r="H90" s="14">
        <v>249402</v>
      </c>
      <c r="I90" s="14">
        <v>-73632</v>
      </c>
    </row>
    <row r="91" spans="5:9" x14ac:dyDescent="0.3">
      <c r="E91" s="27">
        <v>45923</v>
      </c>
      <c r="F91" s="14">
        <v>526</v>
      </c>
      <c r="G91" s="14">
        <v>398160</v>
      </c>
      <c r="H91" s="14">
        <v>362400</v>
      </c>
      <c r="I91" s="14">
        <v>35760</v>
      </c>
    </row>
    <row r="92" spans="5:9" x14ac:dyDescent="0.3">
      <c r="E92" s="49">
        <v>3229</v>
      </c>
      <c r="F92" s="14">
        <v>204</v>
      </c>
      <c r="G92" s="14">
        <v>160740</v>
      </c>
      <c r="H92" s="14">
        <v>362400</v>
      </c>
      <c r="I92" s="14">
        <v>-201660</v>
      </c>
    </row>
    <row r="93" spans="5:9" x14ac:dyDescent="0.3">
      <c r="E93" s="49" t="s">
        <v>108</v>
      </c>
      <c r="F93" s="14">
        <v>90</v>
      </c>
      <c r="G93" s="14">
        <v>49500</v>
      </c>
      <c r="H93" s="14">
        <v>0</v>
      </c>
      <c r="I93" s="14">
        <v>49500</v>
      </c>
    </row>
    <row r="94" spans="5:9" x14ac:dyDescent="0.3">
      <c r="E94" s="49">
        <v>162</v>
      </c>
      <c r="F94" s="14">
        <v>232</v>
      </c>
      <c r="G94" s="14">
        <v>187920</v>
      </c>
      <c r="H94" s="14"/>
      <c r="I94" s="14">
        <v>187920</v>
      </c>
    </row>
    <row r="95" spans="5:9" x14ac:dyDescent="0.3">
      <c r="E95" s="27">
        <v>45925</v>
      </c>
      <c r="F95" s="14">
        <v>90</v>
      </c>
      <c r="G95" s="14">
        <v>52200</v>
      </c>
      <c r="H95" s="14">
        <v>300010</v>
      </c>
      <c r="I95" s="14">
        <v>-247810</v>
      </c>
    </row>
    <row r="96" spans="5:9" x14ac:dyDescent="0.3">
      <c r="E96" s="49" t="s">
        <v>108</v>
      </c>
      <c r="F96" s="14">
        <v>90</v>
      </c>
      <c r="G96" s="14">
        <v>52200</v>
      </c>
      <c r="H96" s="14">
        <v>300010</v>
      </c>
      <c r="I96" s="14">
        <v>-247810</v>
      </c>
    </row>
    <row r="97" spans="5:9" x14ac:dyDescent="0.3">
      <c r="E97" s="27">
        <v>45926</v>
      </c>
      <c r="F97" s="14">
        <v>558</v>
      </c>
      <c r="G97" s="14">
        <v>451980</v>
      </c>
      <c r="H97" s="14">
        <v>395600</v>
      </c>
      <c r="I97" s="14">
        <v>56380</v>
      </c>
    </row>
    <row r="98" spans="5:9" x14ac:dyDescent="0.3">
      <c r="E98" s="49">
        <v>8141</v>
      </c>
      <c r="F98" s="14">
        <v>253</v>
      </c>
      <c r="G98" s="14">
        <v>204930</v>
      </c>
      <c r="H98" s="14">
        <v>395600</v>
      </c>
      <c r="I98" s="14">
        <v>-190670</v>
      </c>
    </row>
    <row r="99" spans="5:9" x14ac:dyDescent="0.3">
      <c r="E99" s="49">
        <v>5560</v>
      </c>
      <c r="F99" s="14">
        <v>305</v>
      </c>
      <c r="G99" s="14">
        <v>247050</v>
      </c>
      <c r="H99" s="14"/>
      <c r="I99" s="14">
        <v>247050</v>
      </c>
    </row>
    <row r="100" spans="5:9" x14ac:dyDescent="0.3">
      <c r="E100" s="27">
        <v>45927</v>
      </c>
      <c r="F100" s="14">
        <v>197</v>
      </c>
      <c r="G100" s="14">
        <v>157320</v>
      </c>
      <c r="H100" s="14">
        <v>334500</v>
      </c>
      <c r="I100" s="14">
        <v>-177180</v>
      </c>
    </row>
    <row r="101" spans="5:9" x14ac:dyDescent="0.3">
      <c r="E101" s="49">
        <v>685</v>
      </c>
      <c r="F101" s="14">
        <v>197</v>
      </c>
      <c r="G101" s="14">
        <v>157320</v>
      </c>
      <c r="H101" s="14">
        <v>334500</v>
      </c>
      <c r="I101" s="14">
        <v>-177180</v>
      </c>
    </row>
    <row r="102" spans="5:9" x14ac:dyDescent="0.3">
      <c r="E102" s="27">
        <v>45924</v>
      </c>
      <c r="F102" s="14"/>
      <c r="G102" s="14">
        <v>0</v>
      </c>
      <c r="H102" s="14">
        <v>155000</v>
      </c>
      <c r="I102" s="14">
        <v>-155000</v>
      </c>
    </row>
    <row r="103" spans="5:9" x14ac:dyDescent="0.3">
      <c r="E103" s="49" t="s">
        <v>108</v>
      </c>
      <c r="F103" s="14"/>
      <c r="G103" s="14">
        <v>0</v>
      </c>
      <c r="H103" s="14">
        <v>155000</v>
      </c>
      <c r="I103" s="14">
        <v>-155000</v>
      </c>
    </row>
    <row r="104" spans="5:9" x14ac:dyDescent="0.3">
      <c r="E104" s="27">
        <v>45928</v>
      </c>
      <c r="F104" s="14">
        <v>803</v>
      </c>
      <c r="G104" s="14">
        <v>581660</v>
      </c>
      <c r="H104" s="14">
        <v>67300</v>
      </c>
      <c r="I104" s="14">
        <v>514360</v>
      </c>
    </row>
    <row r="105" spans="5:9" x14ac:dyDescent="0.3">
      <c r="E105" s="49" t="s">
        <v>108</v>
      </c>
      <c r="F105" s="14">
        <v>299</v>
      </c>
      <c r="G105" s="14">
        <v>173420</v>
      </c>
      <c r="H105" s="14"/>
      <c r="I105" s="14">
        <v>173420</v>
      </c>
    </row>
    <row r="106" spans="5:9" x14ac:dyDescent="0.3">
      <c r="E106" s="49">
        <v>160</v>
      </c>
      <c r="F106" s="14">
        <v>241</v>
      </c>
      <c r="G106" s="14">
        <v>195210</v>
      </c>
      <c r="H106" s="14"/>
      <c r="I106" s="14">
        <v>195210</v>
      </c>
    </row>
    <row r="107" spans="5:9" x14ac:dyDescent="0.3">
      <c r="E107" s="49">
        <v>571</v>
      </c>
      <c r="F107" s="14">
        <v>263</v>
      </c>
      <c r="G107" s="14">
        <v>213030</v>
      </c>
      <c r="H107" s="14">
        <v>67300</v>
      </c>
      <c r="I107" s="14">
        <v>145730</v>
      </c>
    </row>
    <row r="108" spans="5:9" x14ac:dyDescent="0.3">
      <c r="E108" s="27">
        <v>45929</v>
      </c>
      <c r="F108" s="14">
        <v>205</v>
      </c>
      <c r="G108" s="14">
        <v>156825</v>
      </c>
      <c r="H108" s="14">
        <v>342702</v>
      </c>
      <c r="I108" s="14">
        <v>-185877</v>
      </c>
    </row>
    <row r="109" spans="5:9" x14ac:dyDescent="0.3">
      <c r="E109" s="49" t="s">
        <v>282</v>
      </c>
      <c r="F109" s="14">
        <v>205</v>
      </c>
      <c r="G109" s="14">
        <v>156825</v>
      </c>
      <c r="H109" s="14">
        <v>342702</v>
      </c>
      <c r="I109" s="14">
        <v>-185877</v>
      </c>
    </row>
    <row r="110" spans="5:9" x14ac:dyDescent="0.3">
      <c r="E110" s="27">
        <v>45930</v>
      </c>
      <c r="F110" s="14">
        <v>578</v>
      </c>
      <c r="G110" s="14">
        <v>448775</v>
      </c>
      <c r="H110" s="14">
        <v>341390</v>
      </c>
      <c r="I110" s="14">
        <v>107385</v>
      </c>
    </row>
    <row r="111" spans="5:9" x14ac:dyDescent="0.3">
      <c r="E111" s="49" t="s">
        <v>108</v>
      </c>
      <c r="F111" s="14">
        <v>41</v>
      </c>
      <c r="G111" s="14">
        <v>23780</v>
      </c>
      <c r="H111" s="14"/>
      <c r="I111" s="14">
        <v>23780</v>
      </c>
    </row>
    <row r="112" spans="5:9" x14ac:dyDescent="0.3">
      <c r="E112" s="49" t="s">
        <v>293</v>
      </c>
      <c r="F112" s="14">
        <v>252</v>
      </c>
      <c r="G112" s="14">
        <v>204120</v>
      </c>
      <c r="H112" s="14">
        <v>341390</v>
      </c>
      <c r="I112" s="14">
        <v>-137270</v>
      </c>
    </row>
    <row r="113" spans="5:9" x14ac:dyDescent="0.3">
      <c r="E113" s="49">
        <v>3414</v>
      </c>
      <c r="F113" s="14">
        <v>285</v>
      </c>
      <c r="G113" s="14">
        <v>220875</v>
      </c>
      <c r="H113" s="14"/>
      <c r="I113" s="14">
        <v>220875</v>
      </c>
    </row>
    <row r="114" spans="5:9" x14ac:dyDescent="0.3">
      <c r="E114" s="27">
        <v>45931</v>
      </c>
      <c r="F114" s="14">
        <v>671</v>
      </c>
      <c r="G114" s="14">
        <v>530235</v>
      </c>
      <c r="H114" s="14">
        <v>402560</v>
      </c>
      <c r="I114" s="14">
        <v>127675</v>
      </c>
    </row>
    <row r="115" spans="5:9" x14ac:dyDescent="0.3">
      <c r="E115" s="49" t="s">
        <v>300</v>
      </c>
      <c r="F115" s="14">
        <v>295</v>
      </c>
      <c r="G115" s="14">
        <v>225675</v>
      </c>
      <c r="H115" s="14">
        <v>402560</v>
      </c>
      <c r="I115" s="14">
        <v>-176885</v>
      </c>
    </row>
    <row r="116" spans="5:9" x14ac:dyDescent="0.3">
      <c r="E116" s="49" t="s">
        <v>301</v>
      </c>
      <c r="F116" s="14">
        <v>376</v>
      </c>
      <c r="G116" s="14">
        <v>304560</v>
      </c>
      <c r="H116" s="14"/>
      <c r="I116" s="14">
        <v>304560</v>
      </c>
    </row>
    <row r="117" spans="5:9" x14ac:dyDescent="0.3">
      <c r="E117" s="27">
        <v>45932</v>
      </c>
      <c r="F117" s="14">
        <v>519</v>
      </c>
      <c r="G117" s="14">
        <v>420390</v>
      </c>
      <c r="H117" s="14">
        <v>509740</v>
      </c>
      <c r="I117" s="14">
        <v>-89350</v>
      </c>
    </row>
    <row r="118" spans="5:9" x14ac:dyDescent="0.3">
      <c r="E118" s="49" t="s">
        <v>108</v>
      </c>
      <c r="F118" s="14"/>
      <c r="G118" s="14">
        <v>0</v>
      </c>
      <c r="H118" s="14">
        <v>125000</v>
      </c>
      <c r="I118" s="14">
        <v>-125000</v>
      </c>
    </row>
    <row r="119" spans="5:9" x14ac:dyDescent="0.3">
      <c r="E119" s="49" t="s">
        <v>309</v>
      </c>
      <c r="F119" s="14">
        <v>244</v>
      </c>
      <c r="G119" s="14">
        <v>197640</v>
      </c>
      <c r="H119" s="14">
        <v>384740</v>
      </c>
      <c r="I119" s="14">
        <v>-187100</v>
      </c>
    </row>
    <row r="120" spans="5:9" x14ac:dyDescent="0.3">
      <c r="E120" s="49" t="s">
        <v>308</v>
      </c>
      <c r="F120" s="14">
        <v>275</v>
      </c>
      <c r="G120" s="14">
        <v>222750</v>
      </c>
      <c r="H120" s="14"/>
      <c r="I120" s="14">
        <v>222750</v>
      </c>
    </row>
    <row r="121" spans="5:9" x14ac:dyDescent="0.3">
      <c r="E121" s="27">
        <v>45933</v>
      </c>
      <c r="F121" s="14">
        <v>653</v>
      </c>
      <c r="G121" s="14">
        <v>528930</v>
      </c>
      <c r="H121" s="14">
        <v>429370</v>
      </c>
      <c r="I121" s="14">
        <v>99560</v>
      </c>
    </row>
    <row r="122" spans="5:9" x14ac:dyDescent="0.3">
      <c r="E122" s="49" t="s">
        <v>320</v>
      </c>
      <c r="F122" s="14">
        <v>210</v>
      </c>
      <c r="G122" s="14">
        <v>170100</v>
      </c>
      <c r="H122" s="14">
        <v>429370</v>
      </c>
      <c r="I122" s="14">
        <v>-259270</v>
      </c>
    </row>
    <row r="123" spans="5:9" x14ac:dyDescent="0.3">
      <c r="E123" s="49" t="s">
        <v>319</v>
      </c>
      <c r="F123" s="14">
        <v>443</v>
      </c>
      <c r="G123" s="14">
        <v>358830</v>
      </c>
      <c r="H123" s="14"/>
      <c r="I123" s="14">
        <v>358830</v>
      </c>
    </row>
    <row r="124" spans="5:9" x14ac:dyDescent="0.3">
      <c r="E124" s="27" t="s">
        <v>108</v>
      </c>
      <c r="F124" s="14"/>
      <c r="G124" s="14">
        <v>0</v>
      </c>
      <c r="H124" s="14"/>
      <c r="I124" s="14">
        <v>0</v>
      </c>
    </row>
    <row r="125" spans="5:9" x14ac:dyDescent="0.3">
      <c r="E125" s="49" t="s">
        <v>108</v>
      </c>
      <c r="F125" s="14"/>
      <c r="G125" s="14">
        <v>0</v>
      </c>
      <c r="H125" s="14"/>
      <c r="I125" s="14">
        <v>0</v>
      </c>
    </row>
    <row r="126" spans="5:9" x14ac:dyDescent="0.3">
      <c r="E126" s="27" t="s">
        <v>28</v>
      </c>
      <c r="F126" s="14">
        <v>7285</v>
      </c>
      <c r="G126" s="14">
        <v>5581060</v>
      </c>
      <c r="H126" s="14">
        <v>5377245</v>
      </c>
      <c r="I126" s="14">
        <v>2758692</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84"/>
  <sheetViews>
    <sheetView tabSelected="1" topLeftCell="B264" zoomScale="132" workbookViewId="0">
      <selection activeCell="I275" sqref="I275"/>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-447902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10901237</v>
      </c>
      <c r="M4" s="53" t="s">
        <v>112</v>
      </c>
      <c r="N4" s="59">
        <f>SUMIFS(Table14[Withdrawal],Table14[Party],"Cash",Table14[Mode],"Transfer")</f>
        <v>113000</v>
      </c>
    </row>
    <row r="5" spans="1:16" x14ac:dyDescent="0.3">
      <c r="A5" s="104">
        <v>45916</v>
      </c>
      <c r="B5" t="s">
        <v>98</v>
      </c>
      <c r="C5" s="112">
        <v>38800</v>
      </c>
      <c r="D5" s="11"/>
      <c r="E5" t="s">
        <v>168</v>
      </c>
      <c r="F5" s="52" t="s">
        <v>113</v>
      </c>
      <c r="J5" s="53" t="s">
        <v>70</v>
      </c>
      <c r="K5" s="54">
        <f>Table14[[#Totals],[Credit]]</f>
        <v>10986224</v>
      </c>
      <c r="M5" s="53" t="s">
        <v>113</v>
      </c>
      <c r="N5" s="54">
        <f>(SUMIFS(Table14[Credit],Table14[Mode],"Bank")-SUMIFS(Table14[Debit],Table14[Mode],"Bank")-SUMIFS(Table14[Withdrawal],Table14[Mode],"Transfer"))</f>
        <v>74659</v>
      </c>
      <c r="O5">
        <v>320</v>
      </c>
    </row>
    <row r="6" spans="1:16" x14ac:dyDescent="0.3">
      <c r="A6" s="104">
        <v>45916</v>
      </c>
      <c r="B6" t="s">
        <v>27</v>
      </c>
      <c r="C6" s="11"/>
      <c r="D6" s="11">
        <v>100000</v>
      </c>
      <c r="F6" s="52" t="s">
        <v>114</v>
      </c>
      <c r="J6" s="60" t="s">
        <v>43</v>
      </c>
      <c r="K6" s="61">
        <f>(K5-K4)</f>
        <v>84987</v>
      </c>
      <c r="M6" s="53" t="s">
        <v>114</v>
      </c>
      <c r="N6" s="54">
        <f>((SUMIFS(Table14[Credit],Table14[Mode],"Cash")-SUMIFS(Table14[Debit],Table14[Mode],"Cash"))+SUMIFS(Table14[Withdrawal],Table14[Party],"Cash",Table14[Mode],"Transfer"))</f>
        <v>10328</v>
      </c>
      <c r="O6">
        <v>1520</v>
      </c>
    </row>
    <row r="7" spans="1:16" x14ac:dyDescent="0.3">
      <c r="A7" s="104">
        <v>45916</v>
      </c>
      <c r="B7" t="s">
        <v>9</v>
      </c>
      <c r="C7" s="11"/>
      <c r="D7" s="11">
        <v>100000</v>
      </c>
      <c r="F7" s="52" t="s">
        <v>114</v>
      </c>
      <c r="M7" s="56" t="s">
        <v>5</v>
      </c>
      <c r="N7" s="57">
        <f>SUM(N5:N6)</f>
        <v>84987</v>
      </c>
      <c r="O7" s="99">
        <f>SUM(O5,O6)</f>
        <v>1840</v>
      </c>
      <c r="P7" s="14">
        <f>Table18[[#Totals],[amount]]-Table18[[#Totals],[Actual]]</f>
        <v>83147</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E24" t="s">
        <v>64</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E54" t="s">
        <v>314</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E61" t="s">
        <v>158</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E89" t="s">
        <v>64</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E94" t="s">
        <v>315</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E118" t="s">
        <v>158</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E138" t="s">
        <v>61</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E154" t="s">
        <v>261</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75000</v>
      </c>
    </row>
    <row r="165" spans="1:12" x14ac:dyDescent="0.3">
      <c r="A165" s="43">
        <v>45926</v>
      </c>
      <c r="B165" t="s">
        <v>21</v>
      </c>
      <c r="C165" s="47"/>
      <c r="D165" s="47">
        <v>87750</v>
      </c>
      <c r="E165" t="s">
        <v>64</v>
      </c>
      <c r="F165" s="52" t="s">
        <v>114</v>
      </c>
      <c r="J165" s="4" t="s">
        <v>9</v>
      </c>
      <c r="K165" s="14">
        <v>1152491</v>
      </c>
      <c r="L165" s="14"/>
    </row>
    <row r="166" spans="1:12" x14ac:dyDescent="0.3">
      <c r="A166" s="43">
        <v>45926</v>
      </c>
      <c r="B166" t="s">
        <v>121</v>
      </c>
      <c r="C166" s="47">
        <v>940</v>
      </c>
      <c r="D166" s="47"/>
      <c r="E166" t="s">
        <v>220</v>
      </c>
      <c r="F166" s="52" t="s">
        <v>114</v>
      </c>
      <c r="J166" s="4" t="s">
        <v>21</v>
      </c>
      <c r="K166" s="14">
        <v>2386943</v>
      </c>
      <c r="L166" s="14"/>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417100</v>
      </c>
    </row>
    <row r="169" spans="1:12" x14ac:dyDescent="0.3">
      <c r="A169" s="104">
        <v>45927</v>
      </c>
      <c r="B169" t="s">
        <v>54</v>
      </c>
      <c r="C169" s="11">
        <v>19200</v>
      </c>
      <c r="D169" s="11"/>
      <c r="E169" t="s">
        <v>268</v>
      </c>
      <c r="F169" s="52" t="s">
        <v>113</v>
      </c>
      <c r="J169" s="4" t="s">
        <v>98</v>
      </c>
      <c r="K169" s="14"/>
      <c r="L169" s="14">
        <v>4882235</v>
      </c>
    </row>
    <row r="170" spans="1:12" x14ac:dyDescent="0.3">
      <c r="A170" s="104">
        <v>45927</v>
      </c>
      <c r="B170" t="s">
        <v>162</v>
      </c>
      <c r="C170" s="11"/>
      <c r="D170" s="11">
        <v>250000</v>
      </c>
      <c r="F170" s="52" t="s">
        <v>113</v>
      </c>
      <c r="J170" s="4" t="s">
        <v>50</v>
      </c>
      <c r="K170" s="14"/>
      <c r="L170" s="14">
        <v>8455</v>
      </c>
    </row>
    <row r="171" spans="1:12" x14ac:dyDescent="0.3">
      <c r="A171" s="104">
        <v>45927</v>
      </c>
      <c r="B171" t="s">
        <v>98</v>
      </c>
      <c r="C171" s="114">
        <v>301000</v>
      </c>
      <c r="D171" s="11"/>
      <c r="E171" t="s">
        <v>269</v>
      </c>
      <c r="F171" s="52" t="s">
        <v>113</v>
      </c>
      <c r="J171" s="4" t="s">
        <v>55</v>
      </c>
      <c r="K171" s="14"/>
      <c r="L171" s="14">
        <v>194957</v>
      </c>
    </row>
    <row r="172" spans="1:12" x14ac:dyDescent="0.3">
      <c r="A172" s="104">
        <v>45927</v>
      </c>
      <c r="B172" t="s">
        <v>98</v>
      </c>
      <c r="C172" s="114">
        <v>33500</v>
      </c>
      <c r="D172" s="11"/>
      <c r="E172" t="s">
        <v>270</v>
      </c>
      <c r="F172" s="52" t="s">
        <v>114</v>
      </c>
      <c r="J172" s="4" t="s">
        <v>119</v>
      </c>
      <c r="K172" s="14"/>
      <c r="L172" s="14">
        <v>83550</v>
      </c>
    </row>
    <row r="173" spans="1:12" x14ac:dyDescent="0.3">
      <c r="A173" s="104">
        <v>45927</v>
      </c>
      <c r="B173" t="s">
        <v>54</v>
      </c>
      <c r="C173" s="11">
        <v>3000</v>
      </c>
      <c r="D173" s="11"/>
      <c r="E173" t="s">
        <v>271</v>
      </c>
      <c r="F173" s="52" t="s">
        <v>114</v>
      </c>
      <c r="J173" s="4" t="s">
        <v>52</v>
      </c>
      <c r="K173" s="14"/>
      <c r="L173" s="14">
        <v>44000</v>
      </c>
    </row>
    <row r="174" spans="1:12" x14ac:dyDescent="0.3">
      <c r="A174" s="104">
        <v>45927</v>
      </c>
      <c r="B174" t="s">
        <v>55</v>
      </c>
      <c r="C174" s="11">
        <v>1250</v>
      </c>
      <c r="D174" s="11"/>
      <c r="F174" s="52" t="s">
        <v>114</v>
      </c>
      <c r="J174" s="4" t="s">
        <v>23</v>
      </c>
      <c r="K174" s="14">
        <v>142800</v>
      </c>
      <c r="L174" s="14"/>
    </row>
    <row r="175" spans="1:12" x14ac:dyDescent="0.3">
      <c r="A175" s="104">
        <v>45927</v>
      </c>
      <c r="B175" t="s">
        <v>114</v>
      </c>
      <c r="C175" s="11"/>
      <c r="D175" s="11"/>
      <c r="F175" s="52" t="s">
        <v>272</v>
      </c>
      <c r="G175">
        <v>30000</v>
      </c>
      <c r="J175" s="4" t="s">
        <v>54</v>
      </c>
      <c r="K175" s="14"/>
      <c r="L175" s="14">
        <v>217002</v>
      </c>
    </row>
    <row r="176" spans="1:12" x14ac:dyDescent="0.3">
      <c r="A176" s="104">
        <v>45927</v>
      </c>
      <c r="B176" t="s">
        <v>123</v>
      </c>
      <c r="C176" s="11">
        <v>20000</v>
      </c>
      <c r="D176" s="11"/>
      <c r="E176" t="s">
        <v>184</v>
      </c>
      <c r="F176" s="52" t="s">
        <v>114</v>
      </c>
      <c r="J176" s="4" t="s">
        <v>121</v>
      </c>
      <c r="K176" s="14">
        <v>48522</v>
      </c>
      <c r="L176" s="14">
        <v>58560</v>
      </c>
    </row>
    <row r="177" spans="1:12" x14ac:dyDescent="0.3">
      <c r="A177" s="104">
        <v>45927</v>
      </c>
      <c r="B177" t="s">
        <v>243</v>
      </c>
      <c r="C177" s="11"/>
      <c r="D177" s="11">
        <v>280000</v>
      </c>
      <c r="F177" s="52" t="s">
        <v>113</v>
      </c>
      <c r="J177" s="4" t="s">
        <v>223</v>
      </c>
      <c r="K177" s="14"/>
      <c r="L177" s="14">
        <v>1903031</v>
      </c>
    </row>
    <row r="178" spans="1:12" x14ac:dyDescent="0.3">
      <c r="A178" s="104">
        <v>45927</v>
      </c>
      <c r="B178" t="s">
        <v>52</v>
      </c>
      <c r="C178" s="11"/>
      <c r="D178" s="11"/>
      <c r="E178" t="s">
        <v>273</v>
      </c>
      <c r="F178" s="52" t="s">
        <v>113</v>
      </c>
      <c r="J178" s="4" t="s">
        <v>118</v>
      </c>
      <c r="K178" s="14">
        <v>22750</v>
      </c>
      <c r="L178" s="14">
        <v>12000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108</v>
      </c>
      <c r="K180" s="14"/>
      <c r="L180" s="14"/>
    </row>
    <row r="181" spans="1:12" x14ac:dyDescent="0.3">
      <c r="A181" s="104">
        <v>45928</v>
      </c>
      <c r="B181" t="s">
        <v>26</v>
      </c>
      <c r="C181" s="11"/>
      <c r="D181" s="11">
        <v>200000</v>
      </c>
      <c r="F181" s="52" t="s">
        <v>113</v>
      </c>
      <c r="J181" s="4" t="s">
        <v>25</v>
      </c>
      <c r="K181" s="14">
        <v>400000</v>
      </c>
      <c r="L181" s="14"/>
    </row>
    <row r="182" spans="1:12" x14ac:dyDescent="0.3">
      <c r="A182" s="104">
        <v>45928</v>
      </c>
      <c r="B182" t="s">
        <v>52</v>
      </c>
      <c r="C182" s="11"/>
      <c r="D182" s="11"/>
      <c r="E182" t="s">
        <v>277</v>
      </c>
      <c r="F182" s="52" t="s">
        <v>113</v>
      </c>
      <c r="J182" s="4" t="s">
        <v>24</v>
      </c>
      <c r="K182" s="14">
        <v>4050000</v>
      </c>
      <c r="L182" s="14"/>
    </row>
    <row r="183" spans="1:12" x14ac:dyDescent="0.3">
      <c r="A183" s="104">
        <v>45928</v>
      </c>
      <c r="B183" t="s">
        <v>52</v>
      </c>
      <c r="C183" s="11">
        <v>20000</v>
      </c>
      <c r="D183" s="11"/>
      <c r="E183" t="s">
        <v>230</v>
      </c>
      <c r="F183" s="52" t="s">
        <v>113</v>
      </c>
      <c r="J183" s="4" t="s">
        <v>27</v>
      </c>
      <c r="K183" s="14">
        <v>200000</v>
      </c>
      <c r="L183" s="14"/>
    </row>
    <row r="184" spans="1:12" x14ac:dyDescent="0.3">
      <c r="A184" s="104">
        <v>45928</v>
      </c>
      <c r="B184" t="s">
        <v>21</v>
      </c>
      <c r="C184" s="47"/>
      <c r="D184" s="47">
        <v>20000</v>
      </c>
      <c r="E184" t="s">
        <v>230</v>
      </c>
      <c r="F184" s="52" t="s">
        <v>113</v>
      </c>
      <c r="J184" s="4" t="s">
        <v>122</v>
      </c>
      <c r="K184" s="14"/>
      <c r="L184" s="14">
        <v>500000</v>
      </c>
    </row>
    <row r="185" spans="1:12" x14ac:dyDescent="0.3">
      <c r="A185" s="104">
        <v>45928</v>
      </c>
      <c r="B185" t="s">
        <v>54</v>
      </c>
      <c r="C185" s="11">
        <v>7050</v>
      </c>
      <c r="D185" s="11"/>
      <c r="E185" t="s">
        <v>206</v>
      </c>
      <c r="F185" s="52" t="s">
        <v>113</v>
      </c>
      <c r="J185" s="4" t="s">
        <v>35</v>
      </c>
      <c r="K185" s="14">
        <v>155000</v>
      </c>
      <c r="L185" s="14"/>
    </row>
    <row r="186" spans="1:12" x14ac:dyDescent="0.3">
      <c r="A186" s="104">
        <v>45928</v>
      </c>
      <c r="B186" t="s">
        <v>54</v>
      </c>
      <c r="C186" s="11">
        <v>1000</v>
      </c>
      <c r="D186" s="11"/>
      <c r="E186" t="s">
        <v>278</v>
      </c>
      <c r="F186" s="52" t="s">
        <v>113</v>
      </c>
      <c r="J186" s="4" t="s">
        <v>26</v>
      </c>
      <c r="K186" s="14">
        <v>400000</v>
      </c>
      <c r="L186" s="14"/>
    </row>
    <row r="187" spans="1:12" x14ac:dyDescent="0.3">
      <c r="A187" s="104">
        <v>45928</v>
      </c>
      <c r="B187" t="s">
        <v>118</v>
      </c>
      <c r="C187" s="11">
        <v>1000</v>
      </c>
      <c r="D187" s="11"/>
      <c r="E187" t="s">
        <v>114</v>
      </c>
      <c r="F187" s="52" t="s">
        <v>114</v>
      </c>
      <c r="J187" s="4" t="s">
        <v>159</v>
      </c>
      <c r="K187" s="14"/>
      <c r="L187" s="14">
        <v>545010</v>
      </c>
    </row>
    <row r="188" spans="1:12" x14ac:dyDescent="0.3">
      <c r="A188" s="104">
        <v>45928</v>
      </c>
      <c r="B188" t="s">
        <v>121</v>
      </c>
      <c r="C188" s="11">
        <v>5000</v>
      </c>
      <c r="D188" s="11"/>
      <c r="E188" t="s">
        <v>279</v>
      </c>
      <c r="F188" s="52" t="s">
        <v>114</v>
      </c>
      <c r="J188" s="4" t="s">
        <v>64</v>
      </c>
      <c r="K188" s="14"/>
      <c r="L188" s="14">
        <v>462750</v>
      </c>
    </row>
    <row r="189" spans="1:12" x14ac:dyDescent="0.3">
      <c r="A189" s="104">
        <v>45928</v>
      </c>
      <c r="B189" t="s">
        <v>121</v>
      </c>
      <c r="C189" s="11">
        <v>2320</v>
      </c>
      <c r="D189" s="11"/>
      <c r="E189" t="s">
        <v>280</v>
      </c>
      <c r="F189" s="52" t="s">
        <v>114</v>
      </c>
      <c r="J189" s="4" t="s">
        <v>162</v>
      </c>
      <c r="K189" s="14">
        <v>1021620</v>
      </c>
      <c r="L189" s="14"/>
    </row>
    <row r="190" spans="1:12" x14ac:dyDescent="0.3">
      <c r="A190" s="43">
        <v>45929</v>
      </c>
      <c r="B190" t="s">
        <v>162</v>
      </c>
      <c r="C190" s="47"/>
      <c r="D190" s="47">
        <v>200000</v>
      </c>
      <c r="F190" s="52" t="s">
        <v>113</v>
      </c>
      <c r="J190" s="4" t="s">
        <v>167</v>
      </c>
      <c r="K190" s="14">
        <v>-1229769</v>
      </c>
      <c r="L190" s="14"/>
    </row>
    <row r="191" spans="1:12" x14ac:dyDescent="0.3">
      <c r="A191" s="104">
        <v>45929</v>
      </c>
      <c r="B191" t="s">
        <v>98</v>
      </c>
      <c r="C191" s="11">
        <v>300002</v>
      </c>
      <c r="D191" s="11"/>
      <c r="E191" t="s">
        <v>281</v>
      </c>
      <c r="F191" s="52" t="s">
        <v>113</v>
      </c>
      <c r="J191" s="4" t="s">
        <v>237</v>
      </c>
      <c r="K191" s="14"/>
      <c r="L191" s="14">
        <v>250000</v>
      </c>
    </row>
    <row r="192" spans="1:12" x14ac:dyDescent="0.3">
      <c r="A192" s="43">
        <v>45929</v>
      </c>
      <c r="B192" t="s">
        <v>98</v>
      </c>
      <c r="C192" s="11">
        <v>34700</v>
      </c>
      <c r="D192" s="11"/>
      <c r="E192" t="s">
        <v>282</v>
      </c>
      <c r="F192" s="52" t="s">
        <v>113</v>
      </c>
      <c r="J192" s="4" t="s">
        <v>243</v>
      </c>
      <c r="K192" s="14">
        <v>870000</v>
      </c>
      <c r="L192" s="14"/>
    </row>
    <row r="193" spans="1:12" x14ac:dyDescent="0.3">
      <c r="A193" s="104">
        <v>45929</v>
      </c>
      <c r="B193" t="s">
        <v>52</v>
      </c>
      <c r="C193" s="11"/>
      <c r="D193" s="11"/>
      <c r="E193" t="s">
        <v>283</v>
      </c>
      <c r="F193" s="52" t="s">
        <v>113</v>
      </c>
      <c r="J193" s="4" t="s">
        <v>28</v>
      </c>
      <c r="K193" s="14">
        <v>9867907</v>
      </c>
      <c r="L193" s="14">
        <v>9653650</v>
      </c>
    </row>
    <row r="194" spans="1:12" x14ac:dyDescent="0.3">
      <c r="A194" s="43">
        <v>45929</v>
      </c>
      <c r="B194" t="s">
        <v>121</v>
      </c>
      <c r="C194" s="11">
        <v>3300</v>
      </c>
      <c r="D194" s="11"/>
      <c r="E194" t="s">
        <v>171</v>
      </c>
      <c r="F194" s="52" t="s">
        <v>114</v>
      </c>
    </row>
    <row r="195" spans="1:12" x14ac:dyDescent="0.3">
      <c r="A195" s="104">
        <v>45928</v>
      </c>
      <c r="B195" t="s">
        <v>121</v>
      </c>
      <c r="C195" s="47">
        <v>3300</v>
      </c>
      <c r="D195" s="47"/>
      <c r="E195" t="s">
        <v>171</v>
      </c>
      <c r="F195" s="52" t="s">
        <v>114</v>
      </c>
    </row>
    <row r="196" spans="1:12" x14ac:dyDescent="0.3">
      <c r="A196" s="43">
        <v>45929</v>
      </c>
      <c r="B196" t="s">
        <v>55</v>
      </c>
      <c r="C196" s="11">
        <v>8227</v>
      </c>
      <c r="D196" s="11"/>
      <c r="E196" t="s">
        <v>198</v>
      </c>
      <c r="F196" s="52" t="s">
        <v>113</v>
      </c>
    </row>
    <row r="197" spans="1:12" x14ac:dyDescent="0.3">
      <c r="A197" s="104">
        <v>45929</v>
      </c>
      <c r="B197" t="s">
        <v>98</v>
      </c>
      <c r="C197" s="11">
        <v>8000</v>
      </c>
      <c r="D197" s="11"/>
      <c r="E197" t="s">
        <v>225</v>
      </c>
      <c r="F197" s="52" t="s">
        <v>113</v>
      </c>
    </row>
    <row r="198" spans="1:12" x14ac:dyDescent="0.3">
      <c r="A198" s="43">
        <v>45929</v>
      </c>
      <c r="B198" t="s">
        <v>114</v>
      </c>
      <c r="C198" s="11"/>
      <c r="D198" s="11"/>
      <c r="F198" s="52" t="s">
        <v>272</v>
      </c>
      <c r="G198">
        <v>3000</v>
      </c>
    </row>
    <row r="199" spans="1:12" x14ac:dyDescent="0.3">
      <c r="A199" s="104">
        <v>45929</v>
      </c>
      <c r="B199" t="s">
        <v>54</v>
      </c>
      <c r="C199" s="11">
        <v>2000</v>
      </c>
      <c r="D199" s="11"/>
      <c r="E199" t="s">
        <v>285</v>
      </c>
      <c r="F199" s="52" t="s">
        <v>113</v>
      </c>
    </row>
    <row r="200" spans="1:12" x14ac:dyDescent="0.3">
      <c r="A200" s="43">
        <v>45929</v>
      </c>
      <c r="B200" t="s">
        <v>9</v>
      </c>
      <c r="C200" s="47"/>
      <c r="D200" s="47">
        <v>150000</v>
      </c>
      <c r="E200" t="s">
        <v>286</v>
      </c>
      <c r="F200" s="52" t="s">
        <v>113</v>
      </c>
    </row>
    <row r="201" spans="1:12" x14ac:dyDescent="0.3">
      <c r="A201" s="104">
        <v>45929</v>
      </c>
      <c r="B201" t="s">
        <v>54</v>
      </c>
      <c r="C201" s="11">
        <v>3000</v>
      </c>
      <c r="D201" s="11"/>
      <c r="E201" t="s">
        <v>203</v>
      </c>
      <c r="F201" s="52" t="s">
        <v>287</v>
      </c>
    </row>
    <row r="202" spans="1:12" x14ac:dyDescent="0.3">
      <c r="A202" s="43">
        <v>45929</v>
      </c>
      <c r="B202" t="s">
        <v>288</v>
      </c>
      <c r="C202" s="47">
        <v>10000</v>
      </c>
      <c r="D202" s="47"/>
      <c r="E202" t="s">
        <v>158</v>
      </c>
      <c r="F202" s="52" t="s">
        <v>289</v>
      </c>
    </row>
    <row r="203" spans="1:12" x14ac:dyDescent="0.3">
      <c r="A203" s="104">
        <v>45929</v>
      </c>
      <c r="B203" t="s">
        <v>54</v>
      </c>
      <c r="C203" s="11">
        <v>5700</v>
      </c>
      <c r="D203" s="11"/>
      <c r="E203" t="s">
        <v>206</v>
      </c>
      <c r="F203" s="52" t="s">
        <v>113</v>
      </c>
    </row>
    <row r="204" spans="1:12" x14ac:dyDescent="0.3">
      <c r="A204" s="43">
        <v>45929</v>
      </c>
      <c r="B204" t="s">
        <v>26</v>
      </c>
      <c r="C204" s="47"/>
      <c r="D204" s="47">
        <v>200000</v>
      </c>
      <c r="F204" s="52" t="s">
        <v>289</v>
      </c>
    </row>
    <row r="205" spans="1:12" x14ac:dyDescent="0.3">
      <c r="A205" s="104">
        <v>45930</v>
      </c>
      <c r="B205" t="s">
        <v>98</v>
      </c>
      <c r="C205" s="11">
        <v>41060</v>
      </c>
      <c r="D205" s="11"/>
      <c r="F205" s="52" t="s">
        <v>114</v>
      </c>
    </row>
    <row r="206" spans="1:12" x14ac:dyDescent="0.3">
      <c r="A206" s="104">
        <v>45930</v>
      </c>
      <c r="B206" t="s">
        <v>125</v>
      </c>
      <c r="C206" s="11">
        <v>82000</v>
      </c>
      <c r="D206" s="11"/>
      <c r="E206" t="s">
        <v>197</v>
      </c>
      <c r="F206" s="52" t="s">
        <v>113</v>
      </c>
    </row>
    <row r="207" spans="1:12" x14ac:dyDescent="0.3">
      <c r="A207" s="104">
        <v>45930</v>
      </c>
      <c r="B207" t="s">
        <v>24</v>
      </c>
      <c r="C207" s="11"/>
      <c r="D207" s="11">
        <v>650000</v>
      </c>
      <c r="F207" s="52" t="s">
        <v>113</v>
      </c>
    </row>
    <row r="208" spans="1:12" x14ac:dyDescent="0.3">
      <c r="A208" s="104">
        <v>45930</v>
      </c>
      <c r="B208" t="s">
        <v>24</v>
      </c>
      <c r="C208" s="11"/>
      <c r="D208" s="11">
        <v>400000</v>
      </c>
      <c r="F208" s="52" t="s">
        <v>113</v>
      </c>
    </row>
    <row r="209" spans="1:6" x14ac:dyDescent="0.3">
      <c r="A209" s="104">
        <v>45930</v>
      </c>
      <c r="B209" t="s">
        <v>98</v>
      </c>
      <c r="C209" s="11">
        <v>300330</v>
      </c>
      <c r="D209" s="11"/>
      <c r="E209" t="s">
        <v>290</v>
      </c>
      <c r="F209" s="52" t="s">
        <v>113</v>
      </c>
    </row>
    <row r="210" spans="1:6" x14ac:dyDescent="0.3">
      <c r="A210" s="104">
        <v>45930</v>
      </c>
      <c r="B210" t="s">
        <v>9</v>
      </c>
      <c r="C210" s="11"/>
      <c r="D210" s="11">
        <v>70000</v>
      </c>
      <c r="F210" s="52" t="s">
        <v>113</v>
      </c>
    </row>
    <row r="211" spans="1:6" x14ac:dyDescent="0.3">
      <c r="A211" s="104">
        <v>45930</v>
      </c>
      <c r="B211" t="s">
        <v>119</v>
      </c>
      <c r="C211" s="11">
        <v>4000</v>
      </c>
      <c r="D211" s="11"/>
      <c r="E211" t="s">
        <v>291</v>
      </c>
      <c r="F211" s="52" t="s">
        <v>114</v>
      </c>
    </row>
    <row r="212" spans="1:6" x14ac:dyDescent="0.3">
      <c r="A212" s="104">
        <v>45930</v>
      </c>
      <c r="B212" t="s">
        <v>50</v>
      </c>
      <c r="C212" s="47">
        <v>300</v>
      </c>
      <c r="D212" s="47"/>
      <c r="F212" s="52" t="s">
        <v>114</v>
      </c>
    </row>
    <row r="213" spans="1:6" x14ac:dyDescent="0.3">
      <c r="A213" s="104">
        <v>45930</v>
      </c>
      <c r="B213" t="s">
        <v>54</v>
      </c>
      <c r="C213" s="11">
        <v>3350</v>
      </c>
      <c r="D213" s="11"/>
      <c r="E213" t="s">
        <v>206</v>
      </c>
      <c r="F213" s="52" t="s">
        <v>113</v>
      </c>
    </row>
    <row r="214" spans="1:6" x14ac:dyDescent="0.3">
      <c r="A214" s="104">
        <v>45930</v>
      </c>
      <c r="B214" t="s">
        <v>52</v>
      </c>
      <c r="C214" s="11"/>
      <c r="D214" s="11"/>
      <c r="E214" t="s">
        <v>292</v>
      </c>
      <c r="F214" s="52" t="s">
        <v>113</v>
      </c>
    </row>
    <row r="215" spans="1:6" x14ac:dyDescent="0.3">
      <c r="A215" s="104">
        <v>45931</v>
      </c>
      <c r="B215" t="s">
        <v>24</v>
      </c>
      <c r="C215" s="11"/>
      <c r="D215" s="11">
        <v>500000</v>
      </c>
      <c r="F215" s="52" t="s">
        <v>113</v>
      </c>
    </row>
    <row r="216" spans="1:6" x14ac:dyDescent="0.3">
      <c r="A216" s="104">
        <v>45931</v>
      </c>
      <c r="B216" t="s">
        <v>98</v>
      </c>
      <c r="C216" s="11">
        <v>40000</v>
      </c>
      <c r="D216" s="11"/>
      <c r="E216" t="s">
        <v>300</v>
      </c>
      <c r="F216" s="52" t="s">
        <v>114</v>
      </c>
    </row>
    <row r="217" spans="1:6" x14ac:dyDescent="0.3">
      <c r="A217" s="104">
        <v>45931</v>
      </c>
      <c r="B217" t="s">
        <v>98</v>
      </c>
      <c r="C217" s="11">
        <v>62410</v>
      </c>
      <c r="D217" s="11"/>
      <c r="E217" t="s">
        <v>301</v>
      </c>
      <c r="F217" s="52" t="s">
        <v>113</v>
      </c>
    </row>
    <row r="218" spans="1:6" x14ac:dyDescent="0.3">
      <c r="A218" s="104">
        <v>45931</v>
      </c>
      <c r="B218" t="s">
        <v>55</v>
      </c>
      <c r="C218" s="47">
        <v>1550</v>
      </c>
      <c r="D218" s="47"/>
      <c r="E218" t="s">
        <v>302</v>
      </c>
      <c r="F218" s="52" t="s">
        <v>113</v>
      </c>
    </row>
    <row r="219" spans="1:6" x14ac:dyDescent="0.3">
      <c r="A219" s="104">
        <v>45931</v>
      </c>
      <c r="B219" t="s">
        <v>55</v>
      </c>
      <c r="C219" s="11">
        <v>8349</v>
      </c>
      <c r="D219" s="11"/>
      <c r="E219" t="s">
        <v>198</v>
      </c>
      <c r="F219" s="52" t="s">
        <v>113</v>
      </c>
    </row>
    <row r="220" spans="1:6" x14ac:dyDescent="0.3">
      <c r="A220" s="104">
        <v>45931</v>
      </c>
      <c r="B220" t="s">
        <v>55</v>
      </c>
      <c r="C220" s="11">
        <v>4240</v>
      </c>
      <c r="D220" s="11"/>
      <c r="E220" t="s">
        <v>303</v>
      </c>
      <c r="F220" s="52" t="s">
        <v>113</v>
      </c>
    </row>
    <row r="221" spans="1:6" x14ac:dyDescent="0.3">
      <c r="A221" s="104">
        <v>45931</v>
      </c>
      <c r="B221" t="s">
        <v>55</v>
      </c>
      <c r="C221" s="11">
        <v>900</v>
      </c>
      <c r="D221" s="11"/>
      <c r="E221" t="s">
        <v>303</v>
      </c>
      <c r="F221" s="52" t="s">
        <v>113</v>
      </c>
    </row>
    <row r="222" spans="1:6" x14ac:dyDescent="0.3">
      <c r="A222" s="104">
        <v>45931</v>
      </c>
      <c r="B222" t="s">
        <v>121</v>
      </c>
      <c r="C222" s="11">
        <v>6600</v>
      </c>
      <c r="D222" s="11"/>
      <c r="E222" t="s">
        <v>171</v>
      </c>
      <c r="F222" s="52" t="s">
        <v>113</v>
      </c>
    </row>
    <row r="223" spans="1:6" x14ac:dyDescent="0.3">
      <c r="A223" s="104">
        <v>45931</v>
      </c>
      <c r="B223" t="s">
        <v>54</v>
      </c>
      <c r="C223" s="11">
        <v>5100</v>
      </c>
      <c r="D223" s="11"/>
      <c r="E223" t="s">
        <v>158</v>
      </c>
      <c r="F223" s="52" t="s">
        <v>113</v>
      </c>
    </row>
    <row r="224" spans="1:6" x14ac:dyDescent="0.3">
      <c r="A224" s="104">
        <v>45931</v>
      </c>
      <c r="B224" t="s">
        <v>98</v>
      </c>
      <c r="C224" s="11">
        <v>300150</v>
      </c>
      <c r="D224" s="11"/>
      <c r="E224" t="s">
        <v>304</v>
      </c>
      <c r="F224" s="52" t="s">
        <v>113</v>
      </c>
    </row>
    <row r="225" spans="1:7" x14ac:dyDescent="0.3">
      <c r="A225" s="104">
        <v>45931</v>
      </c>
      <c r="B225" t="s">
        <v>23</v>
      </c>
      <c r="C225" s="11"/>
      <c r="D225" s="11">
        <f>38800+1500</f>
        <v>40300</v>
      </c>
      <c r="E225" t="s">
        <v>305</v>
      </c>
      <c r="F225" s="52" t="s">
        <v>113</v>
      </c>
    </row>
    <row r="226" spans="1:7" x14ac:dyDescent="0.3">
      <c r="A226" s="104">
        <v>45931</v>
      </c>
      <c r="B226" t="s">
        <v>54</v>
      </c>
      <c r="C226" s="11">
        <v>1500</v>
      </c>
      <c r="D226" s="11"/>
      <c r="E226" t="s">
        <v>318</v>
      </c>
      <c r="F226" s="52" t="s">
        <v>113</v>
      </c>
    </row>
    <row r="227" spans="1:7" x14ac:dyDescent="0.3">
      <c r="A227" s="104">
        <v>45931</v>
      </c>
      <c r="B227" t="s">
        <v>50</v>
      </c>
      <c r="C227" s="47">
        <v>4200</v>
      </c>
      <c r="D227" s="11"/>
      <c r="E227" t="s">
        <v>306</v>
      </c>
      <c r="F227" s="52" t="s">
        <v>113</v>
      </c>
    </row>
    <row r="228" spans="1:7" x14ac:dyDescent="0.3">
      <c r="A228" s="104">
        <v>45932</v>
      </c>
      <c r="B228" t="s">
        <v>307</v>
      </c>
      <c r="C228" s="47">
        <v>4500</v>
      </c>
      <c r="D228" s="47"/>
      <c r="F228" s="52" t="s">
        <v>114</v>
      </c>
    </row>
    <row r="229" spans="1:7" x14ac:dyDescent="0.3">
      <c r="A229" s="104">
        <v>45932</v>
      </c>
      <c r="B229" t="s">
        <v>114</v>
      </c>
      <c r="C229" s="11"/>
      <c r="D229" s="11"/>
      <c r="F229" s="52" t="s">
        <v>272</v>
      </c>
      <c r="G229">
        <v>50000</v>
      </c>
    </row>
    <row r="230" spans="1:7" x14ac:dyDescent="0.3">
      <c r="A230" s="104">
        <v>45932</v>
      </c>
      <c r="B230" t="s">
        <v>98</v>
      </c>
      <c r="C230" s="11">
        <v>44420</v>
      </c>
      <c r="D230" s="11"/>
      <c r="E230" t="s">
        <v>308</v>
      </c>
      <c r="F230" s="52" t="s">
        <v>113</v>
      </c>
    </row>
    <row r="231" spans="1:7" x14ac:dyDescent="0.3">
      <c r="A231" s="104">
        <v>45932</v>
      </c>
      <c r="B231" t="s">
        <v>98</v>
      </c>
      <c r="C231" s="11">
        <v>39200</v>
      </c>
      <c r="D231" s="11"/>
      <c r="E231" t="s">
        <v>309</v>
      </c>
      <c r="F231" s="52" t="s">
        <v>113</v>
      </c>
    </row>
    <row r="232" spans="1:7" x14ac:dyDescent="0.3">
      <c r="A232" s="104">
        <v>45932</v>
      </c>
      <c r="B232" t="s">
        <v>50</v>
      </c>
      <c r="C232" s="11">
        <v>535</v>
      </c>
      <c r="D232" s="11"/>
      <c r="E232" t="s">
        <v>310</v>
      </c>
      <c r="F232" s="52" t="s">
        <v>113</v>
      </c>
    </row>
    <row r="233" spans="1:7" x14ac:dyDescent="0.3">
      <c r="A233" s="104">
        <v>45932</v>
      </c>
      <c r="B233" t="s">
        <v>54</v>
      </c>
      <c r="C233" s="11">
        <v>1000</v>
      </c>
      <c r="D233" s="11"/>
      <c r="E233" t="s">
        <v>245</v>
      </c>
      <c r="F233" s="52" t="s">
        <v>114</v>
      </c>
    </row>
    <row r="234" spans="1:7" x14ac:dyDescent="0.3">
      <c r="A234" s="104">
        <v>45932</v>
      </c>
      <c r="B234" t="s">
        <v>9</v>
      </c>
      <c r="C234" s="11"/>
      <c r="D234" s="11">
        <v>73000</v>
      </c>
      <c r="E234" t="s">
        <v>311</v>
      </c>
      <c r="F234" s="52" t="s">
        <v>113</v>
      </c>
    </row>
    <row r="235" spans="1:7" x14ac:dyDescent="0.3">
      <c r="A235" s="104">
        <v>45932</v>
      </c>
      <c r="B235" t="s">
        <v>159</v>
      </c>
      <c r="C235" s="11">
        <v>125000</v>
      </c>
      <c r="D235" s="11"/>
      <c r="E235" t="s">
        <v>312</v>
      </c>
      <c r="F235" s="52" t="s">
        <v>113</v>
      </c>
    </row>
    <row r="236" spans="1:7" x14ac:dyDescent="0.3">
      <c r="A236" s="104">
        <v>45932</v>
      </c>
      <c r="B236" t="s">
        <v>119</v>
      </c>
      <c r="C236" s="11">
        <v>18000</v>
      </c>
      <c r="D236" s="11"/>
      <c r="E236" t="s">
        <v>231</v>
      </c>
      <c r="F236" s="52" t="s">
        <v>113</v>
      </c>
    </row>
    <row r="237" spans="1:7" x14ac:dyDescent="0.3">
      <c r="A237" s="104">
        <v>45932</v>
      </c>
      <c r="B237" t="s">
        <v>54</v>
      </c>
      <c r="C237" s="11">
        <v>1500</v>
      </c>
      <c r="D237" s="11"/>
      <c r="E237" t="s">
        <v>211</v>
      </c>
      <c r="F237" s="52" t="s">
        <v>114</v>
      </c>
    </row>
    <row r="238" spans="1:7" x14ac:dyDescent="0.3">
      <c r="A238" s="104">
        <v>45932</v>
      </c>
      <c r="B238" t="s">
        <v>98</v>
      </c>
      <c r="C238" s="47">
        <v>301120</v>
      </c>
      <c r="D238" s="47"/>
      <c r="E238" t="s">
        <v>201</v>
      </c>
      <c r="F238" s="52" t="s">
        <v>113</v>
      </c>
    </row>
    <row r="239" spans="1:7" x14ac:dyDescent="0.3">
      <c r="A239" s="104">
        <v>45932</v>
      </c>
      <c r="B239" t="s">
        <v>55</v>
      </c>
      <c r="C239" s="11">
        <v>15000</v>
      </c>
      <c r="D239" s="11"/>
      <c r="E239" t="s">
        <v>313</v>
      </c>
      <c r="F239" s="52" t="s">
        <v>113</v>
      </c>
    </row>
    <row r="240" spans="1:7" x14ac:dyDescent="0.3">
      <c r="A240" s="104">
        <v>45932</v>
      </c>
      <c r="B240" t="s">
        <v>21</v>
      </c>
      <c r="C240" s="11"/>
      <c r="D240" s="11">
        <v>15000</v>
      </c>
      <c r="E240" t="s">
        <v>313</v>
      </c>
      <c r="F240" s="52" t="s">
        <v>113</v>
      </c>
    </row>
    <row r="241" spans="1:7" x14ac:dyDescent="0.3">
      <c r="A241" s="104">
        <v>45932</v>
      </c>
      <c r="B241" t="s">
        <v>54</v>
      </c>
      <c r="C241" s="11">
        <v>5410</v>
      </c>
      <c r="D241" s="11"/>
      <c r="E241" t="s">
        <v>206</v>
      </c>
      <c r="F241" s="52" t="s">
        <v>113</v>
      </c>
    </row>
    <row r="242" spans="1:7" x14ac:dyDescent="0.3">
      <c r="A242" s="104">
        <v>45932</v>
      </c>
      <c r="B242" t="s">
        <v>21</v>
      </c>
      <c r="C242" s="11"/>
      <c r="D242" s="11">
        <v>5410</v>
      </c>
      <c r="E242" t="s">
        <v>206</v>
      </c>
      <c r="F242" s="52" t="s">
        <v>113</v>
      </c>
    </row>
    <row r="243" spans="1:7" x14ac:dyDescent="0.3">
      <c r="A243" s="104">
        <v>45933</v>
      </c>
      <c r="B243" t="s">
        <v>98</v>
      </c>
      <c r="C243" s="11">
        <v>92470</v>
      </c>
      <c r="D243" s="11"/>
      <c r="E243" t="s">
        <v>319</v>
      </c>
      <c r="F243" s="52" t="s">
        <v>113</v>
      </c>
    </row>
    <row r="244" spans="1:7" x14ac:dyDescent="0.3">
      <c r="A244" s="104">
        <v>45933</v>
      </c>
      <c r="B244" t="s">
        <v>98</v>
      </c>
      <c r="C244" s="11">
        <v>34500</v>
      </c>
      <c r="D244" s="11"/>
      <c r="E244" t="s">
        <v>320</v>
      </c>
      <c r="F244" s="52" t="s">
        <v>114</v>
      </c>
    </row>
    <row r="245" spans="1:7" x14ac:dyDescent="0.3">
      <c r="A245" s="104">
        <v>45933</v>
      </c>
      <c r="B245" t="s">
        <v>27</v>
      </c>
      <c r="C245" s="11"/>
      <c r="D245" s="11">
        <v>100000</v>
      </c>
      <c r="F245" s="52" t="s">
        <v>113</v>
      </c>
    </row>
    <row r="246" spans="1:7" x14ac:dyDescent="0.3">
      <c r="A246" s="104">
        <v>45933</v>
      </c>
      <c r="B246" t="s">
        <v>52</v>
      </c>
      <c r="C246" s="11"/>
      <c r="D246" s="11"/>
      <c r="E246" t="s">
        <v>321</v>
      </c>
      <c r="F246" s="52" t="s">
        <v>113</v>
      </c>
    </row>
    <row r="247" spans="1:7" x14ac:dyDescent="0.3">
      <c r="A247" s="104">
        <v>45933</v>
      </c>
      <c r="B247" t="s">
        <v>123</v>
      </c>
      <c r="C247" s="11">
        <v>2000</v>
      </c>
      <c r="D247" s="11"/>
      <c r="E247" t="s">
        <v>322</v>
      </c>
      <c r="F247" s="52" t="s">
        <v>114</v>
      </c>
    </row>
    <row r="248" spans="1:7" x14ac:dyDescent="0.3">
      <c r="A248" s="104">
        <v>45933</v>
      </c>
      <c r="B248" t="s">
        <v>98</v>
      </c>
      <c r="C248" s="11">
        <v>302400</v>
      </c>
      <c r="D248" s="11"/>
      <c r="E248" t="s">
        <v>323</v>
      </c>
      <c r="F248" s="52" t="s">
        <v>114</v>
      </c>
    </row>
    <row r="249" spans="1:7" x14ac:dyDescent="0.3">
      <c r="A249" s="104">
        <v>45933</v>
      </c>
      <c r="B249" t="s">
        <v>119</v>
      </c>
      <c r="C249" s="11">
        <v>16370</v>
      </c>
      <c r="D249" s="11"/>
      <c r="E249" t="s">
        <v>324</v>
      </c>
      <c r="F249" s="52" t="s">
        <v>113</v>
      </c>
    </row>
    <row r="250" spans="1:7" x14ac:dyDescent="0.3">
      <c r="A250" s="104">
        <v>45933</v>
      </c>
      <c r="B250" t="s">
        <v>123</v>
      </c>
      <c r="C250" s="11">
        <v>10000</v>
      </c>
      <c r="D250" s="11"/>
      <c r="E250" t="s">
        <v>185</v>
      </c>
      <c r="F250" s="52" t="s">
        <v>113</v>
      </c>
    </row>
    <row r="251" spans="1:7" x14ac:dyDescent="0.3">
      <c r="A251" s="104">
        <v>45933</v>
      </c>
      <c r="B251" t="s">
        <v>223</v>
      </c>
      <c r="C251" s="11">
        <v>3000</v>
      </c>
      <c r="D251" s="11"/>
      <c r="E251" t="s">
        <v>325</v>
      </c>
      <c r="F251" s="52" t="s">
        <v>113</v>
      </c>
    </row>
    <row r="252" spans="1:7" x14ac:dyDescent="0.3">
      <c r="A252" s="104">
        <v>45933</v>
      </c>
      <c r="B252" t="s">
        <v>114</v>
      </c>
      <c r="C252" s="47"/>
      <c r="D252" s="47"/>
      <c r="F252" s="52" t="s">
        <v>272</v>
      </c>
      <c r="G252">
        <v>55000</v>
      </c>
    </row>
    <row r="253" spans="1:7" x14ac:dyDescent="0.3">
      <c r="A253" s="104">
        <v>45933</v>
      </c>
      <c r="B253" t="s">
        <v>162</v>
      </c>
      <c r="C253" s="11"/>
      <c r="D253" s="11">
        <v>21620</v>
      </c>
      <c r="E253" t="s">
        <v>326</v>
      </c>
      <c r="F253" s="52" t="s">
        <v>113</v>
      </c>
    </row>
    <row r="254" spans="1:7" x14ac:dyDescent="0.3">
      <c r="A254" s="104">
        <v>45934</v>
      </c>
      <c r="B254" t="s">
        <v>55</v>
      </c>
      <c r="C254" s="11">
        <v>50000</v>
      </c>
      <c r="D254" s="11"/>
      <c r="E254" t="s">
        <v>233</v>
      </c>
      <c r="F254" s="52" t="s">
        <v>113</v>
      </c>
    </row>
    <row r="255" spans="1:7" x14ac:dyDescent="0.3">
      <c r="A255" s="104">
        <v>45934</v>
      </c>
      <c r="B255" t="s">
        <v>21</v>
      </c>
      <c r="C255" s="11"/>
      <c r="D255" s="11">
        <v>50000</v>
      </c>
      <c r="E255" t="s">
        <v>332</v>
      </c>
      <c r="F255" s="52" t="s">
        <v>113</v>
      </c>
    </row>
    <row r="256" spans="1:7" x14ac:dyDescent="0.3">
      <c r="A256" s="104">
        <v>45934</v>
      </c>
      <c r="B256" t="s">
        <v>64</v>
      </c>
      <c r="C256" s="11">
        <v>55500</v>
      </c>
      <c r="D256" s="11"/>
      <c r="E256" t="s">
        <v>64</v>
      </c>
      <c r="F256" s="52" t="s">
        <v>113</v>
      </c>
    </row>
    <row r="257" spans="1:6" x14ac:dyDescent="0.3">
      <c r="A257" s="104">
        <v>45934</v>
      </c>
      <c r="B257" t="s">
        <v>21</v>
      </c>
      <c r="C257" s="11"/>
      <c r="D257" s="11">
        <v>55000</v>
      </c>
      <c r="E257" t="s">
        <v>333</v>
      </c>
      <c r="F257" s="52" t="s">
        <v>113</v>
      </c>
    </row>
    <row r="258" spans="1:6" x14ac:dyDescent="0.3">
      <c r="A258" s="104">
        <v>45934</v>
      </c>
      <c r="B258" t="s">
        <v>54</v>
      </c>
      <c r="C258" s="11">
        <v>5280</v>
      </c>
      <c r="D258" s="11"/>
      <c r="E258" t="s">
        <v>206</v>
      </c>
      <c r="F258" s="52" t="s">
        <v>113</v>
      </c>
    </row>
    <row r="259" spans="1:6" x14ac:dyDescent="0.3">
      <c r="A259" s="104">
        <v>45934</v>
      </c>
      <c r="B259" t="s">
        <v>21</v>
      </c>
      <c r="C259" s="11"/>
      <c r="D259" s="11">
        <v>5280</v>
      </c>
      <c r="F259" s="52" t="s">
        <v>113</v>
      </c>
    </row>
    <row r="260" spans="1:6" x14ac:dyDescent="0.3">
      <c r="A260" s="104">
        <v>45934</v>
      </c>
      <c r="B260" t="s">
        <v>21</v>
      </c>
      <c r="C260" s="11"/>
      <c r="D260" s="11">
        <v>250000</v>
      </c>
      <c r="E260" t="s">
        <v>334</v>
      </c>
      <c r="F260" s="52" t="s">
        <v>113</v>
      </c>
    </row>
    <row r="261" spans="1:6" x14ac:dyDescent="0.3">
      <c r="A261" s="104">
        <v>45934</v>
      </c>
      <c r="B261" t="s">
        <v>237</v>
      </c>
      <c r="C261" s="11">
        <v>100000</v>
      </c>
      <c r="D261" s="11"/>
      <c r="E261" t="s">
        <v>335</v>
      </c>
      <c r="F261" s="52" t="s">
        <v>114</v>
      </c>
    </row>
    <row r="262" spans="1:6" x14ac:dyDescent="0.3">
      <c r="A262" s="104">
        <v>45934</v>
      </c>
      <c r="B262" t="s">
        <v>24</v>
      </c>
      <c r="C262" s="11"/>
      <c r="D262" s="11">
        <v>500000</v>
      </c>
      <c r="E262" t="s">
        <v>339</v>
      </c>
      <c r="F262" s="52" t="s">
        <v>114</v>
      </c>
    </row>
    <row r="263" spans="1:6" x14ac:dyDescent="0.3">
      <c r="A263" s="104">
        <v>45934</v>
      </c>
      <c r="B263" s="1" t="s">
        <v>54</v>
      </c>
      <c r="C263" s="11">
        <v>5150</v>
      </c>
      <c r="D263" s="11"/>
      <c r="E263" t="s">
        <v>206</v>
      </c>
      <c r="F263" s="52" t="s">
        <v>113</v>
      </c>
    </row>
    <row r="264" spans="1:6" x14ac:dyDescent="0.3">
      <c r="A264" s="104">
        <v>45934</v>
      </c>
      <c r="B264" t="s">
        <v>98</v>
      </c>
      <c r="C264" s="11">
        <v>41720</v>
      </c>
      <c r="D264" s="11"/>
      <c r="E264" t="s">
        <v>336</v>
      </c>
      <c r="F264" s="52" t="s">
        <v>114</v>
      </c>
    </row>
    <row r="265" spans="1:6" x14ac:dyDescent="0.3">
      <c r="A265" s="104">
        <v>45935</v>
      </c>
      <c r="B265" t="s">
        <v>98</v>
      </c>
      <c r="C265" s="11">
        <v>300900</v>
      </c>
      <c r="D265" s="11"/>
      <c r="E265" t="s">
        <v>337</v>
      </c>
      <c r="F265" s="52" t="s">
        <v>113</v>
      </c>
    </row>
    <row r="266" spans="1:6" x14ac:dyDescent="0.3">
      <c r="A266" s="104">
        <v>45935</v>
      </c>
      <c r="B266" t="s">
        <v>121</v>
      </c>
      <c r="C266" s="11">
        <v>8000</v>
      </c>
      <c r="D266" s="11"/>
      <c r="E266" t="s">
        <v>338</v>
      </c>
      <c r="F266" s="52" t="s">
        <v>113</v>
      </c>
    </row>
    <row r="267" spans="1:6" x14ac:dyDescent="0.3">
      <c r="A267" s="104">
        <v>45936</v>
      </c>
      <c r="B267" t="s">
        <v>125</v>
      </c>
      <c r="C267" s="11">
        <v>353250</v>
      </c>
      <c r="D267" s="11"/>
      <c r="E267" t="s">
        <v>61</v>
      </c>
      <c r="F267" s="52" t="s">
        <v>113</v>
      </c>
    </row>
    <row r="268" spans="1:6" x14ac:dyDescent="0.3">
      <c r="A268" s="104">
        <v>45936</v>
      </c>
      <c r="B268" t="s">
        <v>317</v>
      </c>
      <c r="C268" s="11">
        <v>219875</v>
      </c>
      <c r="D268" s="11"/>
      <c r="E268" t="s">
        <v>340</v>
      </c>
      <c r="F268" s="52" t="s">
        <v>113</v>
      </c>
    </row>
    <row r="269" spans="1:6" x14ac:dyDescent="0.3">
      <c r="A269" s="104">
        <v>45936</v>
      </c>
      <c r="B269" t="s">
        <v>21</v>
      </c>
      <c r="C269" s="11"/>
      <c r="D269" s="11">
        <v>219875</v>
      </c>
      <c r="F269" s="52" t="s">
        <v>113</v>
      </c>
    </row>
    <row r="270" spans="1:6" x14ac:dyDescent="0.3">
      <c r="A270" s="104">
        <v>45936</v>
      </c>
      <c r="B270" t="s">
        <v>54</v>
      </c>
      <c r="C270" s="11">
        <v>4779</v>
      </c>
      <c r="D270" s="11"/>
      <c r="E270" t="s">
        <v>206</v>
      </c>
      <c r="F270" s="52" t="s">
        <v>113</v>
      </c>
    </row>
    <row r="271" spans="1:6" x14ac:dyDescent="0.3">
      <c r="A271" s="104">
        <v>45936</v>
      </c>
      <c r="B271" t="s">
        <v>21</v>
      </c>
      <c r="C271" s="11"/>
      <c r="D271" s="11">
        <v>4779</v>
      </c>
      <c r="F271" s="52" t="s">
        <v>113</v>
      </c>
    </row>
    <row r="272" spans="1:6" x14ac:dyDescent="0.3">
      <c r="A272" s="104">
        <v>45936</v>
      </c>
      <c r="B272" t="s">
        <v>98</v>
      </c>
      <c r="C272" s="11">
        <v>68150</v>
      </c>
      <c r="D272" s="11"/>
      <c r="E272" t="s">
        <v>341</v>
      </c>
      <c r="F272" s="52" t="s">
        <v>113</v>
      </c>
    </row>
    <row r="273" spans="1:7" x14ac:dyDescent="0.3">
      <c r="A273" s="104">
        <v>45934</v>
      </c>
      <c r="B273" t="s">
        <v>50</v>
      </c>
      <c r="C273" s="11">
        <v>600</v>
      </c>
      <c r="D273" s="11"/>
      <c r="E273" t="s">
        <v>342</v>
      </c>
      <c r="F273" s="52" t="s">
        <v>113</v>
      </c>
    </row>
    <row r="274" spans="1:7" x14ac:dyDescent="0.3">
      <c r="A274" s="104">
        <v>45936</v>
      </c>
      <c r="B274" t="s">
        <v>114</v>
      </c>
      <c r="C274" s="11"/>
      <c r="D274" s="11"/>
      <c r="F274" s="52" t="s">
        <v>272</v>
      </c>
      <c r="G274">
        <v>-25000</v>
      </c>
    </row>
    <row r="275" spans="1:7" x14ac:dyDescent="0.3">
      <c r="A275" s="104">
        <v>45936</v>
      </c>
      <c r="B275" t="s">
        <v>54</v>
      </c>
      <c r="C275" s="11">
        <v>1000</v>
      </c>
      <c r="D275" s="11"/>
      <c r="E275" t="s">
        <v>343</v>
      </c>
      <c r="F275" s="52" t="s">
        <v>113</v>
      </c>
    </row>
    <row r="276" spans="1:7" x14ac:dyDescent="0.3">
      <c r="A276" s="104">
        <v>45936</v>
      </c>
      <c r="B276" t="s">
        <v>98</v>
      </c>
      <c r="C276" s="11">
        <v>30868</v>
      </c>
      <c r="D276" s="11"/>
      <c r="E276" t="s">
        <v>344</v>
      </c>
      <c r="F276" s="52" t="s">
        <v>113</v>
      </c>
    </row>
    <row r="277" spans="1:7" x14ac:dyDescent="0.3">
      <c r="A277" s="104">
        <v>45936</v>
      </c>
      <c r="B277" t="s">
        <v>21</v>
      </c>
      <c r="C277" s="11"/>
      <c r="D277" s="11">
        <v>30868</v>
      </c>
      <c r="E277" t="s">
        <v>345</v>
      </c>
      <c r="F277" s="52" t="s">
        <v>113</v>
      </c>
    </row>
    <row r="278" spans="1:7" x14ac:dyDescent="0.3">
      <c r="A278" s="104">
        <v>45936</v>
      </c>
      <c r="B278" t="s">
        <v>54</v>
      </c>
      <c r="C278" s="11">
        <v>2515</v>
      </c>
      <c r="D278" s="11"/>
      <c r="E278" t="s">
        <v>346</v>
      </c>
      <c r="F278" s="52" t="s">
        <v>289</v>
      </c>
    </row>
    <row r="279" spans="1:7" x14ac:dyDescent="0.3">
      <c r="A279" s="104">
        <v>45936</v>
      </c>
      <c r="B279" t="s">
        <v>21</v>
      </c>
      <c r="C279" s="11"/>
      <c r="D279" s="11">
        <v>2515</v>
      </c>
      <c r="E279" t="s">
        <v>346</v>
      </c>
      <c r="F279" s="52" t="s">
        <v>289</v>
      </c>
    </row>
    <row r="280" spans="1:7" x14ac:dyDescent="0.3">
      <c r="A280" s="104">
        <v>45936</v>
      </c>
      <c r="C280" s="11"/>
      <c r="D280" s="11"/>
      <c r="F280" s="52"/>
    </row>
    <row r="281" spans="1:7" x14ac:dyDescent="0.3">
      <c r="A281" s="104">
        <v>45936</v>
      </c>
      <c r="C281" s="11"/>
      <c r="D281" s="11"/>
      <c r="F281" s="52"/>
    </row>
    <row r="282" spans="1:7" x14ac:dyDescent="0.3">
      <c r="A282" s="104">
        <v>45936</v>
      </c>
      <c r="C282" s="11"/>
      <c r="D282" s="11"/>
      <c r="F282" s="52"/>
    </row>
    <row r="283" spans="1:7" x14ac:dyDescent="0.3">
      <c r="A283" s="104">
        <v>45936</v>
      </c>
      <c r="C283" s="11"/>
      <c r="D283" s="11"/>
      <c r="F283" s="52"/>
    </row>
    <row r="284" spans="1:7" x14ac:dyDescent="0.3">
      <c r="A284" s="43"/>
      <c r="C284" s="14">
        <f>SUBTOTAL(109,Table14[Debit])</f>
        <v>10901237</v>
      </c>
      <c r="D284" s="14">
        <f>SUBTOTAL(109,Table14[Credit])</f>
        <v>10986224</v>
      </c>
      <c r="F284" s="62">
        <f>(Table14[[#Totals],[Credit]]-Table14[[#Totals],[Debit]])</f>
        <v>84987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M10">
        <v>708000</v>
      </c>
    </row>
    <row r="11" spans="1:14" x14ac:dyDescent="0.3">
      <c r="A11" s="1">
        <v>45927</v>
      </c>
      <c r="B11" t="s">
        <v>155</v>
      </c>
      <c r="C11">
        <v>2</v>
      </c>
      <c r="D11">
        <v>1300</v>
      </c>
      <c r="E11">
        <f>Table8[[#This Row],[Boxes]]*Table8[[#This Row],[Rate]]*25</f>
        <v>65000</v>
      </c>
      <c r="F11" t="s">
        <v>122</v>
      </c>
      <c r="H11">
        <f>Table8[[#This Row],[Price]]-Table8[[#This Row],[Paid]]</f>
        <v>65000</v>
      </c>
      <c r="K11" s="27">
        <v>45926</v>
      </c>
      <c r="M11">
        <v>-500000</v>
      </c>
    </row>
    <row r="12" spans="1:14" x14ac:dyDescent="0.3">
      <c r="A12" s="1">
        <v>45927</v>
      </c>
      <c r="B12" t="s">
        <v>141</v>
      </c>
      <c r="C12">
        <v>1</v>
      </c>
      <c r="D12">
        <v>1650</v>
      </c>
      <c r="E12">
        <f>Table8[[#This Row],[Boxes]]*Table8[[#This Row],[Rate]]*25</f>
        <v>41250</v>
      </c>
      <c r="F12" t="s">
        <v>122</v>
      </c>
      <c r="H12">
        <f>Table8[[#This Row],[Price]]-Table8[[#This Row],[Paid]]</f>
        <v>41250</v>
      </c>
      <c r="K12" s="27">
        <v>45927</v>
      </c>
      <c r="L12">
        <v>432125</v>
      </c>
      <c r="M12">
        <v>432125</v>
      </c>
    </row>
    <row r="13" spans="1:14" x14ac:dyDescent="0.3">
      <c r="A13" s="1">
        <v>45927</v>
      </c>
      <c r="B13" t="s">
        <v>274</v>
      </c>
      <c r="C13">
        <v>1</v>
      </c>
      <c r="D13">
        <v>1140</v>
      </c>
      <c r="E13">
        <f>Table8[[#This Row],[Boxes]]*Table8[[#This Row],[Rate]]*25</f>
        <v>28500</v>
      </c>
      <c r="F13" t="s">
        <v>122</v>
      </c>
      <c r="H13">
        <f>Table8[[#This Row],[Price]]-Table8[[#This Row],[Paid]]</f>
        <v>28500</v>
      </c>
      <c r="K13" s="4" t="s">
        <v>28</v>
      </c>
      <c r="L13">
        <v>432125</v>
      </c>
      <c r="M13">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G19" sqref="G1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v>106600</v>
      </c>
      <c r="L7">
        <v>417100</v>
      </c>
      <c r="M7">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v>62500</v>
      </c>
      <c r="L8">
        <v>0</v>
      </c>
      <c r="M8">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v>169100</v>
      </c>
      <c r="L9">
        <v>417100</v>
      </c>
      <c r="M9">
        <v>57500</v>
      </c>
    </row>
    <row r="10" spans="1:13" x14ac:dyDescent="0.3">
      <c r="A10" s="1">
        <v>45925</v>
      </c>
      <c r="B10" s="1" t="s">
        <v>125</v>
      </c>
      <c r="C10" t="s">
        <v>267</v>
      </c>
      <c r="D10">
        <v>45</v>
      </c>
      <c r="F10">
        <v>353250</v>
      </c>
      <c r="G10">
        <v>353250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522350</v>
      </c>
      <c r="G13">
        <f>SUBTOTAL(109,Table2[Paid])</f>
        <v>770350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zoomScale="118" workbookViewId="0">
      <selection activeCell="R11" sqref="R1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147</v>
      </c>
      <c r="J2" t="s">
        <v>148</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c r="M3" t="s">
        <v>327</v>
      </c>
      <c r="N3" t="s">
        <v>328</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c r="N4" t="s">
        <v>329</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330</v>
      </c>
      <c r="O5" t="s">
        <v>331</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5"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5"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185</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322</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10"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10"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10"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10"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10"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10"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10"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10"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55000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1126575</v>
      </c>
      <c r="C2" s="37">
        <f>GETPIVOTDATA("Sum of Tiyaar/gaz",$A$3)</f>
        <v>1160608</v>
      </c>
      <c r="D2" s="36">
        <f>((B2*48)+((C2/1.0936)*10))/C2</f>
        <v>55.736586860317871</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6580</v>
      </c>
      <c r="D47" s="33">
        <f t="shared" si="19"/>
        <v>97.615843715188447</v>
      </c>
      <c r="E47" s="11">
        <f t="shared" si="20"/>
        <v>13263.180799999998</v>
      </c>
      <c r="F47" s="11">
        <f t="shared" si="21"/>
        <v>6580</v>
      </c>
      <c r="G47" s="86">
        <f t="shared" si="22"/>
        <v>50.388974566342334</v>
      </c>
      <c r="H47" s="33">
        <f t="shared" si="23"/>
        <v>6016.8251645940018</v>
      </c>
      <c r="I47" s="33">
        <f t="shared" si="24"/>
        <v>97.615843715188447</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2122</v>
      </c>
      <c r="D54" s="33">
        <f t="shared" si="19"/>
        <v>486.72375303970597</v>
      </c>
      <c r="E54" s="11">
        <f t="shared" si="20"/>
        <v>23089.176799999997</v>
      </c>
      <c r="F54" s="11">
        <f t="shared" si="21"/>
        <v>2122</v>
      </c>
      <c r="G54" s="86">
        <f t="shared" si="22"/>
        <v>90.809546748327548</v>
      </c>
      <c r="H54" s="33">
        <f t="shared" si="23"/>
        <v>1940.3803950256038</v>
      </c>
      <c r="I54" s="33">
        <f t="shared" si="24"/>
        <v>486.72375303970597</v>
      </c>
    </row>
    <row r="55" spans="1:9" x14ac:dyDescent="0.3">
      <c r="A55" s="16">
        <v>1749</v>
      </c>
      <c r="B55" s="14">
        <v>56411</v>
      </c>
      <c r="C55" s="14">
        <v>45487</v>
      </c>
      <c r="D55" s="33">
        <f t="shared" si="19"/>
        <v>68.671624547856297</v>
      </c>
      <c r="E55" s="11">
        <f t="shared" si="20"/>
        <v>61691.069599999995</v>
      </c>
      <c r="F55" s="11">
        <f t="shared" si="21"/>
        <v>45487</v>
      </c>
      <c r="G55" s="86">
        <f t="shared" si="22"/>
        <v>26.266475366800904</v>
      </c>
      <c r="H55" s="33">
        <f t="shared" si="23"/>
        <v>41593.818580833948</v>
      </c>
      <c r="I55" s="33">
        <f t="shared" si="24"/>
        <v>68.671624547856297</v>
      </c>
    </row>
    <row r="56" spans="1:9" x14ac:dyDescent="0.3">
      <c r="A56" s="16" t="s">
        <v>28</v>
      </c>
      <c r="B56" s="35">
        <v>100795</v>
      </c>
      <c r="C56" s="35">
        <v>1160608</v>
      </c>
      <c r="D56" s="33">
        <f t="shared" si="19"/>
        <v>13.312753834869145</v>
      </c>
      <c r="E56" s="11">
        <f t="shared" si="20"/>
        <v>110229.412</v>
      </c>
      <c r="F56" s="11">
        <f t="shared" si="21"/>
        <v>1160608</v>
      </c>
      <c r="G56" s="86">
        <f t="shared" si="22"/>
        <v>-952.90228709557118</v>
      </c>
      <c r="H56" s="33">
        <f t="shared" si="23"/>
        <v>1061272.860277981</v>
      </c>
      <c r="I56" s="33">
        <f t="shared" si="24"/>
        <v>13.312753834869145</v>
      </c>
    </row>
    <row r="57" spans="1:9" x14ac:dyDescent="0.3">
      <c r="D57" s="33" t="e">
        <f t="shared" si="19"/>
        <v>#DIV/0!</v>
      </c>
      <c r="E57" s="11">
        <f t="shared" si="20"/>
        <v>0</v>
      </c>
      <c r="F57" s="11">
        <f t="shared" si="21"/>
        <v>0</v>
      </c>
      <c r="G57" s="86" t="e">
        <f t="shared" si="22"/>
        <v>#DIV/0!</v>
      </c>
      <c r="H57" s="33">
        <f t="shared" si="23"/>
        <v>0</v>
      </c>
      <c r="I57" s="33" t="e">
        <f t="shared" si="24"/>
        <v>#DIV/0!</v>
      </c>
    </row>
    <row r="58" spans="1:9" x14ac:dyDescent="0.3">
      <c r="D58" s="33" t="e">
        <f t="shared" si="19"/>
        <v>#DIV/0!</v>
      </c>
      <c r="E58" s="11">
        <f t="shared" si="20"/>
        <v>0</v>
      </c>
      <c r="F58" s="11">
        <f t="shared" si="21"/>
        <v>0</v>
      </c>
      <c r="G58" s="86" t="e">
        <f t="shared" si="22"/>
        <v>#DIV/0!</v>
      </c>
      <c r="H58" s="33">
        <f t="shared" si="23"/>
        <v>0</v>
      </c>
      <c r="I58" s="33" t="e">
        <f t="shared" si="24"/>
        <v>#DIV/0!</v>
      </c>
    </row>
    <row r="59" spans="1: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1:9" x14ac:dyDescent="0.3">
      <c r="D60" s="33" t="e">
        <f t="shared" si="25"/>
        <v>#DIV/0!</v>
      </c>
      <c r="E60" s="11">
        <f t="shared" si="26"/>
        <v>0</v>
      </c>
      <c r="F60" s="11">
        <f t="shared" si="27"/>
        <v>0</v>
      </c>
      <c r="G60" s="86" t="e">
        <f t="shared" si="28"/>
        <v>#DIV/0!</v>
      </c>
      <c r="H60" s="33">
        <f t="shared" si="29"/>
        <v>0</v>
      </c>
      <c r="I60" s="33" t="e">
        <f t="shared" si="30"/>
        <v>#DIV/0!</v>
      </c>
    </row>
    <row r="61" spans="1:9" x14ac:dyDescent="0.3">
      <c r="D61" s="33" t="e">
        <f t="shared" si="25"/>
        <v>#DIV/0!</v>
      </c>
      <c r="E61" s="11">
        <f t="shared" si="26"/>
        <v>0</v>
      </c>
      <c r="F61" s="11">
        <f t="shared" si="27"/>
        <v>0</v>
      </c>
      <c r="G61" s="86" t="e">
        <f t="shared" si="28"/>
        <v>#DIV/0!</v>
      </c>
      <c r="H61" s="33">
        <f t="shared" si="29"/>
        <v>0</v>
      </c>
      <c r="I61" s="33" t="e">
        <f t="shared" si="30"/>
        <v>#DIV/0!</v>
      </c>
    </row>
    <row r="62" spans="1:9" x14ac:dyDescent="0.3">
      <c r="D62" s="33" t="e">
        <f t="shared" si="25"/>
        <v>#DIV/0!</v>
      </c>
      <c r="E62" s="11">
        <f t="shared" si="26"/>
        <v>0</v>
      </c>
      <c r="F62" s="11">
        <f t="shared" si="27"/>
        <v>0</v>
      </c>
      <c r="G62" s="86" t="e">
        <f t="shared" si="28"/>
        <v>#DIV/0!</v>
      </c>
      <c r="H62" s="33">
        <f t="shared" si="29"/>
        <v>0</v>
      </c>
      <c r="I62" s="33" t="e">
        <f t="shared" si="30"/>
        <v>#DIV/0!</v>
      </c>
    </row>
    <row r="63" spans="1:9" x14ac:dyDescent="0.3">
      <c r="D63" s="33" t="e">
        <f t="shared" si="25"/>
        <v>#DIV/0!</v>
      </c>
      <c r="E63" s="11">
        <f t="shared" si="26"/>
        <v>0</v>
      </c>
      <c r="F63" s="11">
        <f t="shared" si="27"/>
        <v>0</v>
      </c>
      <c r="G63" s="86" t="e">
        <f t="shared" si="28"/>
        <v>#DIV/0!</v>
      </c>
      <c r="H63" s="33">
        <f t="shared" si="29"/>
        <v>0</v>
      </c>
      <c r="I63" s="33" t="e">
        <f t="shared" si="30"/>
        <v>#DIV/0!</v>
      </c>
    </row>
    <row r="64" spans="1: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18000</v>
      </c>
      <c r="H19" s="1">
        <v>45932</v>
      </c>
      <c r="J19">
        <f>SUMIFS(Table14[Debit], Table14[Date], Table15[[#This Row],[Date]], Table14[Party], "Parts")</f>
        <v>15000</v>
      </c>
    </row>
    <row r="20" spans="2:10" x14ac:dyDescent="0.3">
      <c r="B20" s="1">
        <v>45933</v>
      </c>
      <c r="C20" t="s">
        <v>119</v>
      </c>
      <c r="D20">
        <f>SUMIFS(Table14[Debit], Table14[Date], Table5[[#This Row],[Date]], Table14[Party], "Rashan")</f>
        <v>16370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50000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83550</v>
      </c>
      <c r="H35" s="1"/>
      <c r="J35">
        <f>SUM(Table15[Amount])</f>
        <v>244957</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A3" sqref="A3"/>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10164043</v>
      </c>
      <c r="C2" s="109">
        <f>Billing!X5</f>
        <v>2864375.068763718</v>
      </c>
    </row>
    <row r="3" spans="1:3" ht="18" x14ac:dyDescent="0.35">
      <c r="A3" s="89" t="str">
        <f>Billing!O6</f>
        <v>Ejaz Sahab</v>
      </c>
      <c r="B3" s="14">
        <f>Billing!W6</f>
        <v>859904</v>
      </c>
      <c r="C3" s="110">
        <f>Billing!X6</f>
        <v>457583.19824433071</v>
      </c>
    </row>
    <row r="4" spans="1:3" ht="18" x14ac:dyDescent="0.35">
      <c r="A4" s="89" t="str">
        <f>Billing!O7</f>
        <v>Arshad</v>
      </c>
      <c r="B4" s="14">
        <f>Billing!W7</f>
        <v>1906701</v>
      </c>
      <c r="C4" s="110">
        <f>Billing!X7</f>
        <v>100.38990490138531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922863.24067300744</v>
      </c>
    </row>
    <row r="7" spans="1:3" ht="18" x14ac:dyDescent="0.35">
      <c r="A7" s="89" t="str">
        <f>Billing!O10</f>
        <v>Sajad Khan</v>
      </c>
      <c r="B7" s="14">
        <f>Billing!W10</f>
        <v>2700000</v>
      </c>
      <c r="C7" s="109">
        <f>Billing!X10</f>
        <v>976847.11046086345</v>
      </c>
    </row>
    <row r="8" spans="1:3" ht="18" x14ac:dyDescent="0.35">
      <c r="A8" s="89" t="str">
        <f>Billing!O11</f>
        <v>Raaz Fabrics</v>
      </c>
      <c r="B8" s="14">
        <f>Billing!W11</f>
        <v>600000</v>
      </c>
      <c r="C8" s="109">
        <f>Billing!X11</f>
        <v>90919.89758595475</v>
      </c>
    </row>
    <row r="9" spans="1:3" ht="18" x14ac:dyDescent="0.35">
      <c r="A9" s="89" t="str">
        <f>Billing!O12</f>
        <v>Azam</v>
      </c>
      <c r="B9" s="14">
        <f>Billing!W12</f>
        <v>1221620</v>
      </c>
      <c r="C9" s="109">
        <f>Billing!X12</f>
        <v>33.255303584504873</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300000</v>
      </c>
      <c r="C12" s="110">
        <f>Billing!X15</f>
        <v>146881.85808339436</v>
      </c>
    </row>
    <row r="13" spans="1:3" ht="18" x14ac:dyDescent="0.35">
      <c r="A13" s="89" t="str">
        <f>Billing!O16</f>
        <v>Badshah Fabrics</v>
      </c>
      <c r="B13" s="14">
        <f>Billing!W16</f>
        <v>870000</v>
      </c>
      <c r="C13" s="109">
        <f>Billing!X16</f>
        <v>502172.64081931254</v>
      </c>
    </row>
    <row r="14" spans="1:3" x14ac:dyDescent="0.3">
      <c r="A14" t="str">
        <f>Billing!O17</f>
        <v>Reject</v>
      </c>
      <c r="B14" s="14">
        <f>Billing!W17</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299</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2025-10-06T16:06:33Z</dcterms:modified>
  <cp:category/>
  <cp:contentStatus/>
</cp:coreProperties>
</file>