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770" documentId="8_{04F26ED9-7C3F-46BE-B42F-003E2A3A444E}" xr6:coauthVersionLast="47" xr6:coauthVersionMax="47" xr10:uidLastSave="{F8AA6974-96B5-4611-AD17-B2732FAB7B6D}"/>
  <bookViews>
    <workbookView xWindow="-108" yWindow="-108" windowWidth="23256" windowHeight="12456" firstSheet="5"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9" r:id="rId18"/>
    <pivotCache cacheId="16" r:id="rId19"/>
    <pivotCache cacheId="22" r:id="rId20"/>
    <pivotCache cacheId="27" r:id="rId21"/>
    <pivotCache cacheId="31" r:id="rId22"/>
    <pivotCache cacheId="3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7" i="1" l="1"/>
  <c r="J27" i="1" s="1" a="1"/>
  <c r="J27" i="1" s="1"/>
  <c r="H3" i="7" l="1"/>
  <c r="H14" i="6"/>
  <c r="I14" i="6" s="1"/>
  <c r="D44" i="17"/>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15" i="1"/>
  <c r="J15" i="1" s="1" a="1"/>
  <c r="J15" i="1" s="1"/>
  <c r="H7" i="6"/>
  <c r="H8" i="6"/>
  <c r="H9" i="6"/>
  <c r="H10" i="6"/>
  <c r="I10" i="6" s="1"/>
  <c r="H11" i="6"/>
  <c r="I11" i="6" s="1"/>
  <c r="H12" i="6"/>
  <c r="I12" i="6" s="1"/>
  <c r="H13" i="6"/>
  <c r="I13" i="6" s="1"/>
  <c r="H5" i="6"/>
  <c r="G21" i="6"/>
  <c r="I21" i="6"/>
  <c r="G20" i="6"/>
  <c r="I20" i="6"/>
  <c r="G19" i="6"/>
  <c r="I19" i="6"/>
  <c r="G18" i="6"/>
  <c r="I18" i="6"/>
  <c r="G17" i="6"/>
  <c r="I17" i="6"/>
  <c r="G16" i="6"/>
  <c r="I16" i="6"/>
  <c r="G15" i="6"/>
  <c r="I15" i="6"/>
  <c r="G14" i="6"/>
  <c r="G12" i="6"/>
  <c r="G13" i="6"/>
  <c r="G11" i="6"/>
  <c r="G10" i="6"/>
  <c r="C6" i="8"/>
  <c r="G7" i="15"/>
  <c r="H7" i="15" s="1"/>
  <c r="G8" i="15"/>
  <c r="H8" i="15" s="1"/>
  <c r="D2" i="17"/>
  <c r="I9" i="6" l="1"/>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I7" i="6"/>
  <c r="I6" i="6"/>
  <c r="G8" i="6"/>
  <c r="I8" i="6"/>
  <c r="G5" i="6"/>
  <c r="G6" i="6"/>
  <c r="G7" i="6"/>
  <c r="I5" i="6"/>
  <c r="G4" i="6"/>
  <c r="K28" i="1"/>
  <c r="D3" i="17" l="1"/>
  <c r="O5" i="9" l="1" a="1"/>
  <c r="A6" i="20" s="1"/>
  <c r="E56" i="2"/>
  <c r="F56" i="2"/>
  <c r="H56" i="2"/>
  <c r="I56" i="2" s="1"/>
  <c r="D56" i="2" s="1"/>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s="1"/>
  <c r="D46" i="2" s="1"/>
  <c r="E47" i="2"/>
  <c r="G47" i="2" s="1"/>
  <c r="F47" i="2"/>
  <c r="E48" i="2"/>
  <c r="F48" i="2"/>
  <c r="H48" i="2" s="1"/>
  <c r="I48" i="2" s="1"/>
  <c r="D48" i="2" s="1"/>
  <c r="E49" i="2"/>
  <c r="F49" i="2"/>
  <c r="H49" i="2" s="1"/>
  <c r="I49" i="2" s="1"/>
  <c r="D49" i="2" s="1"/>
  <c r="E50" i="2"/>
  <c r="F50" i="2"/>
  <c r="G50" i="2" s="1"/>
  <c r="E51" i="2"/>
  <c r="F51" i="2"/>
  <c r="H51" i="2"/>
  <c r="I51" i="2" s="1"/>
  <c r="D51" i="2" s="1"/>
  <c r="E52" i="2"/>
  <c r="G52" i="2" s="1"/>
  <c r="F52" i="2"/>
  <c r="H52" i="2"/>
  <c r="I52" i="2"/>
  <c r="D52" i="2" s="1"/>
  <c r="E53" i="2"/>
  <c r="F53" i="2"/>
  <c r="E54" i="2"/>
  <c r="F54" i="2"/>
  <c r="E55" i="2"/>
  <c r="F55" i="2"/>
  <c r="H55" i="2"/>
  <c r="I55" i="2" s="1"/>
  <c r="D55" i="2" s="1"/>
  <c r="C17" i="12"/>
  <c r="C18" i="12"/>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N5" i="17"/>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s="1"/>
  <c r="I33" i="2" s="1"/>
  <c r="D33" i="2" s="1"/>
  <c r="G33" i="2"/>
  <c r="E34" i="2"/>
  <c r="F34" i="2"/>
  <c r="H34" i="2"/>
  <c r="I34" i="2" s="1"/>
  <c r="D34" i="2" s="1"/>
  <c r="E35" i="2"/>
  <c r="F35" i="2"/>
  <c r="H35" i="2"/>
  <c r="I35" i="2"/>
  <c r="D35" i="2"/>
  <c r="E36" i="2"/>
  <c r="F36" i="2"/>
  <c r="H36" i="2" s="1"/>
  <c r="I36" i="2" s="1"/>
  <c r="D36" i="2" s="1"/>
  <c r="E37" i="2"/>
  <c r="F37" i="2"/>
  <c r="G37" i="2" s="1"/>
  <c r="E39" i="2"/>
  <c r="F39" i="2"/>
  <c r="G39" i="2" s="1"/>
  <c r="H39" i="2"/>
  <c r="I39" i="2"/>
  <c r="D39" i="2" s="1"/>
  <c r="E40" i="2"/>
  <c r="F40" i="2"/>
  <c r="H40" i="2" s="1"/>
  <c r="I40" i="2" s="1"/>
  <c r="D40" i="2" s="1"/>
  <c r="E41" i="2"/>
  <c r="F41" i="2"/>
  <c r="G41" i="2" s="1"/>
  <c r="H41" i="2"/>
  <c r="I41" i="2"/>
  <c r="D41" i="2"/>
  <c r="E42" i="2"/>
  <c r="F42" i="2"/>
  <c r="G42" i="2"/>
  <c r="E43" i="2"/>
  <c r="F43" i="2"/>
  <c r="H43" i="2"/>
  <c r="I43" i="2"/>
  <c r="D43" i="2"/>
  <c r="E44" i="2"/>
  <c r="F44" i="2"/>
  <c r="H44" i="2" s="1"/>
  <c r="I44" i="2" s="1"/>
  <c r="D44" i="2" s="1"/>
  <c r="G44" i="2"/>
  <c r="F38" i="2"/>
  <c r="H38" i="2" s="1"/>
  <c r="I38" i="2" s="1"/>
  <c r="D38" i="2" s="1"/>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c r="H21" i="2"/>
  <c r="I21" i="2"/>
  <c r="D21" i="2"/>
  <c r="F22" i="2"/>
  <c r="H22" i="2"/>
  <c r="I22" i="2"/>
  <c r="D22" i="2" s="1"/>
  <c r="F23" i="2"/>
  <c r="H23" i="2"/>
  <c r="I23" i="2"/>
  <c r="D23" i="2"/>
  <c r="F24" i="2"/>
  <c r="G24" i="2" s="1"/>
  <c r="H24" i="2"/>
  <c r="I24" i="2"/>
  <c r="D24" i="2"/>
  <c r="F25" i="2"/>
  <c r="F26" i="2"/>
  <c r="F27" i="2"/>
  <c r="H27" i="2" s="1"/>
  <c r="I27" i="2" s="1"/>
  <c r="D27" i="2" s="1"/>
  <c r="F28" i="2"/>
  <c r="G28" i="2" s="1"/>
  <c r="H28" i="2"/>
  <c r="I28" i="2"/>
  <c r="D28" i="2"/>
  <c r="F29" i="2"/>
  <c r="G29" i="2" s="1"/>
  <c r="H29" i="2"/>
  <c r="I29" i="2" s="1"/>
  <c r="D29" i="2" s="1"/>
  <c r="F30" i="2"/>
  <c r="H30" i="2" s="1"/>
  <c r="I30" i="2" s="1"/>
  <c r="D30" i="2" s="1"/>
  <c r="F31" i="2"/>
  <c r="H31" i="2"/>
  <c r="I31" i="2"/>
  <c r="D31" i="2"/>
  <c r="F32" i="2"/>
  <c r="G32" i="2" s="1"/>
  <c r="H32" i="2"/>
  <c r="I32" i="2" s="1"/>
  <c r="D32" i="2" s="1"/>
  <c r="E22" i="2"/>
  <c r="G22" i="2" s="1"/>
  <c r="E23" i="2"/>
  <c r="E24" i="2"/>
  <c r="E25" i="2"/>
  <c r="G25" i="2"/>
  <c r="E26" i="2"/>
  <c r="E27" i="2"/>
  <c r="G27" i="2" s="1"/>
  <c r="E28" i="2"/>
  <c r="E29" i="2"/>
  <c r="E30" i="2"/>
  <c r="E31" i="2"/>
  <c r="G31" i="2"/>
  <c r="E32" i="2"/>
  <c r="E20" i="2"/>
  <c r="E21" i="2"/>
  <c r="N4" i="17"/>
  <c r="F20" i="2"/>
  <c r="E15" i="2"/>
  <c r="E16" i="2"/>
  <c r="E17" i="2"/>
  <c r="E18" i="2"/>
  <c r="E19" i="2"/>
  <c r="E7" i="2"/>
  <c r="E8" i="2"/>
  <c r="E9" i="2"/>
  <c r="G9" i="2" s="1"/>
  <c r="H20" i="1" s="1"/>
  <c r="E10" i="2"/>
  <c r="E11" i="2"/>
  <c r="E12" i="2"/>
  <c r="E13" i="2"/>
  <c r="E14" i="2"/>
  <c r="E5" i="2"/>
  <c r="E6" i="2"/>
  <c r="E4" i="2"/>
  <c r="F13" i="2"/>
  <c r="H13" i="2" s="1"/>
  <c r="I13" i="2" s="1"/>
  <c r="D13" i="2" s="1"/>
  <c r="F14" i="2"/>
  <c r="G14" i="2" s="1"/>
  <c r="H26" i="1" s="1"/>
  <c r="H14" i="2"/>
  <c r="I14" i="2" s="1"/>
  <c r="D14" i="2" s="1"/>
  <c r="F15" i="2"/>
  <c r="G15" i="2" s="1"/>
  <c r="H27" i="1" s="1"/>
  <c r="F16" i="2"/>
  <c r="H16" i="2" s="1"/>
  <c r="I16" i="2" s="1"/>
  <c r="D16" i="2" s="1"/>
  <c r="F17" i="2"/>
  <c r="H17" i="2" s="1"/>
  <c r="I17" i="2" s="1"/>
  <c r="D17" i="2" s="1"/>
  <c r="F18" i="2"/>
  <c r="F19" i="2"/>
  <c r="G19" i="2" s="1"/>
  <c r="H19" i="2"/>
  <c r="I19" i="2"/>
  <c r="D19" i="2"/>
  <c r="C8" i="8"/>
  <c r="F11" i="2"/>
  <c r="H11" i="2" s="1"/>
  <c r="I11" i="2" s="1"/>
  <c r="F10" i="2"/>
  <c r="G10" i="2" s="1"/>
  <c r="H21" i="1" s="1"/>
  <c r="H10" i="2"/>
  <c r="I10" i="2" s="1"/>
  <c r="D10" i="2" s="1"/>
  <c r="F6" i="2"/>
  <c r="H6" i="2" s="1"/>
  <c r="I6" i="2" s="1"/>
  <c r="D6" i="2" s="1"/>
  <c r="F7" i="2"/>
  <c r="H7" i="2" s="1"/>
  <c r="I7" i="2" s="1"/>
  <c r="D7" i="2" s="1"/>
  <c r="F8" i="2"/>
  <c r="H8" i="2" s="1"/>
  <c r="I8" i="2" s="1"/>
  <c r="D8" i="2" s="1"/>
  <c r="F9" i="2"/>
  <c r="H9" i="2" s="1"/>
  <c r="I9" i="2" s="1"/>
  <c r="D9" i="2" s="1"/>
  <c r="N3" i="7"/>
  <c r="N5" i="7"/>
  <c r="E6" i="11"/>
  <c r="D6" i="11"/>
  <c r="F12" i="2"/>
  <c r="H12" i="2" s="1"/>
  <c r="I12" i="2" s="1"/>
  <c r="D12" i="2" s="1"/>
  <c r="F5" i="2"/>
  <c r="F3" i="2"/>
  <c r="F4" i="2"/>
  <c r="F9" i="15"/>
  <c r="G55" i="2"/>
  <c r="G43" i="2"/>
  <c r="H8" i="1"/>
  <c r="H47" i="2"/>
  <c r="I47" i="2"/>
  <c r="D47" i="2"/>
  <c r="H45" i="2"/>
  <c r="I45" i="2" s="1"/>
  <c r="D45" i="2" s="1"/>
  <c r="C7" i="8"/>
  <c r="G54" i="2"/>
  <c r="G49" i="2"/>
  <c r="H57" i="2"/>
  <c r="I57" i="2"/>
  <c r="D57" i="2"/>
  <c r="G53" i="2"/>
  <c r="E4" i="7"/>
  <c r="C16" i="12"/>
  <c r="H54" i="2"/>
  <c r="I54" i="2"/>
  <c r="D54" i="2"/>
  <c r="G34" i="2"/>
  <c r="G35" i="2"/>
  <c r="G18" i="2"/>
  <c r="H53" i="2"/>
  <c r="I53" i="2"/>
  <c r="D53" i="2"/>
  <c r="J15" i="14"/>
  <c r="H25" i="2"/>
  <c r="I25" i="2"/>
  <c r="D25" i="2"/>
  <c r="H20" i="2"/>
  <c r="I20" i="2" s="1"/>
  <c r="D20" i="2" s="1"/>
  <c r="H18" i="2"/>
  <c r="I18" i="2" s="1"/>
  <c r="D18" i="2" s="1"/>
  <c r="H61" i="2"/>
  <c r="I61" i="2"/>
  <c r="D61" i="2"/>
  <c r="G20" i="2"/>
  <c r="G23" i="2"/>
  <c r="G26" i="2"/>
  <c r="G40" i="2"/>
  <c r="G48" i="2"/>
  <c r="H59" i="2"/>
  <c r="I59" i="2" s="1"/>
  <c r="D59" i="2" s="1"/>
  <c r="G36" i="2"/>
  <c r="C12" i="10"/>
  <c r="C55" i="17"/>
  <c r="K4" i="17" s="1"/>
  <c r="N6" i="17"/>
  <c r="C16" i="10"/>
  <c r="H62" i="2"/>
  <c r="I62" i="2"/>
  <c r="D62" i="2"/>
  <c r="H60" i="2"/>
  <c r="I60" i="2" s="1"/>
  <c r="D60" i="2" s="1"/>
  <c r="H58" i="2"/>
  <c r="I58" i="2" s="1"/>
  <c r="D58" i="2" s="1"/>
  <c r="G51" i="2"/>
  <c r="H26" i="2"/>
  <c r="I26" i="2"/>
  <c r="D26" i="2" s="1"/>
  <c r="G46" i="2"/>
  <c r="H42" i="2"/>
  <c r="I42" i="2"/>
  <c r="D42" i="2"/>
  <c r="C2" i="2"/>
  <c r="G17" i="2" l="1"/>
  <c r="G12" i="2"/>
  <c r="H23" i="1" s="1"/>
  <c r="G11" i="2"/>
  <c r="G7" i="2"/>
  <c r="H18" i="1" s="1"/>
  <c r="G6" i="2"/>
  <c r="H22" i="1"/>
  <c r="H25" i="1"/>
  <c r="A5" i="20"/>
  <c r="G4" i="2"/>
  <c r="G22" i="6"/>
  <c r="N14" i="6"/>
  <c r="C4" i="8" s="1"/>
  <c r="H4" i="2"/>
  <c r="I4" i="2" s="1"/>
  <c r="D4" i="2" s="1"/>
  <c r="G5" i="2"/>
  <c r="H5" i="1"/>
  <c r="G30" i="2"/>
  <c r="H7" i="1"/>
  <c r="H15" i="2"/>
  <c r="I15" i="2" s="1"/>
  <c r="D15" i="2" s="1"/>
  <c r="H6" i="1"/>
  <c r="H4" i="1"/>
  <c r="G38" i="2"/>
  <c r="G13" i="2"/>
  <c r="H24" i="1" s="1"/>
  <c r="H5" i="2"/>
  <c r="I5" i="2" s="1"/>
  <c r="D5" i="2" s="1"/>
  <c r="G8" i="2"/>
  <c r="H19" i="1" s="1"/>
  <c r="H37" i="2"/>
  <c r="I37" i="2" s="1"/>
  <c r="D37" i="2" s="1"/>
  <c r="H50" i="2"/>
  <c r="I50" i="2" s="1"/>
  <c r="D50" i="2" s="1"/>
  <c r="H14" i="1"/>
  <c r="H11" i="1"/>
  <c r="H10" i="1"/>
  <c r="H9" i="1"/>
  <c r="H3" i="1"/>
  <c r="G16" i="2"/>
  <c r="H12" i="1"/>
  <c r="H2" i="1"/>
  <c r="I35" i="12"/>
  <c r="J35" i="14"/>
  <c r="C12" i="8" s="1"/>
  <c r="D35" i="18"/>
  <c r="C11" i="8" s="1"/>
  <c r="C37" i="12"/>
  <c r="D35" i="14"/>
  <c r="C10" i="8" s="1"/>
  <c r="H22" i="6"/>
  <c r="D55" i="17"/>
  <c r="F55" i="17" s="1"/>
  <c r="H9" i="15"/>
  <c r="H4" i="7"/>
  <c r="G9" i="15"/>
  <c r="E35" i="18"/>
  <c r="N7" i="17"/>
  <c r="C19" i="10" s="1"/>
  <c r="I22" i="6"/>
  <c r="W17" i="9"/>
  <c r="B14" i="20" s="1"/>
  <c r="W16" i="9"/>
  <c r="B13" i="20" s="1"/>
  <c r="V19" i="9"/>
  <c r="X19" i="9" s="1"/>
  <c r="Q16" i="9" a="1"/>
  <c r="Q16" i="9" s="1"/>
  <c r="J38" i="9"/>
  <c r="P17" i="9" a="1"/>
  <c r="P17" i="9" s="1"/>
  <c r="R17" i="9" a="1"/>
  <c r="R17" i="9" s="1"/>
  <c r="H38" i="9" a="1"/>
  <c r="H38" i="9" s="1"/>
  <c r="G38" i="9" a="1"/>
  <c r="G38" i="9" s="1"/>
  <c r="Q17" i="9" a="1"/>
  <c r="Q17" i="9" s="1"/>
  <c r="A14" i="20"/>
  <c r="A4" i="20"/>
  <c r="O5" i="9"/>
  <c r="A2" i="20" s="1"/>
  <c r="A8" i="20"/>
  <c r="A9" i="20"/>
  <c r="A3" i="20"/>
  <c r="A7" i="20"/>
  <c r="A13" i="20"/>
  <c r="A10" i="20"/>
  <c r="A11" i="20"/>
  <c r="V18" i="9"/>
  <c r="X18" i="9" s="1"/>
  <c r="J30" i="9"/>
  <c r="G29" i="9" a="1"/>
  <c r="G29" i="9" s="1"/>
  <c r="H34" i="9" a="1"/>
  <c r="H34" i="9" s="1"/>
  <c r="J37" i="9"/>
  <c r="J33" i="9"/>
  <c r="B7" i="9"/>
  <c r="B12" i="9"/>
  <c r="J29" i="9"/>
  <c r="G32" i="9" a="1"/>
  <c r="G32" i="9" s="1"/>
  <c r="H32" i="9" a="1"/>
  <c r="H32" i="9" s="1"/>
  <c r="R16" i="9" a="1"/>
  <c r="R16" i="9" s="1"/>
  <c r="J27" i="9"/>
  <c r="J32" i="9"/>
  <c r="H35" i="9" a="1"/>
  <c r="H35" i="9" s="1"/>
  <c r="J36" i="9"/>
  <c r="B15" i="9"/>
  <c r="B11" i="9"/>
  <c r="J34" i="9"/>
  <c r="G27" i="9" a="1"/>
  <c r="G27" i="9" s="1"/>
  <c r="H28" i="9" a="1"/>
  <c r="H28" i="9" s="1"/>
  <c r="H29" i="9" a="1"/>
  <c r="H29" i="9" s="1"/>
  <c r="J35" i="9"/>
  <c r="B8" i="9"/>
  <c r="H30" i="9" a="1"/>
  <c r="H30" i="9" s="1"/>
  <c r="B13" i="9"/>
  <c r="G37" i="9" a="1"/>
  <c r="G37" i="9" s="1"/>
  <c r="B26" i="9"/>
  <c r="B9" i="9"/>
  <c r="H37" i="9" a="1"/>
  <c r="H37" i="9" s="1"/>
  <c r="B5" i="9"/>
  <c r="J28" i="9"/>
  <c r="H36" i="9" a="1"/>
  <c r="H36" i="9" s="1"/>
  <c r="G33" i="9" a="1"/>
  <c r="G33" i="9" s="1"/>
  <c r="A12" i="20"/>
  <c r="G30" i="9" a="1"/>
  <c r="G30" i="9" s="1"/>
  <c r="H31" i="9" a="1"/>
  <c r="H31" i="9" s="1"/>
  <c r="B14" i="9"/>
  <c r="B10" i="9"/>
  <c r="B6" i="9"/>
  <c r="G35" i="9" a="1"/>
  <c r="G35" i="9" s="1"/>
  <c r="H27" i="9" a="1"/>
  <c r="H27" i="9" s="1"/>
  <c r="G36" i="9" a="1"/>
  <c r="G36" i="9" s="1"/>
  <c r="H33" i="9" a="1"/>
  <c r="H33" i="9" s="1"/>
  <c r="G28" i="9" a="1"/>
  <c r="G28" i="9" s="1"/>
  <c r="G31" i="9" a="1"/>
  <c r="G31" i="9" s="1"/>
  <c r="G34" i="9" a="1"/>
  <c r="G34" i="9" s="1"/>
  <c r="J31" i="9"/>
  <c r="P16" i="9" a="1"/>
  <c r="P16" i="9" s="1"/>
  <c r="H13" i="1" l="1"/>
  <c r="H16" i="1"/>
  <c r="H17" i="1"/>
  <c r="F35" i="18"/>
  <c r="C9" i="8"/>
  <c r="C14" i="8" s="1"/>
  <c r="C4" i="10" s="1"/>
  <c r="C15" i="10" s="1"/>
  <c r="C17" i="10" s="1"/>
  <c r="P7" i="17"/>
  <c r="K5" i="17"/>
  <c r="K6" i="17" s="1"/>
  <c r="I38" i="9"/>
  <c r="K38" i="9" s="1"/>
  <c r="I36" i="9"/>
  <c r="K36" i="9" s="1"/>
  <c r="I28" i="9"/>
  <c r="K28" i="9" s="1"/>
  <c r="I34" i="9"/>
  <c r="K34" i="9" s="1"/>
  <c r="I30" i="9"/>
  <c r="K30" i="9" s="1"/>
  <c r="I32" i="9"/>
  <c r="K32" i="9" s="1"/>
  <c r="I37" i="9"/>
  <c r="K37" i="9" s="1"/>
  <c r="I31" i="9"/>
  <c r="K31" i="9" s="1"/>
  <c r="I35" i="9"/>
  <c r="K35" i="9" s="1"/>
  <c r="E10" i="9"/>
  <c r="C10" i="9"/>
  <c r="E11" i="9"/>
  <c r="C11" i="9"/>
  <c r="E12" i="9"/>
  <c r="C12" i="9"/>
  <c r="I29" i="9"/>
  <c r="K29" i="9" s="1"/>
  <c r="E5" i="9"/>
  <c r="C5" i="9"/>
  <c r="E7" i="9"/>
  <c r="C7" i="9"/>
  <c r="C14" i="19" a="1"/>
  <c r="C14" i="19" s="1"/>
  <c r="G26" i="9" a="1"/>
  <c r="G26" i="9" s="1"/>
  <c r="D26" i="9" a="1"/>
  <c r="D26" i="9" s="1"/>
  <c r="J26" i="9"/>
  <c r="B4" i="9"/>
  <c r="F26" i="9" a="1"/>
  <c r="F26" i="9" s="1"/>
  <c r="E26" i="9" a="1"/>
  <c r="E26" i="9" s="1"/>
  <c r="C26" i="9" a="1"/>
  <c r="C26" i="9" s="1"/>
  <c r="C12" i="19" a="1"/>
  <c r="C12" i="19" s="1"/>
  <c r="U17" i="9" a="1"/>
  <c r="U17" i="9" s="1"/>
  <c r="T17" i="9" a="1"/>
  <c r="T17" i="9" s="1"/>
  <c r="S17" i="9" a="1"/>
  <c r="S17" i="9" s="1"/>
  <c r="H26" i="9" a="1"/>
  <c r="H26" i="9" s="1"/>
  <c r="C14" i="9"/>
  <c r="E14" i="9"/>
  <c r="E15" i="9"/>
  <c r="C15" i="9"/>
  <c r="C13" i="9"/>
  <c r="E13" i="9"/>
  <c r="I33" i="9"/>
  <c r="K33" i="9" s="1"/>
  <c r="I27" i="9"/>
  <c r="K27" i="9" s="1"/>
  <c r="C6" i="9"/>
  <c r="E6" i="9"/>
  <c r="E9" i="9" a="1"/>
  <c r="E9" i="9" s="1"/>
  <c r="C9" i="9"/>
  <c r="C8" i="9"/>
  <c r="E8" i="9"/>
  <c r="V17" i="9" l="1"/>
  <c r="X17" i="9" s="1"/>
  <c r="S16" i="9" a="1"/>
  <c r="S16" i="9" s="1"/>
  <c r="T16" i="9" a="1"/>
  <c r="T16" i="9" s="1"/>
  <c r="C4" i="9"/>
  <c r="E4" i="9"/>
  <c r="U16" i="9" a="1"/>
  <c r="U16" i="9" s="1"/>
  <c r="I26" i="9"/>
  <c r="K26" i="9" s="1"/>
  <c r="C16" i="9"/>
  <c r="V16" i="9" l="1"/>
  <c r="X16" i="9" s="1"/>
  <c r="B2" i="2" l="1"/>
  <c r="D2" i="2" s="1"/>
  <c r="C52" i="9" l="1"/>
  <c r="P13" i="9" s="1" a="1"/>
  <c r="P13" i="9" s="1"/>
  <c r="I12" i="1"/>
  <c r="J12" i="1" s="1" a="1"/>
  <c r="J12" i="1" s="1"/>
  <c r="J44" i="9" l="1"/>
  <c r="W5" i="9" s="1"/>
  <c r="E48" i="9"/>
  <c r="R9" i="9" s="1" a="1"/>
  <c r="R9" i="9" s="1"/>
  <c r="C48" i="9"/>
  <c r="P9" i="9" s="1" a="1"/>
  <c r="P9" i="9" s="1"/>
  <c r="I7" i="1"/>
  <c r="J7" i="1" s="1" a="1"/>
  <c r="J7" i="1" s="1"/>
  <c r="I9" i="1"/>
  <c r="J9" i="1" s="1" a="1"/>
  <c r="J9" i="1" s="1"/>
  <c r="I4" i="1"/>
  <c r="J4" i="1" s="1" a="1"/>
  <c r="J4" i="1" s="1"/>
  <c r="C46" i="9"/>
  <c r="P7" i="9" s="1" a="1"/>
  <c r="P7" i="9" s="1"/>
  <c r="I5" i="1"/>
  <c r="J5" i="1" s="1" a="1"/>
  <c r="J5" i="1" s="1"/>
  <c r="E50" i="9"/>
  <c r="R11" i="9" s="1" a="1"/>
  <c r="R11" i="9" s="1"/>
  <c r="E54" i="9"/>
  <c r="R15" i="9" s="1" a="1"/>
  <c r="R15" i="9" s="1"/>
  <c r="I6" i="1"/>
  <c r="J6" i="1" s="1" a="1"/>
  <c r="J6" i="1" s="1"/>
  <c r="C51" i="9"/>
  <c r="P12" i="9" s="1" a="1"/>
  <c r="P12" i="9" s="1"/>
  <c r="C53" i="9"/>
  <c r="P14" i="9" s="1" a="1"/>
  <c r="P14" i="9" s="1"/>
  <c r="I8" i="1"/>
  <c r="J8" i="1" s="1" a="1"/>
  <c r="J8" i="1" s="1"/>
  <c r="D51" i="9"/>
  <c r="Q12" i="9" s="1" a="1"/>
  <c r="Q12" i="9" s="1"/>
  <c r="E44" i="9"/>
  <c r="R5" i="9" s="1" a="1"/>
  <c r="R5" i="9" s="1"/>
  <c r="D12" i="19" s="1" a="1"/>
  <c r="D12" i="19" s="1"/>
  <c r="E12" i="19" s="1"/>
  <c r="C44" i="9"/>
  <c r="P5" i="9" s="1" a="1"/>
  <c r="P5" i="9" s="1"/>
  <c r="D8" i="19" s="1" a="1"/>
  <c r="D8" i="19" s="1"/>
  <c r="D54" i="9"/>
  <c r="Q15" i="9" s="1" a="1"/>
  <c r="Q15" i="9" s="1"/>
  <c r="C50" i="9"/>
  <c r="P11" i="9" s="1" a="1"/>
  <c r="P11" i="9" s="1"/>
  <c r="J45" i="9"/>
  <c r="W6" i="9" s="1"/>
  <c r="B3" i="20" s="1"/>
  <c r="J51" i="9"/>
  <c r="W12" i="9" s="1"/>
  <c r="B9" i="20" s="1"/>
  <c r="J49" i="9"/>
  <c r="W10" i="9" s="1"/>
  <c r="B7" i="20" s="1"/>
  <c r="J50" i="9"/>
  <c r="W11" i="9" s="1"/>
  <c r="B8" i="20" s="1"/>
  <c r="J54" i="9"/>
  <c r="W15" i="9" s="1"/>
  <c r="B12" i="20" s="1"/>
  <c r="J47" i="9"/>
  <c r="W8" i="9" s="1"/>
  <c r="B5" i="20" s="1"/>
  <c r="J46" i="9"/>
  <c r="W7" i="9" s="1"/>
  <c r="B4" i="20" s="1"/>
  <c r="J48" i="9"/>
  <c r="W9" i="9" s="1"/>
  <c r="B6" i="20" s="1"/>
  <c r="J53" i="9"/>
  <c r="W14" i="9" s="1"/>
  <c r="B11" i="20" s="1"/>
  <c r="J52" i="9"/>
  <c r="W13" i="9" s="1"/>
  <c r="B10" i="20" s="1"/>
  <c r="E53" i="9"/>
  <c r="R14" i="9" s="1" a="1"/>
  <c r="R14" i="9" s="1"/>
  <c r="C49" i="9"/>
  <c r="P10" i="9" s="1" a="1"/>
  <c r="P10" i="9" s="1"/>
  <c r="I11" i="1"/>
  <c r="J11" i="1" s="1" a="1"/>
  <c r="J11" i="1" s="1"/>
  <c r="E51" i="9"/>
  <c r="R12" i="9" s="1" a="1"/>
  <c r="R12" i="9" s="1"/>
  <c r="E49" i="9"/>
  <c r="R10" i="9" s="1" a="1"/>
  <c r="R10" i="9" s="1"/>
  <c r="C54" i="9"/>
  <c r="P15" i="9" s="1" a="1"/>
  <c r="P15" i="9" s="1"/>
  <c r="E45" i="9"/>
  <c r="R6" i="9" s="1" a="1"/>
  <c r="R6" i="9" s="1"/>
  <c r="C47" i="9"/>
  <c r="P8" i="9" s="1" a="1"/>
  <c r="P8" i="9" s="1"/>
  <c r="C45" i="9"/>
  <c r="P6" i="9" s="1" a="1"/>
  <c r="P6" i="9" s="1"/>
  <c r="D50" i="9"/>
  <c r="Q11" i="9" s="1" a="1"/>
  <c r="Q11" i="9" s="1"/>
  <c r="D49" i="9"/>
  <c r="Q10" i="9" s="1" a="1"/>
  <c r="Q10" i="9" s="1"/>
  <c r="D52" i="9"/>
  <c r="Q13" i="9" s="1" a="1"/>
  <c r="Q13" i="9" s="1"/>
  <c r="E52" i="9"/>
  <c r="R13" i="9" s="1" a="1"/>
  <c r="R13" i="9" s="1"/>
  <c r="I3" i="1"/>
  <c r="J3" i="1" s="1" a="1"/>
  <c r="J3" i="1" s="1"/>
  <c r="D47" i="9"/>
  <c r="Q8" i="9" s="1" a="1"/>
  <c r="Q8" i="9" s="1"/>
  <c r="I10" i="1"/>
  <c r="J10" i="1" s="1" a="1"/>
  <c r="J10" i="1" s="1"/>
  <c r="D53" i="9"/>
  <c r="Q14" i="9" s="1" a="1"/>
  <c r="Q14" i="9" s="1"/>
  <c r="E46" i="9"/>
  <c r="R7" i="9" s="1" a="1"/>
  <c r="R7" i="9" s="1"/>
  <c r="E47" i="9"/>
  <c r="R8" i="9" s="1" a="1"/>
  <c r="R8" i="9" s="1"/>
  <c r="D46" i="9"/>
  <c r="Q7" i="9" s="1" a="1"/>
  <c r="Q7" i="9" s="1"/>
  <c r="D45" i="9"/>
  <c r="Q6" i="9" s="1" a="1"/>
  <c r="Q6" i="9" s="1"/>
  <c r="D48" i="9"/>
  <c r="Q9" i="9" s="1" a="1"/>
  <c r="Q9" i="9" s="1"/>
  <c r="D44" i="9" l="1"/>
  <c r="Q5" i="9" s="1" a="1"/>
  <c r="Q5" i="9" s="1"/>
  <c r="D10" i="19" s="1" a="1"/>
  <c r="D10" i="19" s="1"/>
  <c r="G52" i="9"/>
  <c r="G53" i="9"/>
  <c r="B2" i="20"/>
  <c r="E18" i="19" a="1"/>
  <c r="E18" i="19" s="1"/>
  <c r="F45" i="9"/>
  <c r="S6" i="9" s="1" a="1"/>
  <c r="S6" i="9" s="1"/>
  <c r="F52" i="9"/>
  <c r="S13" i="9" s="1" a="1"/>
  <c r="S13" i="9" s="1"/>
  <c r="F53" i="9"/>
  <c r="S14" i="9" s="1" a="1"/>
  <c r="S14" i="9" s="1"/>
  <c r="F51" i="9"/>
  <c r="S12" i="9" s="1" a="1"/>
  <c r="S12" i="9" s="1"/>
  <c r="F47" i="9"/>
  <c r="S8" i="9" s="1" a="1"/>
  <c r="S8" i="9" s="1"/>
  <c r="F49" i="9"/>
  <c r="S10" i="9" s="1" a="1"/>
  <c r="S10" i="9" s="1"/>
  <c r="F46" i="9"/>
  <c r="S7" i="9" s="1" a="1"/>
  <c r="S7" i="9" s="1"/>
  <c r="F54" i="9"/>
  <c r="S15" i="9" s="1" a="1"/>
  <c r="S15" i="9" s="1"/>
  <c r="F50" i="9"/>
  <c r="S11" i="9" s="1" a="1"/>
  <c r="S11" i="9" s="1"/>
  <c r="I2" i="1"/>
  <c r="H54" i="9"/>
  <c r="U15" i="9" s="1" a="1"/>
  <c r="U15" i="9" s="1"/>
  <c r="H45" i="9"/>
  <c r="U6" i="9" s="1" a="1"/>
  <c r="U6" i="9" s="1"/>
  <c r="H53" i="9"/>
  <c r="U14" i="9" s="1" a="1"/>
  <c r="U14" i="9" s="1"/>
  <c r="H49" i="9"/>
  <c r="U10" i="9" s="1" a="1"/>
  <c r="U10" i="9" s="1"/>
  <c r="H51" i="9"/>
  <c r="U12" i="9" s="1" a="1"/>
  <c r="U12" i="9" s="1"/>
  <c r="H47" i="9"/>
  <c r="U8" i="9" s="1" a="1"/>
  <c r="U8" i="9" s="1"/>
  <c r="H44" i="9"/>
  <c r="U5" i="9" s="1" a="1"/>
  <c r="U5" i="9" s="1"/>
  <c r="H48" i="9"/>
  <c r="U9" i="9" s="1" a="1"/>
  <c r="U9" i="9" s="1"/>
  <c r="H52" i="9"/>
  <c r="U13" i="9" s="1" a="1"/>
  <c r="U13" i="9" s="1"/>
  <c r="H46" i="9"/>
  <c r="U7" i="9" s="1" a="1"/>
  <c r="U7" i="9" s="1"/>
  <c r="H50" i="9"/>
  <c r="U11" i="9" s="1" a="1"/>
  <c r="U11" i="9" s="1"/>
  <c r="G44" i="9"/>
  <c r="G51" i="9"/>
  <c r="G47" i="9"/>
  <c r="G54" i="9"/>
  <c r="G49" i="9"/>
  <c r="G48" i="9"/>
  <c r="G46" i="9"/>
  <c r="G45" i="9"/>
  <c r="G50" i="9" l="1"/>
  <c r="F48" i="9"/>
  <c r="S9" i="9" s="1" a="1"/>
  <c r="S9" i="9" s="1"/>
  <c r="I13" i="1"/>
  <c r="J13" i="1" s="1" a="1"/>
  <c r="J13" i="1" s="1"/>
  <c r="I14" i="1"/>
  <c r="J14" i="1" s="1" a="1"/>
  <c r="J14" i="1" s="1"/>
  <c r="F44" i="9"/>
  <c r="S5" i="9" s="1" a="1"/>
  <c r="S5" i="9" s="1"/>
  <c r="D14" i="19" s="1" a="1"/>
  <c r="D14" i="19" s="1"/>
  <c r="E14" i="19" s="1"/>
  <c r="E16" i="19" s="1"/>
  <c r="J2" i="1" a="1"/>
  <c r="J2" i="1" s="1"/>
  <c r="I52" i="9"/>
  <c r="K52" i="9" s="1"/>
  <c r="T13" i="9" a="1"/>
  <c r="T13" i="9" s="1"/>
  <c r="V13" i="9" s="1"/>
  <c r="X13" i="9" s="1"/>
  <c r="I54" i="9"/>
  <c r="K54" i="9" s="1"/>
  <c r="T15" i="9" a="1"/>
  <c r="T15" i="9" s="1"/>
  <c r="V15" i="9" s="1"/>
  <c r="X15" i="9" s="1"/>
  <c r="I49" i="9"/>
  <c r="K49" i="9" s="1"/>
  <c r="T10" i="9" a="1"/>
  <c r="T10" i="9" s="1"/>
  <c r="V10" i="9" s="1"/>
  <c r="X10" i="9" s="1"/>
  <c r="I53" i="9"/>
  <c r="K53" i="9" s="1"/>
  <c r="T14" i="9" a="1"/>
  <c r="T14" i="9" s="1"/>
  <c r="V14" i="9" s="1"/>
  <c r="X14" i="9" s="1"/>
  <c r="I47" i="9"/>
  <c r="K47" i="9" s="1"/>
  <c r="T8" i="9" a="1"/>
  <c r="T8" i="9" s="1"/>
  <c r="V8" i="9" s="1"/>
  <c r="X8" i="9" s="1"/>
  <c r="I51" i="9"/>
  <c r="K51" i="9" s="1"/>
  <c r="T12" i="9" a="1"/>
  <c r="T12" i="9" s="1"/>
  <c r="V12" i="9" s="1"/>
  <c r="X12" i="9" s="1"/>
  <c r="I46" i="9"/>
  <c r="K46" i="9" s="1"/>
  <c r="T7" i="9" a="1"/>
  <c r="T7" i="9" s="1"/>
  <c r="V7" i="9" s="1"/>
  <c r="X7" i="9" s="1"/>
  <c r="I44" i="9"/>
  <c r="T5" i="9" a="1"/>
  <c r="T5" i="9" s="1"/>
  <c r="V5" i="9" s="1"/>
  <c r="X5" i="9" s="1"/>
  <c r="E20" i="19" s="1" a="1"/>
  <c r="E20" i="19" s="1"/>
  <c r="I45" i="9"/>
  <c r="K45" i="9" s="1"/>
  <c r="T6" i="9" a="1"/>
  <c r="T6" i="9" s="1"/>
  <c r="V6" i="9" s="1"/>
  <c r="X6" i="9" s="1"/>
  <c r="I48" i="9"/>
  <c r="K48" i="9" s="1"/>
  <c r="T9" i="9" a="1"/>
  <c r="T9" i="9" s="1"/>
  <c r="V9" i="9" s="1"/>
  <c r="X9" i="9" s="1"/>
  <c r="J28" i="1" l="1" a="1"/>
  <c r="J28" i="1" s="1"/>
  <c r="I28" i="1" a="1"/>
  <c r="I28" i="1" s="1"/>
  <c r="I50" i="9"/>
  <c r="K50" i="9" s="1"/>
  <c r="T11" i="9" a="1"/>
  <c r="T11" i="9" s="1"/>
  <c r="V11" i="9" s="1"/>
  <c r="X11" i="9" s="1"/>
  <c r="K44" i="9"/>
  <c r="C18" i="9" l="1"/>
  <c r="C3" i="10" s="1"/>
  <c r="C5" i="10" s="1"/>
  <c r="F21" i="10" s="1"/>
  <c r="C11" i="10" l="1"/>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<sst xmlns="http://schemas.openxmlformats.org/spreadsheetml/2006/main" count="591" uniqueCount="207">
  <si>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</si>
  <si>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</si>
  <si>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</si>
  <si>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</si>
  <si>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</si>
  <si>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</si>
  <si>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</si>
  <si>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</si>
  <si>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</si>
  <si>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</si>
  <si>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</si>
  <si>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</si>
  <si>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</si>
  <si>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</si>
  <si>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</si>
  <si>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</si>
  <si>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</si>
  <si>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</si>
  <si>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</si>
  <si>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</si>
  <si>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</si>
  <si>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</si>
  <si>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</si>
  <si>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</si>
  <si>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</si>
  <si>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</si>
  <si>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</si>
  <si>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</si>
  <si>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</si>
  <si>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</si>
  <si>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</si>
  <si>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</si>
  <si>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</si>
  <si>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</si>
  <si>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</si>
  <si>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</si>
  <si>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</si>
  <si>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</si>
  <si>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</si>
  <si>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</si>
  <si>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</si>
  <si>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</si>
  <si>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</si>
  <si>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</si>
  <si>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</si>
  <si>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</si>
  <si>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</si>
  <si>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</si>
  <si>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</si>
  <si>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</si>
  <si>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</si>
  <si>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</si>
  <si>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</si>
  <si>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</si>
  <si>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</si>
  <si>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</si>
  <si>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</si>
  <si>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</si>
  <si>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</si>
  <si>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</si>
  <si>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</si>
  <si>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</si>
  <si>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</si>
  <si>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</si>
  <si>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</si>
  <si>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</si>
  <si>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</si>
  <si>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</si>
  <si>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</si>
  <si>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</si>
  <si>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</si>
  <si>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</si>
  <si>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</si>
  <si>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</si>
  <si>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</si>
  <si>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</si>
  <si>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</si>
  <si>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</si>
  <si>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</si>
  <si>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</si>
  <si>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</si>
  <si>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</si>
  <si>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</si>
  <si>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</si>
  <si>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</si>
  <si>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</si>
  <si>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</si>
  <si>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</si>
  <si>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</si>
  <si>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</si>
  <si>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</si>
  <si>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</si>
  <si>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</si>
  <si>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</si>
  <si>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</si>
  <si>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</si>
  <si>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</si>
  <si>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</si>
  <si>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</si>
  <si>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</si>
  <si>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</si>
  <si>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</si>
  <si>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</si>
  <si>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</si>
  <si>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</si>
  <si>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</si>
  <si>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</si>
  <si>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</si>
  <si>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</si>
  <si>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</si>
  <si>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</si>
  <si>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</si>
  <si>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</si>
  <si>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</si>
  <si>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</si>
  <si>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</si>
  <si>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</si>
  <si>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</si>
  <si>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</si>
  <si>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</si>
  <si>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</si>
  <si>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</si>
  <si>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</si>
  <si>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</si>
  <si>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</si>
  <si>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</si>
  <si>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</si>
  <si>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</si>
  <si>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</si>
  <si>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</si>
  <si>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</si>
  <si>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</si>
  <si>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</si>
  <si>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</si>
  <si>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</si>
  <si>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</si>
  <si>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</si>
  <si>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</si>
  <si>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</si>
  <si>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</si>
  <si>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</si>
  <si>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</si>
  <si>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</si>
  <si>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</si>
  <si>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</si>
  <si>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</si>
  <si>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</si>
  <si>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</si>
  <si>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</si>
  <si>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</si>
  <si>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</si>
  <si>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</si>
  <si>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</si>
  <si>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</si>
  <si>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</si>
  <si>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</si>
  <si>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</si>
  <si>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</si>
  <si>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</si>
  <si>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</si>
  <si>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</si>
  <si>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</si>
  <si>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</si>
  <si>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</si>
  <si>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</si>
  <si>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</si>
  <si>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</si>
  <si>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</si>
  <si>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</si>
  <si>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</si>
  <si>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</si>
  <si>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</si>
  <si>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</si>
  <si>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</si>
  <si>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</si>
  <si>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</si>
  <si>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</si>
  <si>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</si>
  <si>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</si>
  <si>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</si>
  <si>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</si>
  <si>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</si>
  <si>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</si>
  <si>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</si>
  <si>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</si>
  <si>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</si>
  <si>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</si>
  <si>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</si>
  <si>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</si>
  <si>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</si>
  <si>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</si>
  <si>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</si>
  <si>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</si>
  <si>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</si>
  <si>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</si>
  <si>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</si>
  <si>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</si>
  <si>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</si>
  <si>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</si>
  <si>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</si>
  <si>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</si>
  <si>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</si>
  <si>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</si>
  <si>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</si>
  <si>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</si>
  <si>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</si>
  <si>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1716-a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</si>
</sst>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4">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0" applyBorder="1"/>
    <xf numFmtId="14" fontId="0" fillId="0" borderId="7" xfId="0" applyNumberFormat="1" applyFont="1" applyBorder="1"/>
    <xf numFmtId="14" fontId="0" fillId="0" borderId="8" xfId="0" applyNumberFormat="1" applyFont="1"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42">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907733</xdr:colOff>
      <xdr:row>109</xdr:row>
      <xdr:rowOff>172006</xdr:rowOff>
    </xdr:from>
    <xdr:to>
      <xdr:col>15</xdr:col>
      <xdr:colOff>1100089</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1131014</v>
          </cell>
          <cell r="Q5">
            <v>1034211.7776152159</v>
          </cell>
          <cell r="R5">
            <v>1019659.8390636431</v>
          </cell>
          <cell r="S5">
            <v>14551.938551572788</v>
          </cell>
          <cell r="T5">
            <v>10196598.390636431</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-41752</v>
          </cell>
        </row>
        <row r="11">
          <cell r="R11">
            <v>12665</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0.038397453704" createdVersion="8" refreshedVersion="8" minRefreshableVersion="3" recordCount="4" xr:uid="{376A650C-1F79-4049-BC45-E34989F046B2}">
  <cacheSource type="worksheet">
    <worksheetSource name="Table2"/>
  </cacheSource>
  <cacheFields count="8">
    <cacheField name="Date" numFmtId="14">
      <sharedItems containsNonDate="0" containsDate="1" containsString="0" containsBlank="1" minDate="2025-09-16T00:00:00" maxDate="2025-09-17T00:00:00"/>
    </cacheField>
    <cacheField name="Party Name" numFmtId="14">
      <sharedItems containsBlank="1" count="5">
        <s v="Finish"/>
        <s v="Faysal Akraam"/>
        <m/>
        <s v="-" u="1"/>
        <s v="Faysal" u="1"/>
      </sharedItems>
    </cacheField>
    <cacheField name="Item" numFmtId="0">
      <sharedItems containsBlank="1"/>
    </cacheField>
    <cacheField name="Boxes" numFmtId="0">
      <sharedItems containsNonDate="0" containsString="0" containsBlank="1"/>
    </cacheField>
    <cacheField name="Quantity" numFmtId="0">
      <sharedItems containsNonDate="0" containsString="0" containsBlank="1"/>
    </cacheField>
    <cacheField name="Price" numFmtId="0">
      <sharedItems containsNonDate="0" containsString="0" containsBlank="1"/>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0.038398032404" createdVersion="8" refreshedVersion="8" minRefreshableVersion="3" recordCount="28" xr:uid="{46CBB50D-3613-4E5B-8212-DD0313DCD05A}">
  <cacheSource type="worksheet">
    <worksheetSource name="Table1"/>
  </cacheSource>
  <cacheFields count="14">
    <cacheField name="Date" numFmtId="0">
      <sharedItems containsNonDate="0" containsDate="1" containsString="0" containsBlank="1" minDate="2025-07-25T00:00:00" maxDate="2025-09-21T00:00:00" count="47">
        <d v="2025-09-16T00:00:00"/>
        <d v="2025-09-17T00:00:00"/>
        <d v="2025-09-18T00:00:00"/>
        <d v="2025-09-19T00:00:00"/>
        <d v="2025-08-19T00:00:00"/>
        <d v="2025-09-20T00:00:00"/>
        <m/>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Azam"/>
        <s v="Ubaidullah"/>
        <s v="Ashraf Zia"/>
        <s v="Hafiz Qureshi"/>
        <m/>
        <s v="YING" u="1"/>
        <s v="Meow" u="1"/>
        <s v="Umer Sb" u="1"/>
        <s v="-" u="1"/>
        <s v="Sajjad" u="1"/>
        <s v="Haji Ejaz" u="1"/>
      </sharedItems>
    </cacheField>
    <cacheField name="Bill Number" numFmtId="0">
      <sharedItems containsBlank="1" containsMixedTypes="1" containsNumber="1" containsInteger="1" minValue="604" maxValue="848" count="234">
        <s v="August Closing CF"/>
        <n v="835"/>
        <n v="836"/>
        <n v="837"/>
        <n v="838"/>
        <n v="839"/>
        <n v="840"/>
        <n v="841"/>
        <n v="842"/>
        <n v="843"/>
        <n v="844"/>
        <n v="845"/>
        <n v="846"/>
        <n v="847"/>
        <n v="848"/>
        <m/>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9">
        <m/>
        <n v="1708"/>
        <n v="1720"/>
        <n v="1723"/>
        <n v="1724"/>
        <n v="1714"/>
        <n v="1690"/>
        <n v="1716"/>
        <n v="1696"/>
        <n v="1694"/>
        <n v="1687"/>
        <n v="1719"/>
        <s v="1716-a"/>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2911" maxValue="34908"/>
    </cacheField>
    <cacheField name="Tiyaar/gaz" numFmtId="164">
      <sharedItems containsString="0" containsBlank="1" containsNumber="1" containsInteger="1" minValue="2190" maxValue="37420"/>
    </cacheField>
    <cacheField name="shortage %" numFmtId="165">
      <sharedItems containsMixedTypes="1" containsNumber="1" minValue="-0.4176927646869899" maxValue="92.76503260759533"/>
    </cacheField>
    <cacheField name="tiyar/meters" numFmtId="165">
      <sharedItems containsString="0" containsBlank="1" containsNumber="1" minValue="0" maxValue="1009580.2852962693"/>
    </cacheField>
    <cacheField name="billing" numFmtId="165">
      <sharedItems containsMixedTypes="1" containsNumber="1" minValue="0" maxValue="10095802.85296269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0.038399074074" createdVersion="8" refreshedVersion="8" minRefreshableVersion="3" recordCount="20" xr:uid="{3E5C2981-ACF5-44A9-8567-B1D65DB3A8D2}">
  <cacheSource type="worksheet">
    <worksheetSource name="Table3"/>
  </cacheSource>
  <cacheFields count="9">
    <cacheField name="Date" numFmtId="14">
      <sharedItems containsNonDate="0" containsDate="1" containsString="0" containsBlank="1" minDate="2025-05-02T00:00:00" maxDate="2025-09-20T00:00:00" count="56">
        <d v="2025-09-16T00:00:00"/>
        <d v="2025-09-17T00:00:00"/>
        <d v="2025-09-18T00:00:00"/>
        <d v="2025-09-19T00:00:00"/>
        <m/>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s v="Aqib Freight" u="1"/>
      </sharedItems>
    </cacheField>
    <cacheField name="Vehicle Number" numFmtId="0">
      <sharedItems containsBlank="1" containsMixedTypes="1" containsNumber="1" containsInteger="1" minValue="31" maxValue="9940" count="47">
        <s v="Closing Balance CF"/>
        <n v="112"/>
        <n v="1435"/>
        <m/>
        <n v="4646"/>
        <n v="1196"/>
        <n v="6691" u="1"/>
        <n v="1055" u="1"/>
        <n v="8395" u="1"/>
        <n v="3229"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262"/>
    </cacheField>
    <cacheField name="Rate" numFmtId="164">
      <sharedItems containsString="0" containsBlank="1" containsNumber="1" containsInteger="1" minValue="550" maxValue="810"/>
    </cacheField>
    <cacheField name="Rent" numFmtId="164">
      <sharedItems containsString="0" containsBlank="1" containsNumber="1" containsInteger="1" minValue="34300" maxValue="42510"/>
    </cacheField>
    <cacheField name="Total" numFmtId="164">
      <sharedItems containsSemiMixedTypes="0" containsString="0" containsNumber="1" containsInteger="1" minValue="0" maxValue="212220"/>
    </cacheField>
    <cacheField name="Paid" numFmtId="164">
      <sharedItems containsString="0" containsBlank="1" containsNumber="1" containsInteger="1" minValue="0" maxValue="361826"/>
    </cacheField>
    <cacheField name="balance" numFmtId="164">
      <sharedItems containsSemiMixedTypes="0" containsString="0" containsNumber="1" containsInteger="1" minValue="-169856"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0.038399305558" createdVersion="8" refreshedVersion="8" minRefreshableVersion="3" recordCount="2" xr:uid="{AC867DCC-CE64-4D1A-827D-F1F3EE10EE4E}">
  <cacheSource type="worksheet">
    <worksheetSource name="Table8"/>
  </cacheSource>
  <cacheFields count="9">
    <cacheField name="Date" numFmtId="14">
      <sharedItems containsSemiMixedTypes="0" containsNonDate="0" containsDate="1" containsString="0" minDate="2025-05-16T00:00:00" maxDate="2025-09-20T00:00:00" count="21">
        <d v="2025-09-16T00:00:00"/>
        <d v="2025-09-19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121000" maxValue="121000"/>
    </cacheField>
    <cacheField name="Party" numFmtId="0">
      <sharedItems containsBlank="1" count="3">
        <s v="Unicolour"/>
        <m/>
        <s v="-" u="1"/>
      </sharedItems>
    </cacheField>
    <cacheField name="Paid" numFmtId="0">
      <sharedItems containsString="0" containsBlank="1" containsNumber="1" containsInteger="1" minValue="121000" maxValue="121000"/>
    </cacheField>
    <cacheField name="Balance" numFmtId="0">
      <sharedItems containsSemiMixedTypes="0" containsString="0" containsNumber="1" containsInteger="1" minValue="0" maxValue="708000"/>
    </cacheField>
    <cacheField name="info"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0.038399421297"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Azam"/>
        <s v="Ubaidullah"/>
        <s v="Ashraf Zia"/>
        <s v="Hafiz Qureshi"/>
        <n v="0"/>
      </sharedItems>
    </cacheField>
    <cacheField name="Tiyaar" numFmtId="1">
      <sharedItems containsSemiMixedTypes="0" containsString="0" containsNumber="1" minValue="0" maxValue="48942.026335040238"/>
    </cacheField>
    <cacheField name="Rate" numFmtId="0">
      <sharedItems containsString="0" containsBlank="1" containsNumber="1" minValue="10" maxValue="12"/>
    </cacheField>
    <cacheField name="Total" numFmtId="164">
      <sharedItems containsSemiMixedTypes="0" containsString="0" containsNumber="1" minValue="0" maxValue="587304.31602048292"/>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0.03839976852" createdVersion="8" refreshedVersion="8" minRefreshableVersion="3" recordCount="53" xr:uid="{B5BDFB73-D93A-4A7A-8149-666BC190B09B}">
  <cacheSource type="worksheet">
    <worksheetSource name="Table14"/>
  </cacheSource>
  <cacheFields count="7">
    <cacheField name="Date" numFmtId="14">
      <sharedItems containsNonDate="0" containsDate="1" containsString="0" containsBlank="1" minDate="2025-09-16T00:00:00" maxDate="2025-09-20T00:00:00"/>
    </cacheField>
    <cacheField name="Party" numFmtId="0">
      <sharedItems containsBlank="1" count="39">
        <s v="Closing August CF"/>
        <s v="Ejaz Sahab"/>
        <s v="Malik Zaheer"/>
        <s v="Hafiz Qureshi"/>
        <s v="Arshad"/>
        <s v="Misc"/>
        <s v="Omer"/>
        <s v="Advance Salary"/>
        <s v="BSC"/>
        <s v="Transport"/>
        <s v="Dasti"/>
        <s v="Parts"/>
        <s v="Salary"/>
        <s v="Dyes"/>
        <s v="Rafaqat"/>
        <s v="Azam"/>
        <s v="Sufi Nawaz Sahab"/>
        <s v="Rashan"/>
        <m/>
        <s v="Closing July CF" u="1"/>
        <s v="Sajad Khan" u="1"/>
        <s v="Chemicals" u="1"/>
        <s v="Unicolour" u="1"/>
        <s v="Raaz" u="1"/>
        <s v="Faysal Akraam" u="1"/>
        <s v="Cash" u="1"/>
        <s v="Diesel" u="1"/>
        <s v="Old Bill" u="1"/>
        <s v="Finish" u="1"/>
        <s v="temp" u="1"/>
        <s v="temp (Ashfaq Sahab)" u="1"/>
        <s v="Ubaidullah" u="1"/>
        <s v="Salary " u="1"/>
        <s v="Aqib" u="1"/>
        <s v="Raaz fabrics" u="1"/>
        <s v="Shehzad Kamoki" u="1"/>
        <s v="Toll" u="1"/>
        <s v="Self" u="1"/>
        <s v="Aqib Freight" u="1"/>
      </sharedItems>
    </cacheField>
    <cacheField name="Debit" numFmtId="164">
      <sharedItems containsString="0" containsBlank="1" containsNumber="1" containsInteger="1" minValue="200" maxValue="280516"/>
    </cacheField>
    <cacheField name="Credit" numFmtId="164">
      <sharedItems containsString="0" containsBlank="1" containsNumber="1" containsInteger="1" minValue="-41752" maxValue="315000"/>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d v="2025-09-16T00:00:00"/>
    <x v="0"/>
    <s v="August Closing CF"/>
    <m/>
    <m/>
    <m/>
    <n v="0"/>
    <n v="310500"/>
  </r>
  <r>
    <d v="2025-09-16T00:00:00"/>
    <x v="1"/>
    <s v="August Closing CF"/>
    <m/>
    <m/>
    <m/>
    <n v="0"/>
    <n v="-5000"/>
  </r>
  <r>
    <m/>
    <x v="2"/>
    <m/>
    <m/>
    <m/>
    <m/>
    <n v="0"/>
    <n v="0"/>
  </r>
  <r>
    <m/>
    <x v="2"/>
    <m/>
    <m/>
    <m/>
    <m/>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x v="0"/>
    <s v="Chamki"/>
    <x v="0"/>
    <m/>
    <m/>
    <e v="#DIV/0!"/>
    <n v="1009580.2852962693"/>
    <n v="10095802.852962693"/>
    <m/>
  </r>
  <r>
    <x v="0"/>
    <x v="1"/>
    <x v="0"/>
    <s v="Chamki"/>
    <x v="0"/>
    <m/>
    <m/>
    <e v="#DIV/0!"/>
    <n v="85990.30724213607"/>
    <n v="859903.07242136076"/>
    <m/>
  </r>
  <r>
    <x v="0"/>
    <x v="2"/>
    <x v="0"/>
    <s v="Chamki"/>
    <x v="0"/>
    <m/>
    <m/>
    <e v="#DIV/0!"/>
    <n v="131881.8580833943"/>
    <n v="1318818.5808339431"/>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92.76503260759533"/>
    <n v="2414.9597659107535"/>
    <n v="24149.597659107534"/>
    <m/>
  </r>
  <r>
    <x v="4"/>
    <x v="0"/>
    <x v="11"/>
    <s v="Chamki"/>
    <x v="7"/>
    <m/>
    <m/>
    <e v="#DIV/0!"/>
    <n v="0"/>
    <n v="0"/>
    <m/>
  </r>
  <r>
    <x v="4"/>
    <x v="5"/>
    <x v="12"/>
    <s v="Chamki"/>
    <x v="10"/>
    <n v="25625"/>
    <n v="2190"/>
    <n v="92.185130337038558"/>
    <n v="2002.56035113387"/>
    <n v="20025.603511338701"/>
    <m/>
  </r>
  <r>
    <x v="5"/>
    <x v="0"/>
    <x v="13"/>
    <s v="Chamki"/>
    <x v="11"/>
    <n v="30808"/>
    <n v="33167"/>
    <s v="NF"/>
    <m/>
    <n v="0"/>
    <m/>
  </r>
  <r>
    <x v="5"/>
    <x v="2"/>
    <x v="14"/>
    <s v="Chamki"/>
    <x v="12"/>
    <n v="12058"/>
    <n v="12882"/>
    <s v="NF"/>
    <m/>
    <n v="0"/>
    <m/>
  </r>
  <r>
    <x v="6"/>
    <x v="11"/>
    <x v="15"/>
    <m/>
    <x v="0"/>
    <m/>
    <m/>
    <e v="#DIV/0!"/>
    <m/>
    <e v="#N/A"/>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206"/>
    <n v="810"/>
    <n v="34300"/>
    <n v="166860"/>
    <n v="234300"/>
    <n v="-67440"/>
  </r>
  <r>
    <x v="4"/>
    <x v="3"/>
    <x v="3"/>
    <m/>
    <m/>
    <m/>
    <n v="0"/>
    <m/>
    <n v="0"/>
  </r>
  <r>
    <x v="4"/>
    <x v="3"/>
    <x v="3"/>
    <m/>
    <m/>
    <m/>
    <n v="0"/>
    <m/>
    <n v="0"/>
  </r>
  <r>
    <x v="4"/>
    <x v="3"/>
    <x v="3"/>
    <m/>
    <m/>
    <m/>
    <n v="0"/>
    <m/>
    <n v="0"/>
  </r>
  <r>
    <x v="4"/>
    <x v="3"/>
    <x v="3"/>
    <m/>
    <m/>
    <m/>
    <n v="0"/>
    <m/>
    <n v="0"/>
  </r>
  <r>
    <x v="4"/>
    <x v="3"/>
    <x v="3"/>
    <m/>
    <m/>
    <m/>
    <n v="0"/>
    <m/>
    <n v="0"/>
  </r>
  <r>
    <x v="4"/>
    <x v="3"/>
    <x v="3"/>
    <m/>
    <m/>
    <m/>
    <n v="0"/>
    <m/>
    <n v="0"/>
  </r>
  <r>
    <x v="4"/>
    <x v="3"/>
    <x v="3"/>
    <m/>
    <m/>
    <m/>
    <n v="0"/>
    <m/>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s v="Dyes"/>
    <m/>
    <m/>
    <m/>
    <x v="0"/>
    <m/>
    <n v="708000"/>
    <s v="August closing CF"/>
  </r>
  <r>
    <x v="1"/>
    <s v="NP9"/>
    <m/>
    <m/>
    <n v="121000"/>
    <x v="1"/>
    <n v="121000"/>
    <n v="0"/>
    <s v="NP9+Rubine B"/>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48587.234820775426"/>
    <n v="10"/>
    <n v="485872.34820775426"/>
  </r>
  <r>
    <x v="1"/>
    <n v="0"/>
    <n v="10"/>
    <n v="0"/>
  </r>
  <r>
    <x v="2"/>
    <n v="11779.444038039504"/>
    <n v="10"/>
    <n v="117794.44038039504"/>
  </r>
  <r>
    <x v="3"/>
    <n v="0"/>
    <n v="10.5"/>
    <n v="0"/>
  </r>
  <r>
    <x v="4"/>
    <n v="48942.026335040238"/>
    <n v="10"/>
    <n v="587304.31602048292"/>
  </r>
  <r>
    <x v="5"/>
    <n v="2002.56035113387"/>
    <n v="10"/>
    <n v="20025.603511338701"/>
  </r>
  <r>
    <x v="6"/>
    <n v="0"/>
    <n v="10"/>
    <n v="0"/>
  </r>
  <r>
    <x v="7"/>
    <n v="36632.223847841989"/>
    <n v="10"/>
    <n v="366322.23847841989"/>
  </r>
  <r>
    <x v="8"/>
    <n v="15599.853694220923"/>
    <n v="10"/>
    <n v="155998.53694220923"/>
  </r>
  <r>
    <x v="9"/>
    <n v="0"/>
    <n v="12"/>
    <n v="0"/>
  </r>
  <r>
    <x v="10"/>
    <n v="0"/>
    <m/>
    <n v="0"/>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d v="2025-09-16T00:00:00"/>
    <x v="0"/>
    <m/>
    <n v="-41752"/>
    <m/>
    <s v="Bank"/>
    <m/>
  </r>
  <r>
    <d v="2025-09-16T00:00:00"/>
    <x v="0"/>
    <m/>
    <n v="12665"/>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Bank"/>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21000"/>
    <s v="1mil "/>
    <s v="Bank"/>
    <m/>
  </r>
  <r>
    <d v="2025-09-19T00:00:00"/>
    <x v="13"/>
    <n v="121000"/>
    <m/>
    <s v="BP26"/>
    <s v="Bank"/>
    <m/>
  </r>
  <r>
    <d v="2025-09-19T00:00:00"/>
    <x v="11"/>
    <n v="1371"/>
    <m/>
    <s v="Diesel"/>
    <s v="Bank"/>
    <m/>
  </r>
  <r>
    <d v="2025-09-19T00:00:00"/>
    <x v="5"/>
    <n v="780"/>
    <m/>
    <s v="cobra spray"/>
    <s v="Cash"/>
    <m/>
  </r>
  <r>
    <d v="2025-09-19T00:00:00"/>
    <x v="17"/>
    <n v="11185"/>
    <m/>
    <s v="5 days"/>
    <s v="Bank"/>
    <m/>
  </r>
  <r>
    <d v="2025-09-19T00:00:00"/>
    <x v="4"/>
    <m/>
    <n v="84190"/>
    <s v="BAHL"/>
    <s v="Bank"/>
    <m/>
  </r>
  <r>
    <d v="2025-09-19T00:00:00"/>
    <x v="11"/>
    <n v="8230"/>
    <m/>
    <s v="Diesel"/>
    <s v="Bank"/>
    <m/>
  </r>
  <r>
    <d v="2025-09-19T00:00:00"/>
    <x v="9"/>
    <n v="2500"/>
    <m/>
    <s v="dyes rent"/>
    <s v="Cash"/>
    <m/>
  </r>
  <r>
    <d v="2025-09-19T00:00:00"/>
    <x v="9"/>
    <n v="5330"/>
    <m/>
    <s v="petrol"/>
    <s v="Cash"/>
    <m/>
  </r>
  <r>
    <m/>
    <x v="18"/>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10"/>
        <item x="8"/>
        <item x="9"/>
        <item x="7"/>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41">
      <pivotArea field="0" grandRow="1" outline="0" collapsedLevelsAreSubtotals="1" axis="axisRow" fieldPosition="0">
        <references count="1">
          <reference field="4294967294" count="1" selected="0">
            <x v="1"/>
          </reference>
        </references>
      </pivotArea>
    </format>
    <format dxfId="140">
      <pivotArea field="0" grandRow="1" outline="0" collapsedLevelsAreSubtotals="1" axis="axisRow" fieldPosition="0">
        <references count="1">
          <reference field="4294967294" count="1" selected="0">
            <x v="0"/>
          </reference>
        </references>
      </pivotArea>
    </format>
    <format dxfId="139">
      <pivotArea collapsedLevelsAreSubtotals="1" fieldPosition="0">
        <references count="2">
          <reference field="4294967294" count="1" selected="0">
            <x v="1"/>
          </reference>
          <reference field="0" count="0"/>
        </references>
      </pivotArea>
    </format>
    <format dxfId="138">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3:K51" firstHeaderRow="0" firstDataRow="1" firstDataCol="1"/>
  <pivotFields count="14">
    <pivotField axis="axisRow" numFmtId="14" showAll="0">
      <items count="48">
        <item m="1" x="31"/>
        <item m="1" x="32"/>
        <item m="1" x="33"/>
        <item m="1" x="34"/>
        <item m="1" x="35"/>
        <item m="1" x="36"/>
        <item m="1" x="46"/>
        <item m="1" x="37"/>
        <item m="1" x="38"/>
        <item m="1" x="39"/>
        <item m="1" x="40"/>
        <item m="1" x="41"/>
        <item m="1" x="42"/>
        <item m="1" x="43"/>
        <item m="1" x="44"/>
        <item m="1" x="45"/>
        <item m="1" x="8"/>
        <item m="1" x="7"/>
        <item x="4"/>
        <item m="1" x="9"/>
        <item m="1" x="10"/>
        <item m="1" x="11"/>
        <item m="1" x="12"/>
        <item m="1" x="13"/>
        <item m="1" x="14"/>
        <item m="1" x="15"/>
        <item m="1" x="16"/>
        <item m="1" x="17"/>
        <item m="1" x="18"/>
        <item m="1" x="19"/>
        <item m="1" x="20"/>
        <item m="1" x="21"/>
        <item m="1" x="22"/>
        <item m="1" x="23"/>
        <item m="1" x="24"/>
        <item m="1" x="25"/>
        <item m="1" x="26"/>
        <item m="1" x="27"/>
        <item m="1" x="28"/>
        <item m="1" x="29"/>
        <item m="1" x="30"/>
        <item x="0"/>
        <item x="1"/>
        <item x="2"/>
        <item x="3"/>
        <item x="5"/>
        <item x="6"/>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8">
    <i>
      <x v="18"/>
    </i>
    <i>
      <x v="41"/>
    </i>
    <i>
      <x v="42"/>
    </i>
    <i>
      <x v="43"/>
    </i>
    <i>
      <x v="44"/>
    </i>
    <i>
      <x v="45"/>
    </i>
    <i>
      <x v="4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1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43:G60" firstHeaderRow="0" firstDataRow="1" firstDataCol="1" rowPageCount="3" colPageCount="1"/>
  <pivotFields count="14">
    <pivotField axis="axisPage" showAll="0">
      <items count="48">
        <item m="1" x="31"/>
        <item m="1" x="32"/>
        <item m="1" x="33"/>
        <item m="1" x="34"/>
        <item m="1" x="35"/>
        <item m="1" x="36"/>
        <item m="1" x="46"/>
        <item m="1" x="37"/>
        <item m="1" x="38"/>
        <item m="1" x="39"/>
        <item m="1" x="40"/>
        <item m="1" x="41"/>
        <item m="1" x="42"/>
        <item m="1" x="43"/>
        <item m="1" x="44"/>
        <item m="1" x="45"/>
        <item m="1" x="8"/>
        <item m="1" x="7"/>
        <item x="4"/>
        <item m="1" x="9"/>
        <item m="1" x="10"/>
        <item m="1" x="11"/>
        <item m="1" x="12"/>
        <item m="1" x="13"/>
        <item m="1" x="14"/>
        <item m="1" x="15"/>
        <item m="1" x="16"/>
        <item m="1" x="17"/>
        <item m="1" x="18"/>
        <item m="1" x="19"/>
        <item m="1" x="20"/>
        <item m="1" x="21"/>
        <item m="1" x="22"/>
        <item m="1" x="23"/>
        <item m="1" x="24"/>
        <item m="1" x="25"/>
        <item m="1" x="26"/>
        <item m="1" x="27"/>
        <item m="1" x="28"/>
        <item m="1" x="29"/>
        <item m="1" x="30"/>
        <item x="0"/>
        <item x="1"/>
        <item x="2"/>
        <item x="3"/>
        <item x="5"/>
        <item x="6"/>
        <item t="default"/>
      </items>
    </pivotField>
    <pivotField axis="axisPage" multipleItemSelectionAllowed="1" showAll="0">
      <items count="19">
        <item x="2"/>
        <item x="0"/>
        <item m="1" x="17"/>
        <item x="6"/>
        <item m="1" x="16"/>
        <item m="1" x="15"/>
        <item m="1" x="14"/>
        <item x="1"/>
        <item x="3"/>
        <item m="1" x="13"/>
        <item x="4"/>
        <item m="1" x="12"/>
        <item x="11"/>
        <item x="5"/>
        <item x="10"/>
        <item x="8"/>
        <item x="9"/>
        <item x="7"/>
        <item t="default"/>
      </items>
    </pivotField>
    <pivotField axis="axisRow" numFmtId="164" showAll="0">
      <items count="23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124"/>
        <item m="1" x="125"/>
        <item m="1" x="126"/>
        <item m="1" x="127"/>
        <item m="1" x="128"/>
        <item m="1" x="129"/>
        <item m="1" x="130"/>
        <item m="1" x="131"/>
        <item m="1" x="132"/>
        <item m="1" x="133"/>
        <item m="1" x="134"/>
        <item m="1" x="135"/>
        <item m="1" x="136"/>
        <item m="1" x="137"/>
        <item m="1" x="138"/>
        <item m="1" x="139"/>
        <item m="1" x="140"/>
        <item m="1" x="141"/>
        <item m="1" x="170"/>
        <item m="1" x="142"/>
        <item m="1" x="143"/>
        <item m="1" x="144"/>
        <item m="1" x="145"/>
        <item m="1" x="146"/>
        <item m="1" x="147"/>
        <item m="1" x="159"/>
        <item m="1" x="148"/>
        <item m="1" x="149"/>
        <item m="1" x="150"/>
        <item m="1" x="151"/>
        <item m="1" x="152"/>
        <item m="1" x="153"/>
        <item m="1" x="154"/>
        <item m="1" x="155"/>
        <item m="1" x="156"/>
        <item m="1" x="157"/>
        <item m="1" x="158"/>
        <item m="1" x="160"/>
        <item m="1" x="161"/>
        <item m="1" x="162"/>
        <item m="1" x="163"/>
        <item m="1" x="164"/>
        <item m="1" x="165"/>
        <item m="1" x="166"/>
        <item m="1" x="167"/>
        <item m="1" x="168"/>
        <item m="1" x="169"/>
        <item m="1" x="171"/>
        <item m="1" x="172"/>
        <item m="1" x="173"/>
        <item m="1" x="174"/>
        <item m="1" x="175"/>
        <item m="1" x="176"/>
        <item m="1" x="177"/>
        <item m="1" x="178"/>
        <item m="1" x="179"/>
        <item m="1" x="180"/>
        <item m="1" x="181"/>
        <item m="1" x="182"/>
        <item m="1" x="183"/>
        <item m="1" x="184"/>
        <item m="1" x="185"/>
        <item m="1" x="16"/>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17"/>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4"/>
        <item m="1" x="115"/>
        <item m="1" x="116"/>
        <item m="1" x="113"/>
        <item m="1" x="117"/>
        <item m="1" x="118"/>
        <item m="1" x="119"/>
        <item m="1" x="120"/>
        <item m="1" x="121"/>
        <item m="1" x="122"/>
        <item m="1" x="123"/>
        <item x="0"/>
        <item x="1"/>
        <item x="2"/>
        <item x="3"/>
        <item x="4"/>
        <item x="5"/>
        <item x="6"/>
        <item x="7"/>
        <item x="8"/>
        <item x="9"/>
        <item x="10"/>
        <item x="11"/>
        <item x="12"/>
        <item x="13"/>
        <item x="14"/>
        <item x="15"/>
        <item t="default"/>
      </items>
    </pivotField>
    <pivotField showAll="0"/>
    <pivotField axis="axisPage" multipleItemSelectionAllowed="1" showAll="0">
      <items count="120">
        <item m="1" x="73"/>
        <item m="1" x="102"/>
        <item m="1" x="103"/>
        <item m="1" x="111"/>
        <item m="1" x="101"/>
        <item m="1" x="100"/>
        <item m="1" x="104"/>
        <item m="1" x="115"/>
        <item m="1" x="107"/>
        <item m="1" x="108"/>
        <item m="1" x="105"/>
        <item m="1" x="106"/>
        <item m="1" x="116"/>
        <item m="1" x="109"/>
        <item m="1" x="110"/>
        <item m="1" x="113"/>
        <item m="1" x="114"/>
        <item m="1" x="112"/>
        <item m="1" x="68"/>
        <item m="1" x="118"/>
        <item m="1" x="67"/>
        <item m="1" x="117"/>
        <item m="1" x="70"/>
        <item m="1" x="69"/>
        <item m="1" x="71"/>
        <item m="1" x="77"/>
        <item m="1" x="72"/>
        <item m="1" x="74"/>
        <item m="1" x="78"/>
        <item m="1" x="79"/>
        <item m="1" x="98"/>
        <item m="1" x="75"/>
        <item m="1" x="76"/>
        <item m="1" x="38"/>
        <item m="1" x="60"/>
        <item m="1" x="99"/>
        <item m="1" x="80"/>
        <item m="1" x="81"/>
        <item m="1" x="82"/>
        <item m="1" x="83"/>
        <item m="1" x="84"/>
        <item m="1" x="14"/>
        <item m="1" x="85"/>
        <item m="1" x="86"/>
        <item m="1" x="87"/>
        <item m="1" x="88"/>
        <item m="1" x="89"/>
        <item m="1" x="90"/>
        <item m="1" x="91"/>
        <item m="1" x="92"/>
        <item m="1" x="93"/>
        <item m="1" x="94"/>
        <item m="1" x="95"/>
        <item m="1" x="96"/>
        <item m="1" x="97"/>
        <item x="0"/>
        <item m="1" x="13"/>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9"/>
        <item m="1" x="40"/>
        <item m="1" x="41"/>
        <item m="1" x="42"/>
        <item m="1" x="43"/>
        <item m="1" x="44"/>
        <item m="1" x="45"/>
        <item m="1" x="46"/>
        <item m="1" x="47"/>
        <item m="1" x="48"/>
        <item m="1" x="49"/>
        <item m="1" x="50"/>
        <item m="1" x="51"/>
        <item m="1" x="52"/>
        <item m="1" x="53"/>
        <item m="1" x="54"/>
        <item m="1" x="55"/>
        <item m="1" x="56"/>
        <item m="1" x="57"/>
        <item m="1" x="58"/>
        <item m="1" x="59"/>
        <item m="1" x="61"/>
        <item m="1" x="62"/>
        <item m="1" x="63"/>
        <item m="1" x="64"/>
        <item m="1" x="65"/>
        <item m="1" x="66"/>
        <item x="1"/>
        <item x="2"/>
        <item x="3"/>
        <item x="4"/>
        <item x="5"/>
        <item x="6"/>
        <item x="7"/>
        <item x="8"/>
        <item x="9"/>
        <item x="10"/>
        <item x="11"/>
        <item x="1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7">
    <i>
      <x v="218"/>
    </i>
    <i>
      <x v="219"/>
    </i>
    <i>
      <x v="220"/>
    </i>
    <i>
      <x v="221"/>
    </i>
    <i>
      <x v="222"/>
    </i>
    <i>
      <x v="223"/>
    </i>
    <i>
      <x v="224"/>
    </i>
    <i>
      <x v="225"/>
    </i>
    <i>
      <x v="226"/>
    </i>
    <i>
      <x v="227"/>
    </i>
    <i>
      <x v="228"/>
    </i>
    <i>
      <x v="229"/>
    </i>
    <i>
      <x v="230"/>
    </i>
    <i>
      <x v="231"/>
    </i>
    <i>
      <x v="232"/>
    </i>
    <i>
      <x v="233"/>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25:I40" firstHeaderRow="0" firstDataRow="1" firstDataCol="1" rowPageCount="1" colPageCount="1"/>
  <pivotFields count="9">
    <pivotField axis="axisRow" numFmtId="14" showAll="0">
      <items count="57">
        <item m="1" x="40"/>
        <item m="1" x="41"/>
        <item m="1" x="42"/>
        <item m="1" x="43"/>
        <item m="1" x="44"/>
        <item m="1" x="45"/>
        <item m="1" x="46"/>
        <item m="1" x="55"/>
        <item m="1" x="36"/>
        <item m="1" x="47"/>
        <item m="1" x="48"/>
        <item m="1" x="49"/>
        <item m="1" x="50"/>
        <item m="1" x="51"/>
        <item m="1" x="52"/>
        <item m="1" x="53"/>
        <item m="1" x="6"/>
        <item m="1" x="7"/>
        <item m="1" x="54"/>
        <item m="1" x="8"/>
        <item m="1" x="5"/>
        <item m="1" x="9"/>
        <item m="1" x="11"/>
        <item m="1" x="12"/>
        <item m="1" x="13"/>
        <item m="1" x="15"/>
        <item m="1" x="16"/>
        <item m="1" x="17"/>
        <item m="1" x="10"/>
        <item m="1" x="14"/>
        <item m="1" x="18"/>
        <item m="1" x="19"/>
        <item m="1" x="20"/>
        <item m="1" x="21"/>
        <item m="1" x="22"/>
        <item m="1" x="23"/>
        <item m="1" x="37"/>
        <item m="1" x="38"/>
        <item m="1" x="39"/>
        <item m="1" x="24"/>
        <item m="1" x="25"/>
        <item m="1" x="26"/>
        <item m="1" x="27"/>
        <item m="1" x="28"/>
        <item m="1" x="29"/>
        <item m="1" x="30"/>
        <item m="1" x="31"/>
        <item m="1" x="32"/>
        <item m="1" x="33"/>
        <item m="1" x="34"/>
        <item m="1" x="35"/>
        <item x="0"/>
        <item x="1"/>
        <item x="2"/>
        <item x="4"/>
        <item x="3"/>
        <item t="default"/>
      </items>
    </pivotField>
    <pivotField axis="axisPage" showAll="0">
      <items count="6">
        <item x="1"/>
        <item x="0"/>
        <item x="3"/>
        <item m="1" x="4"/>
        <item x="2"/>
        <item t="default"/>
      </items>
    </pivotField>
    <pivotField axis="axisRow" showAll="0">
      <items count="48">
        <item m="1" x="37"/>
        <item m="1" x="18"/>
        <item m="1" x="33"/>
        <item m="1" x="9"/>
        <item m="1" x="38"/>
        <item m="1" x="39"/>
        <item m="1" x="34"/>
        <item m="1" x="35"/>
        <item m="1" x="36"/>
        <item x="3"/>
        <item m="1" x="11"/>
        <item m="1" x="40"/>
        <item m="1" x="41"/>
        <item m="1" x="42"/>
        <item m="1" x="43"/>
        <item m="1" x="44"/>
        <item m="1" x="45"/>
        <item m="1" x="6"/>
        <item m="1" x="7"/>
        <item m="1" x="46"/>
        <item m="1" x="8"/>
        <item x="0"/>
        <item m="1" x="10"/>
        <item m="1" x="12"/>
        <item m="1" x="13"/>
        <item m="1" x="14"/>
        <item m="1" x="15"/>
        <item m="1" x="16"/>
        <item m="1" x="17"/>
        <item m="1" x="19"/>
        <item m="1" x="20"/>
        <item m="1" x="21"/>
        <item m="1" x="22"/>
        <item m="1" x="23"/>
        <item m="1" x="24"/>
        <item m="1" x="25"/>
        <item m="1" x="26"/>
        <item m="1" x="27"/>
        <item m="1" x="28"/>
        <item m="1" x="29"/>
        <item m="1" x="30"/>
        <item m="1" x="31"/>
        <item m="1" x="32"/>
        <item x="1"/>
        <item x="2"/>
        <item x="4"/>
        <item x="5"/>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5">
    <i>
      <x v="51"/>
    </i>
    <i r="1">
      <x v="9"/>
    </i>
    <i r="1">
      <x v="21"/>
    </i>
    <i r="1">
      <x v="43"/>
    </i>
    <i r="1">
      <x v="44"/>
    </i>
    <i>
      <x v="52"/>
    </i>
    <i r="1">
      <x v="9"/>
    </i>
    <i>
      <x v="53"/>
    </i>
    <i r="1">
      <x v="9"/>
    </i>
    <i r="1">
      <x v="45"/>
    </i>
    <i>
      <x v="54"/>
    </i>
    <i r="1">
      <x v="9"/>
    </i>
    <i>
      <x v="55"/>
    </i>
    <i r="1">
      <x v="46"/>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14">
      <pivotArea dataOnly="0" labelOnly="1" outline="0" fieldPosition="0">
        <references count="1">
          <reference field="1" count="1">
            <x v="1"/>
          </reference>
        </references>
      </pivotArea>
    </format>
    <format dxfId="113">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3" firstHeaderRow="0" firstDataRow="1" firstDataCol="1"/>
  <pivotFields count="7">
    <pivotField numFmtId="14" showAll="0"/>
    <pivotField axis="axisRow" showAll="0">
      <items count="40">
        <item x="7"/>
        <item x="4"/>
        <item x="8"/>
        <item m="1" x="25"/>
        <item m="1" x="21"/>
        <item m="1" x="28"/>
        <item x="2"/>
        <item x="5"/>
        <item x="11"/>
        <item x="17"/>
        <item x="12"/>
        <item m="1" x="37"/>
        <item m="1" x="35"/>
        <item x="9"/>
        <item m="1" x="24"/>
        <item m="1" x="33"/>
        <item x="10"/>
        <item m="1" x="29"/>
        <item x="6"/>
        <item x="1"/>
        <item x="18"/>
        <item m="1" x="20"/>
        <item m="1" x="38"/>
        <item x="16"/>
        <item x="3"/>
        <item m="1" x="36"/>
        <item m="1" x="19"/>
        <item m="1" x="22"/>
        <item m="1" x="23"/>
        <item m="1" x="26"/>
        <item m="1" x="27"/>
        <item m="1" x="30"/>
        <item m="1" x="31"/>
        <item m="1" x="32"/>
        <item m="1" x="34"/>
        <item x="14"/>
        <item x="13"/>
        <item x="15"/>
        <item x="0"/>
        <item t="default"/>
      </items>
    </pivotField>
    <pivotField dataField="1" showAll="0"/>
    <pivotField dataField="1" showAll="0"/>
    <pivotField showAll="0"/>
    <pivotField showAll="0"/>
    <pivotField showAll="0"/>
  </pivotFields>
  <rowFields count="1">
    <field x="1"/>
  </rowFields>
  <rowItems count="20">
    <i>
      <x/>
    </i>
    <i>
      <x v="1"/>
    </i>
    <i>
      <x v="2"/>
    </i>
    <i>
      <x v="6"/>
    </i>
    <i>
      <x v="7"/>
    </i>
    <i>
      <x v="8"/>
    </i>
    <i>
      <x v="9"/>
    </i>
    <i>
      <x v="10"/>
    </i>
    <i>
      <x v="13"/>
    </i>
    <i>
      <x v="16"/>
    </i>
    <i>
      <x v="18"/>
    </i>
    <i>
      <x v="19"/>
    </i>
    <i>
      <x v="20"/>
    </i>
    <i>
      <x v="23"/>
    </i>
    <i>
      <x v="24"/>
    </i>
    <i>
      <x v="35"/>
    </i>
    <i>
      <x v="36"/>
    </i>
    <i>
      <x v="37"/>
    </i>
    <i>
      <x v="38"/>
    </i>
    <i t="grand">
      <x/>
    </i>
  </rowItems>
  <colFields count="1">
    <field x="-2"/>
  </colFields>
  <colItems count="2">
    <i>
      <x/>
    </i>
    <i i="1">
      <x v="1"/>
    </i>
  </colItems>
  <dataFields count="2">
    <dataField name="Sum of Credit" fld="3" baseField="0" baseItem="0"/>
    <dataField name="Sum of Debit" fld="2" baseField="0" baseItem="0"/>
  </dataFields>
  <formats count="1">
    <format dxfId="10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2">
        <item m="1" x="16"/>
        <item m="1" x="17"/>
        <item m="1" x="18"/>
        <item m="1" x="19"/>
        <item m="1" x="20"/>
        <item m="1" x="15"/>
        <item m="1" x="3"/>
        <item m="1" x="4"/>
        <item m="1" x="8"/>
        <item m="1" x="9"/>
        <item m="1" x="5"/>
        <item m="1" x="10"/>
        <item m="1" x="11"/>
        <item m="1" x="12"/>
        <item m="1" x="13"/>
        <item m="1" x="14"/>
        <item m="1" x="2"/>
        <item m="1" x="6"/>
        <item m="1" x="7"/>
        <item x="0"/>
        <item x="1"/>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2">
    <i>
      <x v="1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x="2"/>
        <item x="1"/>
        <item m="1" x="3"/>
        <item x="0"/>
        <item t="default"/>
      </items>
    </pivotField>
    <pivotField showAll="0"/>
    <pivotField showAll="0"/>
    <pivotField showAll="0"/>
    <pivotField dataField="1" showAll="0"/>
    <pivotField dataField="1" showAll="0"/>
    <pivotField dataField="1" showAll="0"/>
  </pivotFields>
  <rowFields count="1">
    <field x="1"/>
  </rowFields>
  <rowItems count="4">
    <i>
      <x v="1"/>
    </i>
    <i>
      <x v="2"/>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17"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10"/>
        <item x="8"/>
        <item x="9"/>
        <item x="7"/>
        <item t="default"/>
      </items>
    </pivotField>
    <pivotField showAll="0"/>
    <pivotField showAll="0"/>
    <pivotField axis="axisRow" showAll="0">
      <items count="120">
        <item m="1" x="102"/>
        <item m="1" x="103"/>
        <item m="1" x="101"/>
        <item m="1" x="100"/>
        <item m="1" x="104"/>
        <item m="1" x="106"/>
        <item m="1" x="105"/>
        <item m="1" x="107"/>
        <item m="1" x="108"/>
        <item m="1" x="109"/>
        <item m="1" x="110"/>
        <item m="1" x="111"/>
        <item m="1" x="112"/>
        <item m="1" x="113"/>
        <item m="1" x="38"/>
        <item m="1" x="60"/>
        <item m="1" x="114"/>
        <item m="1" x="115"/>
        <item m="1" x="116"/>
        <item m="1" x="68"/>
        <item m="1" x="67"/>
        <item m="1" x="117"/>
        <item m="1" x="118"/>
        <item m="1" x="77"/>
        <item m="1" x="69"/>
        <item m="1" x="70"/>
        <item m="1" x="71"/>
        <item m="1" x="72"/>
        <item m="1" x="73"/>
        <item m="1" x="74"/>
        <item m="1" x="75"/>
        <item m="1" x="76"/>
        <item m="1" x="78"/>
        <item m="1" x="98"/>
        <item m="1" x="79"/>
        <item m="1" x="99"/>
        <item m="1" x="80"/>
        <item m="1" x="81"/>
        <item m="1" x="82"/>
        <item m="1" x="83"/>
        <item m="1" x="84"/>
        <item m="1" x="14"/>
        <item m="1" x="85"/>
        <item m="1" x="86"/>
        <item m="1" x="87"/>
        <item m="1" x="88"/>
        <item m="1" x="89"/>
        <item m="1" x="90"/>
        <item m="1" x="91"/>
        <item m="1" x="92"/>
        <item m="1" x="93"/>
        <item m="1" x="94"/>
        <item m="1" x="95"/>
        <item m="1" x="96"/>
        <item m="1" x="97"/>
        <item x="0"/>
        <item m="1" x="13"/>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9"/>
        <item m="1" x="40"/>
        <item m="1" x="41"/>
        <item m="1" x="42"/>
        <item m="1" x="43"/>
        <item m="1" x="44"/>
        <item m="1" x="45"/>
        <item m="1" x="46"/>
        <item m="1" x="47"/>
        <item m="1" x="48"/>
        <item m="1" x="49"/>
        <item m="1" x="50"/>
        <item m="1" x="51"/>
        <item m="1" x="52"/>
        <item m="1" x="53"/>
        <item m="1" x="54"/>
        <item m="1" x="55"/>
        <item m="1" x="56"/>
        <item m="1" x="57"/>
        <item m="1" x="58"/>
        <item m="1" x="59"/>
        <item m="1" x="61"/>
        <item m="1" x="62"/>
        <item m="1" x="63"/>
        <item m="1" x="64"/>
        <item m="1" x="65"/>
        <item m="1" x="66"/>
        <item x="1"/>
        <item x="2"/>
        <item x="3"/>
        <item x="4"/>
        <item x="5"/>
        <item x="6"/>
        <item x="7"/>
        <item x="8"/>
        <item x="9"/>
        <item x="10"/>
        <item x="11"/>
        <item x="1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4">
    <i>
      <x v="55"/>
    </i>
    <i>
      <x v="107"/>
    </i>
    <i>
      <x v="108"/>
    </i>
    <i>
      <x v="109"/>
    </i>
    <i>
      <x v="110"/>
    </i>
    <i>
      <x v="111"/>
    </i>
    <i>
      <x v="112"/>
    </i>
    <i>
      <x v="113"/>
    </i>
    <i>
      <x v="114"/>
    </i>
    <i>
      <x v="115"/>
    </i>
    <i>
      <x v="116"/>
    </i>
    <i>
      <x v="117"/>
    </i>
    <i>
      <x v="118"/>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71">
      <pivotArea type="all" dataOnly="0" outline="0" fieldPosition="0"/>
    </format>
    <format dxfId="70">
      <pivotArea outline="0" collapsedLevelsAreSubtotals="1" fieldPosition="0"/>
    </format>
    <format dxfId="69">
      <pivotArea field="4" type="button" dataOnly="0" labelOnly="1" outline="0" axis="axisRow" fieldPosition="0"/>
    </format>
    <format dxfId="68">
      <pivotArea dataOnly="0" labelOnly="1" fieldPosition="0">
        <references count="1">
          <reference field="4" count="0"/>
        </references>
      </pivotArea>
    </format>
    <format dxfId="67">
      <pivotArea dataOnly="0" labelOnly="1" grandRow="1" outline="0" fieldPosition="0"/>
    </format>
    <format dxfId="66">
      <pivotArea dataOnly="0" labelOnly="1" outline="0" fieldPosition="0">
        <references count="1">
          <reference field="4294967294" count="2">
            <x v="0"/>
            <x v="1"/>
          </reference>
        </references>
      </pivotArea>
    </format>
    <format dxfId="65">
      <pivotArea grandRow="1" outline="0" collapsedLevelsAreSubtotals="1" fieldPosition="0"/>
    </format>
    <format dxfId="64">
      <pivotArea field="4" type="button" dataOnly="0" labelOnly="1" outline="0" axis="axisRow" fieldPosition="0"/>
    </format>
    <format dxfId="6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9">
        <i x="10" s="1"/>
        <i x="6" s="1"/>
        <i x="9" s="1"/>
        <i x="8" s="1"/>
        <i x="1" s="1"/>
        <i x="5" s="1"/>
        <i x="11" s="1"/>
        <i x="2" s="1"/>
        <i x="3" s="1"/>
        <i x="4" s="1"/>
        <i x="12" s="1"/>
        <i x="73" s="1" nd="1"/>
        <i x="102" s="1" nd="1"/>
        <i x="103" s="1" nd="1"/>
        <i x="111" s="1" nd="1"/>
        <i x="101" s="1" nd="1"/>
        <i x="100" s="1" nd="1"/>
        <i x="104" s="1" nd="1"/>
        <i x="115" s="1" nd="1"/>
        <i x="107" s="1" nd="1"/>
        <i x="108" s="1" nd="1"/>
        <i x="105" s="1" nd="1"/>
        <i x="106" s="1" nd="1"/>
        <i x="116" s="1" nd="1"/>
        <i x="109" s="1" nd="1"/>
        <i x="110" s="1" nd="1"/>
        <i x="113" s="1" nd="1"/>
        <i x="114" s="1" nd="1"/>
        <i x="112" s="1" nd="1"/>
        <i x="68" s="1" nd="1"/>
        <i x="118" s="1" nd="1"/>
        <i x="67" s="1" nd="1"/>
        <i x="117" s="1" nd="1"/>
        <i x="70" s="1" nd="1"/>
        <i x="31" s="1" nd="1"/>
        <i x="69" s="1" nd="1"/>
        <i x="71" s="1" nd="1"/>
        <i x="77" s="1" nd="1"/>
        <i x="72" s="1" nd="1"/>
        <i x="74" s="1" nd="1"/>
        <i x="90" s="1" nd="1"/>
        <i x="13" s="1" nd="1"/>
        <i x="78" s="1" nd="1"/>
        <i x="18" s="1" nd="1"/>
        <i x="84" s="1" nd="1"/>
        <i x="79" s="1" nd="1"/>
        <i x="82" s="1" nd="1"/>
        <i x="87" s="1" nd="1"/>
        <i x="98" s="1" nd="1"/>
        <i x="80" s="1" nd="1"/>
        <i x="92" s="1" nd="1"/>
        <i x="95" s="1" nd="1"/>
        <i x="86" s="1" nd="1"/>
        <i x="75" s="1" nd="1"/>
        <i x="83" s="1" nd="1"/>
        <i x="76" s="1" nd="1"/>
        <i x="81" s="1" nd="1"/>
        <i x="14" s="1" nd="1"/>
        <i x="85" s="1" nd="1"/>
        <i x="91" s="1" nd="1"/>
        <i x="28" s="1" nd="1"/>
        <i x="88" s="1" nd="1"/>
        <i x="93" s="1" nd="1"/>
        <i x="89" s="1" nd="1"/>
        <i x="55" s="1" nd="1"/>
        <i x="94" s="1" nd="1"/>
        <i x="96" s="1" nd="1"/>
        <i x="16" s="1" nd="1"/>
        <i x="23" s="1" nd="1"/>
        <i x="97" s="1" nd="1"/>
        <i x="20" s="1" nd="1"/>
        <i x="21" s="1" nd="1"/>
        <i x="15" s="1" nd="1"/>
        <i x="19" s="1" nd="1"/>
        <i x="17" s="1" nd="1"/>
        <i x="26" s="1" nd="1"/>
        <i x="22" s="1" nd="1"/>
        <i x="24" s="1" nd="1"/>
        <i x="27" s="1" nd="1"/>
        <i x="35" s="1" nd="1"/>
        <i x="25" s="1" nd="1"/>
        <i x="34" s="1" nd="1"/>
        <i x="39" s="1" nd="1"/>
        <i x="33" s="1" nd="1"/>
        <i x="36" s="1" nd="1"/>
        <i x="46" s="1" nd="1"/>
        <i x="32" s="1" nd="1"/>
        <i x="29" s="1" nd="1"/>
        <i x="30" s="1" nd="1"/>
        <i x="45" s="1" nd="1"/>
        <i x="38" s="1" nd="1"/>
        <i x="49" s="1" nd="1"/>
        <i x="44" s="1" nd="1"/>
        <i x="37" s="1" nd="1"/>
        <i x="61" s="1" nd="1"/>
        <i x="42" s="1" nd="1"/>
        <i x="52" s="1" nd="1"/>
        <i x="50" s="1" nd="1"/>
        <i x="40" s="1" nd="1"/>
        <i x="48" s="1" nd="1"/>
        <i x="47" s="1" nd="1"/>
        <i x="43" s="1" nd="1"/>
        <i x="53" s="1" nd="1"/>
        <i x="51" s="1" nd="1"/>
        <i x="54" s="1" nd="1"/>
        <i x="41" s="1" nd="1"/>
        <i x="56" s="1" nd="1"/>
        <i x="57" s="1" nd="1"/>
        <i x="64" s="1" nd="1"/>
        <i x="58" s="1" nd="1"/>
        <i x="59" s="1" nd="1"/>
        <i x="66" s="1" nd="1"/>
        <i x="65" s="1" nd="1"/>
        <i x="60" s="1" nd="1"/>
        <i x="63" s="1" nd="1"/>
        <i x="62" s="1" nd="1"/>
        <i x="7" s="1" nd="1"/>
        <i x="99"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37">
      <calculatedColumnFormula>B26</calculatedColumnFormula>
    </tableColumn>
    <tableColumn id="2" xr3:uid="{7EDCC2ED-0339-42B3-9633-FFEA7A3DD9F3}" name="Tiyaar" dataDxfId="136">
      <calculatedColumnFormula>SUMIFS(ledger!G:G, ledger!B:B, B4, ledger!E:E, "&lt;&gt;*RD*") / 1.0936</calculatedColumnFormula>
    </tableColumn>
    <tableColumn id="3" xr3:uid="{CC1535DD-3FE7-4F55-8040-E7643388A78E}" name="Rate"/>
    <tableColumn id="4" xr3:uid="{059CB70B-ADAD-4985-84AA-0D530BAC5567}" name="Total" dataDxfId="135">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4" dataDxfId="133">
  <autoFilter ref="B7:E20" xr:uid="{449E5D32-DF9C-4018-96AB-CA98E118D910}"/>
  <tableColumns count="4">
    <tableColumn id="1" xr3:uid="{F663704C-91DD-4BB9-B7EB-EEB0C5EDED6C}" name="Description" dataDxfId="132"/>
    <tableColumn id="2" xr3:uid="{6D94D495-CD0B-4FD3-9771-81D731982A97}" name="Rate" dataDxfId="131" dataCellStyle="Comma"/>
    <tableColumn id="3" xr3:uid="{2D14CEAD-3602-40E7-A488-3584EBC9141E}" name="gazana" dataDxfId="130" dataCellStyle="Comma"/>
    <tableColumn id="4" xr3:uid="{06FEE63C-6480-4079-8426-51BC26B38B34}" name="sum" dataDxfId="129"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28" totalsRowDxfId="127"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6" dataDxfId="125" headerRowCellStyle="Comma" dataCellStyle="Comma">
  <autoFilter ref="B2:C5" xr:uid="{136E8F7F-D03F-4198-8335-91A003EA9E45}"/>
  <tableColumns count="2">
    <tableColumn id="1" xr3:uid="{279FA697-9952-479A-AC05-0D4992B41374}" name="Column1" dataDxfId="124" dataCellStyle="Comma"/>
    <tableColumn id="2" xr3:uid="{8A64998B-65EF-41CD-BCB0-3DDB7B359C54}" name="Column2" dataDxfId="123"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2"/>
    <tableColumn id="2" xr3:uid="{51D27FA2-8DDF-4369-BAF7-7D1FE90E16A0}" name="Column2" dataDxfId="12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0" totalsRowDxfId="119"/>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18">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28" totalsRowCount="1" headerRowDxfId="116" dataDxfId="115" headerRowCellStyle="Comma" dataCellStyle="Comma">
  <autoFilter ref="A1:K27" xr:uid="{11DACEC6-751B-4B1D-817F-5C5BCD38EF6D}"/>
  <tableColumns count="11">
    <tableColumn id="1" xr3:uid="{2FCE3FA8-A48C-4685-8919-AE44C6C71FD9}" name="Date" dataDxfId="17" dataCellStyle="Comma"/>
    <tableColumn id="2" xr3:uid="{5780FD5F-0890-44E6-B59C-8E37A559FE36}" name="Party Name" dataDxfId="16" dataCellStyle="Comma"/>
    <tableColumn id="3" xr3:uid="{5B3ECD85-9174-40AC-BFBD-49CAC97A83D3}" name="Bill Number" dataDxfId="15" dataCellStyle="Comma"/>
    <tableColumn id="4" xr3:uid="{11B50761-04B6-4262-AD4D-7182450037D1}" name="Quality" dataDxfId="14" dataCellStyle="Comma"/>
    <tableColumn id="5" xr3:uid="{2C556969-B713-4967-BD24-466AACCBE5F5}" name="Shipment Number" dataDxfId="13" totalsRowDxfId="12" dataCellStyle="Comma"/>
    <tableColumn id="6" xr3:uid="{F4E1FD2B-9017-4DEB-B772-BF447ECE56F7}" name="Kora/metre" dataDxfId="11" totalsRowDxfId="10" dataCellStyle="Comma"/>
    <tableColumn id="7" xr3:uid="{52ACC1DA-7A76-4A90-B809-3A1AE728E7EA}" name="Tiyaar/gaz" dataDxfId="9" totalsRowDxfId="8" dataCellStyle="Comma"/>
    <tableColumn id="8" xr3:uid="{31A0FF5E-56F0-44D1-9865-73256B964660}" name="shortage %" dataDxfId="7" totalsRowDxfId="6" dataCellStyle="Comma">
      <calculatedColumnFormula>_xlfn.XLOOKUP(Table1[[#This Row],[Shipment Number]], 'pivot '!A:A,'pivot '!G:G, "NF")</calculatedColumnFormula>
    </tableColumn>
    <tableColumn id="9" xr3:uid="{F99075E0-AC8E-094D-BB85-272AD2C6C568}" name="tiyar/meters" totalsRowFunction="custom" dataDxfId="5" totalsRowDxfId="4"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3" totalsRowDxfId="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1" totalsRowDxfId="0"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2" totalsRowCount="1" headerRowDxfId="112" headerRowBorderDxfId="111" tableBorderDxfId="110">
  <autoFilter ref="A1:I21" xr:uid="{F8E8C957-ABE7-4E4F-8D4E-7D44E26B334F}"/>
  <tableColumns count="9">
    <tableColumn id="1" xr3:uid="{C2E817D6-AB98-4DDD-8890-736B27F261CD}" name="Date" totalsRowLabel="." dataDxfId="56" totalsRowDxfId="41"/>
    <tableColumn id="2" xr3:uid="{CFB51890-CCDC-463C-81C9-3F8BD7469CB9}" name="Party Name"/>
    <tableColumn id="3" xr3:uid="{A113D971-1C9D-4733-99C4-BD0CC4333209}" name="Vehicle Number"/>
    <tableColumn id="4" xr3:uid="{49780304-3DD1-4AE9-98EE-2BC7EB8F3B57}" name="Weight" dataDxfId="55" totalsRowDxfId="40" dataCellStyle="Comma"/>
    <tableColumn id="5" xr3:uid="{FCAF1BC6-1D8C-42AD-8BBC-F924BF2DC7FE}" name="Rate" dataDxfId="54" totalsRowDxfId="39" dataCellStyle="Comma"/>
    <tableColumn id="6" xr3:uid="{8C70A624-4134-410C-9C45-9FDEB51D51BF}" name="Rent" dataDxfId="53" totalsRowDxfId="38" dataCellStyle="Comma"/>
    <tableColumn id="7" xr3:uid="{EBCE10AE-9634-4982-9C95-37ABC8A7078C}" name="Total" totalsRowFunction="sum" dataDxfId="52" totalsRowDxfId="37" dataCellStyle="Comma">
      <calculatedColumnFormula>D2*E2</calculatedColumnFormula>
    </tableColumn>
    <tableColumn id="9" xr3:uid="{D4788559-C94A-44D9-B9AE-E72B214355AC}" name="Paid" totalsRowFunction="sum" dataDxfId="51" totalsRowDxfId="36" dataCellStyle="Comma"/>
    <tableColumn id="8" xr3:uid="{E26F5BF0-1875-4FC6-994D-49F202ED562B}" name="balance" totalsRowFunction="sum" dataDxfId="50" totalsRowDxfId="35"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55" totalsRowCount="1">
  <autoFilter ref="A1:G54" xr:uid="{CB032221-B416-47A8-9A76-693DE76CFD04}"/>
  <tableColumns count="7">
    <tableColumn id="1" xr3:uid="{554B1EED-65B6-4E9A-B646-82727FAC40DE}" name="Date" dataDxfId="49" totalsRowDxfId="45"/>
    <tableColumn id="2" xr3:uid="{32259059-42CF-4947-83DE-115AA430BE2B}" name="Party"/>
    <tableColumn id="3" xr3:uid="{A1320223-D55D-483C-91C3-AB19B95CC9D8}" name="Debit" totalsRowFunction="sum" dataDxfId="48" totalsRowDxfId="44" dataCellStyle="Comma"/>
    <tableColumn id="4" xr3:uid="{E9745767-9FF0-4B1C-9052-FF335D1D7588}" name="Credit" totalsRowFunction="sum" dataDxfId="47" totalsRowDxfId="43" dataCellStyle="Comma"/>
    <tableColumn id="5" xr3:uid="{5C88A48E-2467-4E6D-B626-2442B7FD0BE4}" name="Description"/>
    <tableColumn id="6" xr3:uid="{63CA4666-144E-4BE6-8B7C-7CB992BD3041}" name="Mode" totalsRowFunction="custom" dataDxfId="46" totalsRowDxfId="4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08" tableBorderDxfId="107" totalsRowBorderDxfId="106">
  <autoFilter ref="J3:K6" xr:uid="{DCE01694-23ED-48BF-8B92-4186B9ED10A8}"/>
  <tableColumns count="2">
    <tableColumn id="1" xr3:uid="{C8484DAF-2989-4C2F-9AEC-A6917E1C57F6}" name="Type" dataDxfId="105"/>
    <tableColumn id="2" xr3:uid="{B07B7A2A-4D4E-4654-BED6-FE2F0A7BEC34}" name="Amount" dataDxfId="10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03" headerRowBorderDxfId="102" tableBorderDxfId="101" totalsRowBorderDxfId="100">
  <autoFilter ref="M3:O6" xr:uid="{D166BDD1-ACD7-45D7-8AE9-7350373F8CEB}"/>
  <tableColumns count="3">
    <tableColumn id="1" xr3:uid="{64F0205E-DEA7-4571-BA86-E4374A5FEE28}" name="Type" totalsRowLabel="Total" dataDxfId="99" totalsRowDxfId="98"/>
    <tableColumn id="2" xr3:uid="{15FA05F9-789C-4459-9BE0-5C1EC84D3365}" name="amount" totalsRowFunction="custom" dataDxfId="97" totalsRowDxfId="96">
      <totalsRowFormula>SUM(N5:N6)</totalsRowFormula>
    </tableColumn>
    <tableColumn id="3" xr3:uid="{3681D409-90C6-44D0-BDE2-4B5943A516F0}" name="Actual" totalsRowFunction="custom" totalsRowDxfId="9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94" totalsRowDxfId="93"/>
    <tableColumn id="2" xr3:uid="{5B9D0FEE-4304-4C5C-A05C-5B27CF7841D3}" name="Type"/>
    <tableColumn id="3" xr3:uid="{6A91CA0D-C802-4C6F-9F39-CA53687E8EDE}" name="Description"/>
    <tableColumn id="4" xr3:uid="{A251D40C-AB87-4BB4-85F8-444B20E32FDF}" name="Total" totalsRowFunction="custom" dataDxfId="92" totalsRowDxfId="9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4" totalsRowCount="1" headerRowDxfId="90" headerRowBorderDxfId="89">
  <autoFilter ref="A1:I3"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8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8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9" totalsRowCount="1" headerRowDxfId="86" headerRowBorderDxfId="85">
  <autoFilter ref="A4:H8" xr:uid="{A4C80688-A8BA-4BA7-90B4-791CD99446B4}"/>
  <sortState xmlns:xlrd2="http://schemas.microsoft.com/office/spreadsheetml/2017/richdata2" ref="A5:H6">
    <sortCondition ref="A4:A6"/>
  </sortState>
  <tableColumns count="8">
    <tableColumn id="1" xr3:uid="{4A818912-918E-4111-ACFC-BC93FEF7C1AD}" name="Date" dataDxfId="84" totalsRowDxfId="83"/>
    <tableColumn id="8" xr3:uid="{477ACFD5-62AF-4F69-974B-E9B974C11D7D}" name="Party Name" dataDxfId="8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81">
      <calculatedColumnFormula>SUMIFS(Table14[Debit], Table14[Date], Table2[[#This Row],[Date]], Table14[Party], Table2[[#This Row],[Party Name]])</calculatedColumnFormula>
    </tableColumn>
    <tableColumn id="7" xr3:uid="{BB689DF2-5D1E-436D-84C4-9745D88E8F3D}" name="Balance" totalsRowFunction="sum" dataDxfId="80">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79" totalsRowDxfId="78"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77" totalsRowDxfId="76"/>
    <tableColumn id="2" xr3:uid="{053BFC14-4828-417C-9F9F-95B6E232A945}" name="Amount" totalsRowFunction="custom" dataDxfId="75" totalsRowDxfId="7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73" totalsRowDxfId="7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2" totalsRowDxfId="6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60" totalsRowDxfId="5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58">
      <calculatedColumnFormula>Billing!O5</calculatedColumnFormula>
    </tableColumn>
    <tableColumn id="2" xr3:uid="{7093A59E-B58F-487D-888A-9AA8156B5F9A}" name="Amount Paid" dataDxfId="57">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4"/>
  <sheetViews>
    <sheetView zoomScale="103" workbookViewId="0">
      <selection activeCell="O40" sqref="O4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48587.234820775426</v>
      </c>
      <c r="D4">
        <v>10</v>
      </c>
      <c r="E4" s="14">
        <f>(SUMIFS(ledger!G:G, ledger!B:B, B4, ledger!E:E, "&lt;&gt;*RD*",ledger!D:D, "Silky") / 1.0936)*12 + (SUMIFS(ledger!G:G, ledger!B:B, B4, ledger!E:E, "&lt;&gt;*RD*",ledger!D:D, "Chamki") / 1.0936)*10</f>
        <v>485872.34820775426</v>
      </c>
      <c r="I4" s="4" t="s">
        <v>9</v>
      </c>
      <c r="J4" s="5">
        <v>11779.444038039504</v>
      </c>
      <c r="K4" s="18">
        <v>117794.44038039504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48587.234820775426</v>
      </c>
      <c r="K5" s="18">
        <v>485872.34820775426</v>
      </c>
      <c r="O5" s="25" t="str" cm="1">
        <f t="array" ref="O5:O15">_xlfn.UNIQUE(Table1[Party Name])</f>
        <v>BSC</v>
      </c>
      <c r="P5" s="23" cm="1">
        <f t="array" ref="P5">_xlfn.BYROW(B26,_xlfn.LAMBDA(_xlpm.party,SUMIFS(ledger!G:G,ledger!B:B,_xlpm.party,ledger!E:E,"&lt;&gt;*RD*")))+_xlfn.IFNA(C44,0)</f>
        <v>1184149</v>
      </c>
      <c r="Q5" s="23" cm="1">
        <f t="array" ref="Q5">_xlfn.BYROW(B26, _xlfn.LAMBDA(_xlpm.party, SUMIFS(ledger!G:G, ledger!B:B, _xlpm.party, ledger!E:E, "&lt;&gt;*RD*") / 1.0936 ))+_xlfn.IFNA(D44,0)</f>
        <v>1082799.0124359913</v>
      </c>
      <c r="R5" s="23" cm="1">
        <f t="array" ref="R5">(_xlfn.BYROW(B26,_xlfn.LAMBDA(_xlpm.party,SUMIFS(ledger!G:G,ledger!B:B,_xlpm.party,ledger!E:E,"&lt;&gt;*RD*",ledger!D:D,"Chamki")+SUMIFS(ledger!G:G, ledger!B:B, _xlpm.party, ledger!E:E, "&lt;&gt;*RD*", ledger!D:D, "Crinkle")))/1.0936)+_xlfn.IFNA(E44,0)</f>
        <v>1068247.0738844185</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10682470.738844186</v>
      </c>
      <c r="U5" s="23" cm="1">
        <f t="array" ref="U5">(_xlfn.BYROW(B26,_xlfn.LAMBDA(_xlpm.party,SUMIFS(ledger!G:G,ledger!B:B,_xlpm.party,ledger!E:E,"&lt;&gt;*RD*",ledger!D:D, "Silky")/1.0936))* 12)+_xlfn.IFNA(H44,0)</f>
        <v>174623.26261887344</v>
      </c>
      <c r="V5" s="44">
        <f>T5+U5</f>
        <v>10857094.001463059</v>
      </c>
      <c r="W5" s="23">
        <f>(SUMIF(Table14[Party],O5,Table14[Credit]))+_xlfn.IFNA(J44,0)</f>
        <v>7544783</v>
      </c>
      <c r="X5" s="97">
        <f>V5-W5</f>
        <v>3312311.0014630593</v>
      </c>
      <c r="Y5" s="22">
        <v>10</v>
      </c>
      <c r="Z5" s="22">
        <v>12</v>
      </c>
    </row>
    <row r="6" spans="2:26" x14ac:dyDescent="0.3">
      <c r="B6" t="str">
        <f t="shared" si="0"/>
        <v>Arshad</v>
      </c>
      <c r="C6" s="18">
        <f>SUMIFS(ledger!G:G, ledger!B:B, B6, ledger!E:E, "&lt;&gt;*RD*") / 1.0936</f>
        <v>0</v>
      </c>
      <c r="D6">
        <v>10</v>
      </c>
      <c r="E6" s="14">
        <f>(SUMIFS(ledger!G:G, ledger!B:B, B6, ledger!E:E, "&lt;&gt;*RD*",ledger!D:D, "Silky") / 1.0936)*12 + (SUMIFS(ledger!G:G, ledger!B:B, B6, ledger!E:E, "&lt;&gt;*RD*",ledger!D:D, "Chamki") / 1.0936)*10</f>
        <v>0</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1318916</v>
      </c>
      <c r="X7" s="97">
        <f>V7-W7</f>
        <v>117697.02121433802</v>
      </c>
      <c r="Y7" s="22">
        <v>10</v>
      </c>
      <c r="Z7" s="22">
        <v>12</v>
      </c>
    </row>
    <row r="8" spans="2:26" x14ac:dyDescent="0.3">
      <c r="B8" t="str">
        <f t="shared" si="0"/>
        <v>Sufi Nawaz Sahab</v>
      </c>
      <c r="C8" s="18">
        <f>SUMIFS(ledger!G:G, ledger!B:B, B8, ledger!E:E, "&lt;&gt;*RD*") / 1.0936</f>
        <v>48942.026335040238</v>
      </c>
      <c r="D8">
        <v>10</v>
      </c>
      <c r="E8" s="14">
        <f>((SUMIFS(ledger!G:G, ledger!B:B, B8, ledger!E:E, "&lt;&gt;*RD*",ledger!D:D, "Silky") / 1.0936) *12) + ((SUMIFS(ledger!G:G, ledger!B:B, B8, ledger!E:E, "&lt;&gt;*RD*",ledger!D:D, "Chamki") / 1.0936)* 9)</f>
        <v>587304.31602048292</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1102961.408632041</v>
      </c>
      <c r="U8" s="23" cm="1">
        <f t="array" ref="U8">(_xlfn.BYROW(B29,_xlfn.LAMBDA(_xlpm.party,SUMIFS(ledger!G:G,ledger!B:B,_xlpm.party,ledger!E:E,"&lt;&gt;*RD*",ledger!D:D, "Silky")/1.0936))* 12)+_xlfn.IFNA(H47,0)</f>
        <v>0</v>
      </c>
      <c r="V8" s="44">
        <f t="shared" si="1"/>
        <v>1102961.408632041</v>
      </c>
      <c r="W8" s="23">
        <f>(SUMIF(Table14[Party],O8,Table14[Credit]))+_xlfn.IFNA(J47,0)</f>
        <v>1125940</v>
      </c>
      <c r="X8" s="97">
        <f t="shared" ref="X8:X17" si="2">V8-W8</f>
        <v>-22978.591367959045</v>
      </c>
      <c r="Y8" s="22">
        <v>10.5</v>
      </c>
      <c r="Z8" s="22">
        <v>13</v>
      </c>
    </row>
    <row r="9" spans="2:26" x14ac:dyDescent="0.3">
      <c r="B9" t="str">
        <f t="shared" si="0"/>
        <v>Sajad Khan</v>
      </c>
      <c r="C9" s="18">
        <f>SUMIFS(ledger!G:G, ledger!B:B, B9, ledger!E:E, "&lt;&gt;*RD*") / 1.0936</f>
        <v>2002.56035113387</v>
      </c>
      <c r="D9">
        <v>10</v>
      </c>
      <c r="E9" s="14" cm="1">
        <f t="array" ref="E9">(SUMIFS(ledger!G:G, ledger!B:B, B9, ledger!E:E, "&lt;&gt;*RD*",ledger!D:D, "Silky") / 1.0936)*12 + (SUMIFS(ledger!G:G, ledger!B:B, B9, ledger!E:E, "&lt;&gt;*RD*",ledger!D:D, "Chamki") / 1.0936)*10 +(SUMIFS(ledger!G:G, ledger!B:B, party, ledger!E:E, "&lt;&gt;*RD*", ledger!D:D, "Crinkle")/ 1.0936)*10</f>
        <v>20025.603511338701</v>
      </c>
      <c r="I9" s="4" t="s">
        <v>24</v>
      </c>
      <c r="J9" s="5">
        <v>48942.026335040238</v>
      </c>
      <c r="K9" s="18">
        <v>587304.31602048292</v>
      </c>
      <c r="O9" s="25" t="str">
        <v>Sufi Nawaz Sahab</v>
      </c>
      <c r="P9" s="23" cm="1">
        <f t="array" ref="P9">_xlfn.BYROW(B30,_xlfn.LAMBDA(_xlpm.party,SUMIFS(ledger!G:G,ledger!B:B,_xlpm.party,ledger!E:E,"&lt;&gt;*RD*")))+_xlfn.IFNA(C48,0)</f>
        <v>684882</v>
      </c>
      <c r="Q9" s="23" cm="1">
        <f t="array" ref="Q9">_xlfn.BYROW(B30, _xlfn.LAMBDA(_xlpm.party, SUMIFS(ledger!G:G, ledger!B:B, _xlpm.party, ledger!E:E, "&lt;&gt;*RD*") / 1.0936 ))+_xlfn.IFNA(D48,0)</f>
        <v>626263.7161667886</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266859.91221653257</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3202318.946598391</v>
      </c>
      <c r="V9" s="44">
        <f t="shared" si="1"/>
        <v>6436953.1821506955</v>
      </c>
      <c r="W9" s="23">
        <f>(SUMIF(Table14[Party],O9,Table14[Credit]))+_xlfn.IFNA(J48,0)</f>
        <v>4200100</v>
      </c>
      <c r="X9" s="97">
        <f t="shared" si="2"/>
        <v>2236853.1821506955</v>
      </c>
      <c r="Y9" s="22">
        <v>9</v>
      </c>
      <c r="Z9" s="22">
        <v>12</v>
      </c>
    </row>
    <row r="10" spans="2:26" x14ac:dyDescent="0.3">
      <c r="B10" t="str">
        <f t="shared" si="0"/>
        <v>Raaz Fabrics</v>
      </c>
      <c r="C10" s="18">
        <f>SUMIFS(ledger!G:G, ledger!B:B, B10, ledger!E:E, "&lt;&gt;*RD*") / 1.0936</f>
        <v>0</v>
      </c>
      <c r="D10">
        <v>10</v>
      </c>
      <c r="E10" s="14">
        <f>(SUMIFS(ledger!G:G, ledger!B:B, B10, ledger!E:E, "&lt;&gt;*RD*",ledger!D:D, "Silky") / 1.0936)*12 + (SUMIFS(ledger!G:G, ledger!B:B, B10, ledger!E:E, "&lt;&gt;*RD*",ledger!D:D, "chamki") / 1.0936)*10 +(SUMIFS(ledger!G:G, ledger!B:B, B10, ledger!E:E, "&lt;&gt;*RD*",ledger!D:D, "Crinkle") / 1.0936)*10</f>
        <v>0</v>
      </c>
      <c r="I10" s="4" t="s">
        <v>25</v>
      </c>
      <c r="J10" s="5">
        <v>2002.56035113387</v>
      </c>
      <c r="K10" s="18">
        <v>20025.603511338701</v>
      </c>
      <c r="O10" s="25" t="str">
        <v>Sajad Khan</v>
      </c>
      <c r="P10" s="23" cm="1">
        <f t="array" ref="P10">_xlfn.BYROW(B31,_xlfn.LAMBDA(_xlpm.party,SUMIFS(ledger!G:G,ledger!B:B,_xlpm.party,ledger!E:E,"&lt;&gt;*RD*")))+_xlfn.IFNA(C49,0)</f>
        <v>276746</v>
      </c>
      <c r="Q10" s="23" cm="1">
        <f t="array" ref="Q10">_xlfn.BYROW(B31, _xlfn.LAMBDA(_xlpm.party, SUMIFS(ledger!G:G, ledger!B:B, _xlpm.party, ledger!E:E, "&lt;&gt;*RD*") / 1.0936 ))+_xlfn.IFNA(D49,0)</f>
        <v>253059.6196049744</v>
      </c>
      <c r="R10" s="23" cm="1">
        <f t="array" ref="R10">(_xlfn.BYROW(B31,_xlfn.LAMBDA(_xlpm.party,SUMIFS(ledger!G:G,ledger!B:B,_xlpm.party,ledger!E:E,"&lt;&gt;*RD*",ledger!D:D,"Chamki")+SUMIFS(ledger!G:G, ledger!B:B, _xlpm.party, ledger!E:E, "&lt;&gt;*RD*", ledger!D:D, "Crinkle")))/1.0936)+_xlfn.IFNA(E49,0)</f>
        <v>253059.6196049744</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2530596.1960497438</v>
      </c>
      <c r="U10" s="23" cm="1">
        <f t="array" ref="U10">(_xlfn.BYROW(B31,_xlfn.LAMBDA(_xlpm.party,SUMIFS(ledger!G:G,ledger!B:B,_xlpm.party,ledger!E:E,"&lt;&gt;*RD*",ledger!D:D, "Silky")/1.0936))* 12)+_xlfn.IFNA(H49,0)</f>
        <v>0</v>
      </c>
      <c r="V10" s="44">
        <f t="shared" si="1"/>
        <v>2530596.1960497438</v>
      </c>
      <c r="W10" s="23">
        <f>(SUMIF(Table14[Party],O10,Table14[Credit]))+_xlfn.IFNA(J49,0)</f>
        <v>2300000</v>
      </c>
      <c r="X10" s="97">
        <f t="shared" si="2"/>
        <v>230596.1960497438</v>
      </c>
      <c r="Y10" s="22">
        <v>10</v>
      </c>
      <c r="Z10" s="22">
        <v>12</v>
      </c>
    </row>
    <row r="11" spans="2:26" x14ac:dyDescent="0.3">
      <c r="B11" t="str">
        <f t="shared" si="0"/>
        <v>Azam</v>
      </c>
      <c r="C11" s="18">
        <f>SUMIFS(ledger!G:G, ledger!B:B, B11, ledger!E:E, "&lt;&gt;*RD*") / 1.0936</f>
        <v>36632.223847841989</v>
      </c>
      <c r="D11">
        <v>10</v>
      </c>
      <c r="E11" s="14">
        <f>(SUMIFS(ledger!G:G, ledger!B:B, B11, ledger!E:E, "&lt;&gt;*RD*",ledger!D:D, "Silky") / 1.0936)*12 + (SUMIFS(ledger!G:G, ledger!B:B, B11, ledger!E:E, "&lt;&gt;*RD*",ledger!D:D, "Chamki") / 1.0936)*10</f>
        <v>366322.23847841989</v>
      </c>
      <c r="I11" s="4" t="s">
        <v>26</v>
      </c>
      <c r="J11" s="5">
        <v>0</v>
      </c>
      <c r="K11" s="18">
        <v>0</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7">
        <f t="shared" si="2"/>
        <v>255824.79882955377</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68610</v>
      </c>
      <c r="Q12" s="23" cm="1">
        <f t="array" ref="Q12">_xlfn.BYROW(B33, _xlfn.LAMBDA(_xlpm.party, SUMIFS(ledger!G:G, ledger!B:B, _xlpm.party, ledger!E:E, "&lt;&gt;*RD*") / 1.0936 ))+_xlfn.IFNA(D51,0)</f>
        <v>62737.7468910022</v>
      </c>
      <c r="R12" s="23" cm="1">
        <f t="array" ref="R12">(_xlfn.BYROW(B33,_xlfn.LAMBDA(_xlpm.party,SUMIFS(ledger!G:G,ledger!B:B,_xlpm.party,ledger!E:E,"&lt;&gt;*RD*",ledger!D:D,"Chamki")+SUMIFS(ledger!G:G, ledger!B:B, _xlpm.party, ledger!E:E, "&lt;&gt;*RD*", ledger!D:D, "Crinkle")))/1.0936)+_xlfn.IFNA(E51,0)</f>
        <v>62737.7468910022</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627377.46891002194</v>
      </c>
      <c r="U12" s="23" cm="1">
        <f t="array" ref="U12">(_xlfn.BYROW(B33,_xlfn.LAMBDA(_xlpm.party,SUMIFS(ledger!G:G,ledger!B:B,_xlpm.party,ledger!E:E,"&lt;&gt;*RD*",ledger!D:D, "Silky")/1.0936))* 12)+_xlfn.IFNA(H51,0)</f>
        <v>0</v>
      </c>
      <c r="V12" s="44">
        <f t="shared" si="1"/>
        <v>627377.46891002194</v>
      </c>
      <c r="W12" s="23">
        <f>(SUMIF(Table14[Party],O12,Table14[Credit]))+_xlfn.IFNA(J51,0)</f>
        <v>500000</v>
      </c>
      <c r="X12" s="97">
        <f t="shared" si="2"/>
        <v>127377.46891002194</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296150</v>
      </c>
      <c r="X13" s="97">
        <f t="shared" si="2"/>
        <v>155139.31967812736</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162</v>
      </c>
      <c r="J15" s="5">
        <v>36632.223847841989</v>
      </c>
      <c r="K15" s="18">
        <v>366322.23847841989</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s="45" t="s">
        <v>29</v>
      </c>
      <c r="C16" s="46">
        <f>SUM(G26:G38)+SUM(H26:H38)</f>
        <v>1615523.043160205</v>
      </c>
      <c r="D16" t="s">
        <v>30</v>
      </c>
      <c r="I16" s="4" t="s">
        <v>28</v>
      </c>
      <c r="J16" s="14">
        <v>163543.34308705194</v>
      </c>
      <c r="K16" s="14">
        <v>1733317.4835405997</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1615523.0431602048</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6">_xlfn.UNIQUE(Table1[Party Name])</f>
        <v>BSC</v>
      </c>
      <c r="C26" s="23" cm="1">
        <f t="array" ref="C26:C36">_xlfn.BYROW(_xlfn.ANCHORARRAY(B26),_xlfn.LAMBDA(_xlpm.party,SUMIFS(ledger!G:G,ledger!B:B,_xlpm.party,ledger!E:E,"&lt;&gt;*RD*")))</f>
        <v>53135</v>
      </c>
      <c r="D26" s="23" cm="1">
        <f t="array" ref="D26:D36">_xlfn.BYROW(_xlfn.ANCHORARRAY(B26), _xlfn.LAMBDA(_xlpm.party, SUMIFS(ledger!G:G, ledger!B:B, _xlpm.party, ledger!E:E, "&lt;&gt;*RD*") / 1.0936 ))</f>
        <v>48587.234820775426</v>
      </c>
      <c r="E26" s="71" cm="1">
        <f t="array" ref="E26:E36">(_xlfn.BYROW(_xlfn.ANCHORARRAY(B26),_xlfn.LAMBDA(_xlpm.party,SUMIFS(ledger!G:G,ledger!B:B,_xlpm.party,ledger!E:E,"&lt;&gt;*RD*",ledger!D:D,"Chamki")+SUMIFS(ledger!G:G, ledger!B:B, _xlpm.party, ledger!E:E, "&lt;&gt;*RD*", ledger!D:D, "Crinkle")))/1.0936)</f>
        <v>48587.234820775426</v>
      </c>
      <c r="F26" s="78" cm="1">
        <f t="array" ref="F26:F36">(_xlfn.BYROW(_xlfn.ANCHORARRAY(B26),_xlfn.LAMBDA(_xlpm.party,SUMIFS(ledger!G:G,ledger!B:B,_xlpm.party,ledger!E:E,"&lt;&gt;*RD*",ledger!D:D,"Silky")))/1.0936)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485872.34820775426</v>
      </c>
      <c r="H26" s="23" cm="1">
        <f t="array" ref="H26">(_xlfn.BYROW(B26,_xlfn.LAMBDA(_xlpm.party,SUMIFS(ledger!G:G,ledger!B:B,_xlpm.party,ledger!E:E,"&lt;&gt;*RD*",ledger!D:D, "Silky")/1.0936))* M26)</f>
        <v>0</v>
      </c>
      <c r="I26" s="44">
        <f t="shared" ref="I26:I34" si="7">G26+H26</f>
        <v>485872.34820775426</v>
      </c>
      <c r="J26" s="23">
        <f>(SUMIF(Table14[Party],B26,Table14[Credit]))</f>
        <v>386000</v>
      </c>
      <c r="K26" s="42">
        <f>I26-J26</f>
        <v>99872.348207754258</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0</v>
      </c>
      <c r="D28" s="23">
        <v>0</v>
      </c>
      <c r="E28" s="71">
        <v>0</v>
      </c>
      <c r="F28" s="78">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564706</v>
      </c>
      <c r="K28" s="42">
        <f>I28-J28</f>
        <v>-564706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53523</v>
      </c>
      <c r="D30" s="23">
        <v>48942.026335040238</v>
      </c>
      <c r="E30" s="71">
        <v>0</v>
      </c>
      <c r="F30" s="78">
        <v>48942.026335040238</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587304.31602048292</v>
      </c>
      <c r="I30" s="44">
        <f t="shared" si="7"/>
        <v>587304.31602048292</v>
      </c>
      <c r="J30" s="23">
        <f>(SUMIF(Table14[Party],B30,Table14[Credit]))</f>
        <v>121000</v>
      </c>
      <c r="K30" s="42">
        <f t="shared" si="8"/>
        <v>466304.31602048292</v>
      </c>
      <c r="L30" s="22">
        <v>9</v>
      </c>
      <c r="M30" s="22">
        <v>12</v>
      </c>
    </row>
    <row r="31" spans="1:26" x14ac:dyDescent="0.3">
      <c r="B31" s="25" t="str">
        <v>Sajad Khan</v>
      </c>
      <c r="C31" s="23">
        <v>2190</v>
      </c>
      <c r="D31" s="23">
        <v>2002.56035113387</v>
      </c>
      <c r="E31" s="71">
        <v>2002.56035113387</v>
      </c>
      <c r="F31" s="22">
        <v>0</v>
      </c>
      <c r="G31" s="23" cm="1">
        <f t="array" ref="G31">(_xlfn.BYROW(B31,_xlfn.LAMBDA(_xlpm.party,(SUMIFS(ledger!G:G,ledger!B:B,_xlpm.party,ledger!E:E,"&lt;&gt;*RD*",ledger!D:D, "Chamki")+SUMIFS(ledger!G:G, ledger!B:B, _xlpm.party, ledger!E:E, "&lt;&gt;*RD*", ledger!D:D, "Crinkle"))/1.0936))*L31)</f>
        <v>20025.603511338701</v>
      </c>
      <c r="H31" s="23" cm="1">
        <f t="array" ref="H31">(_xlfn.BYROW(B31,_xlfn.LAMBDA(_xlpm.party,SUMIFS(ledger!G:G,ledger!B:B,_xlpm.party,ledger!E:E,"&lt;&gt;*RD*",ledger!D:D, "Silky")/1.0936))* M31)</f>
        <v>0</v>
      </c>
      <c r="I31" s="44">
        <f t="shared" si="7"/>
        <v>20025.603511338701</v>
      </c>
      <c r="J31" s="23">
        <f>(SUMIF(Table14[Party],B31,Table14[Credit]))</f>
        <v>0</v>
      </c>
      <c r="K31" s="42">
        <f t="shared" si="8"/>
        <v>20025.603511338701</v>
      </c>
      <c r="L31" s="22">
        <v>10</v>
      </c>
      <c r="M31" s="22">
        <v>12</v>
      </c>
    </row>
    <row r="32" spans="1:26" x14ac:dyDescent="0.3">
      <c r="B32" s="25" t="str">
        <v>Raaz Fabrics</v>
      </c>
      <c r="C32" s="23">
        <v>0</v>
      </c>
      <c r="D32" s="23">
        <v>0</v>
      </c>
      <c r="E32" s="71">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7"/>
        <v>0</v>
      </c>
      <c r="J32" s="23">
        <f>(SUMIF(Table14[Party],B32,Table14[Credit]))</f>
        <v>0</v>
      </c>
      <c r="K32" s="42">
        <f t="shared" si="8"/>
        <v>0</v>
      </c>
      <c r="L32" s="22">
        <v>10</v>
      </c>
      <c r="M32" s="22">
        <v>12</v>
      </c>
    </row>
    <row r="33" spans="2:13" x14ac:dyDescent="0.3">
      <c r="B33" s="25" t="str">
        <v>Azam</v>
      </c>
      <c r="C33" s="23">
        <v>40061</v>
      </c>
      <c r="D33" s="23">
        <v>36632.223847841989</v>
      </c>
      <c r="E33" s="71">
        <v>36632.223847841989</v>
      </c>
      <c r="F33" s="22">
        <v>0</v>
      </c>
      <c r="G33" s="23" cm="1">
        <f t="array" ref="G33">(_xlfn.BYROW(B33,_xlfn.LAMBDA(_xlpm.party,(SUMIFS(ledger!G:G,ledger!B:B,_xlpm.party,ledger!E:E,"&lt;&gt;*RD*",ledger!D:D, "Chamki")+SUMIFS(ledger!G:G, ledger!B:B, _xlpm.party, ledger!E:E, "&lt;&gt;*RD*", ledger!D:D, "Crinkle"))/1.0936))*L33)</f>
        <v>366322.23847841989</v>
      </c>
      <c r="H33" s="23" cm="1">
        <f t="array" ref="H33">(_xlfn.BYROW(B33,_xlfn.LAMBDA(_xlpm.party,SUMIFS(ledger!G:G,ledger!B:B,_xlpm.party,ledger!E:E,"&lt;&gt;*RD*",ledger!D:D, "Silky")/1.0936))* M33)</f>
        <v>0</v>
      </c>
      <c r="I33" s="44">
        <f t="shared" si="7"/>
        <v>366322.23847841989</v>
      </c>
      <c r="J33" s="23">
        <f>(SUMIF(Table14[Party],B33,Table14[Credit]))</f>
        <v>300000</v>
      </c>
      <c r="K33" s="42">
        <f t="shared" ref="K33:K38" si="9">I33-J33</f>
        <v>66322.238478419895</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0</v>
      </c>
      <c r="K34" s="42">
        <f t="shared" si="9"/>
        <v>155998.53694220923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4">_xlfn.UNIQUE(Table1[Party Name])</f>
        <v>BSC</v>
      </c>
      <c r="C44" s="23">
        <f>_xlfn.XLOOKUP($B26,[1]Billing!$O$5:$O$29,[1]Billing!$P$5:$P$29)</f>
        <v>1131014</v>
      </c>
      <c r="D44" s="23">
        <f>_xlfn.XLOOKUP($B26,[1]Billing!$O$5:$O$29,[1]Billing!$Q$5:$Q$29)</f>
        <v>1034211.7776152159</v>
      </c>
      <c r="E44" s="23">
        <f>_xlfn.XLOOKUP($B26,[1]Billing!$O$5:$O$29,[1]Billing!$R$5:$R$29)</f>
        <v>1019659.8390636431</v>
      </c>
      <c r="F44" s="23">
        <f>_xlfn.XLOOKUP($B26,[1]Billing!$O$5:$O$29,[1]Billing!$S$5:$S$29)</f>
        <v>14551.938551572788</v>
      </c>
      <c r="G44" s="23">
        <f>_xlfn.XLOOKUP($B26,[1]Billing!$O$5:$O$29,[1]Billing!$T$5:$T$29)</f>
        <v>10196598.390636431</v>
      </c>
      <c r="H44" s="23">
        <f>_xlfn.XLOOKUP($B26,[1]Billing!$O$5:$O$29,[1]Billing!$U$5:$U$29)</f>
        <v>174623.26261887344</v>
      </c>
      <c r="I44" s="44">
        <f t="shared" ref="I44:I54" si="11">G44+H44</f>
        <v>10371221.653255304</v>
      </c>
      <c r="J44" s="23">
        <f>_xlfn.XLOOKUP($B26,[1]Billing!$O$5:$O$29,[1]Billing!$W$5:$W$29)</f>
        <v>7158783</v>
      </c>
      <c r="K44" s="42">
        <f>I44-J44</f>
        <v>3212438.6532553043</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zoomScale="105" workbookViewId="0">
      <selection activeCell="N13" sqref="N13"/>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4">_xlfn.UNIQUE(Table1[Party Name])</f>
        <v>BSC</v>
      </c>
    </row>
    <row r="5" spans="2:10" x14ac:dyDescent="0.3">
      <c r="J5" t="str">
        <v>Ejaz Sahab</v>
      </c>
    </row>
    <row r="6" spans="2:10" ht="21" x14ac:dyDescent="0.4">
      <c r="B6" s="72" t="s">
        <v>21</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1184149</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1082799.0124359913</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1068247.0738844185</v>
      </c>
      <c r="E12" s="101">
        <f ca="1">Table21[[#This Row],[gazana]]*Table21[[#This Row],[Rate]]</f>
        <v>10682470.738844184</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Hafiz Qureshi</v>
      </c>
    </row>
    <row r="15" spans="2:10" ht="18.600000000000001" thickBot="1" x14ac:dyDescent="0.4">
      <c r="B15" s="73"/>
      <c r="C15" s="75"/>
      <c r="D15" s="75"/>
      <c r="E15" s="74"/>
    </row>
    <row r="16" spans="2:10" ht="18.600000000000001" thickBot="1" x14ac:dyDescent="0.4">
      <c r="B16" s="63" t="s">
        <v>41</v>
      </c>
      <c r="C16" s="74"/>
      <c r="D16" s="100"/>
      <c r="E16" s="102">
        <f ca="1">E12+E14</f>
        <v>10857094.001463057</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7544783</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3312311.0014630593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1228990</v>
      </c>
      <c r="D4" t="s">
        <v>183</v>
      </c>
    </row>
    <row r="5" spans="1:4" x14ac:dyDescent="0.3">
      <c r="B5" t="s">
        <v>48</v>
      </c>
      <c r="C5" s="11">
        <f>SUM(Table8[Price])+Dyes!P41</f>
        <v>655230</v>
      </c>
      <c r="D5" t="s">
        <v>189</v>
      </c>
    </row>
    <row r="6" spans="1:4" x14ac:dyDescent="0.3">
      <c r="B6" t="s">
        <v>49</v>
      </c>
      <c r="C6" s="11">
        <f>SUM(Table2[Price])+247000</f>
        <v>247000</v>
      </c>
      <c r="D6" t="s">
        <v>188</v>
      </c>
    </row>
    <row r="7" spans="1:4" x14ac:dyDescent="0.3">
      <c r="B7" t="s">
        <v>50</v>
      </c>
      <c r="C7" s="11">
        <f>SUMIFS(Table14[Debit], Table14[Party],Table12[[#This Row],[Type]])</f>
        <v>980</v>
      </c>
    </row>
    <row r="8" spans="1:4" x14ac:dyDescent="0.3">
      <c r="B8" t="s">
        <v>51</v>
      </c>
      <c r="C8" s="11">
        <f>Electricity!E3</f>
        <v>0</v>
      </c>
    </row>
    <row r="9" spans="1:4" x14ac:dyDescent="0.3">
      <c r="B9" t="s">
        <v>52</v>
      </c>
      <c r="C9" s="11">
        <f>Table11[[#Totals],[Amount]]+'Salary Acc'!I35</f>
        <v>14000</v>
      </c>
    </row>
    <row r="10" spans="1:4" x14ac:dyDescent="0.3">
      <c r="B10" t="s">
        <v>53</v>
      </c>
      <c r="C10" s="11">
        <f>Table5[[#Totals],[Amount]]</f>
        <v>11185</v>
      </c>
    </row>
    <row r="11" spans="1:4" x14ac:dyDescent="0.3">
      <c r="B11" t="s">
        <v>54</v>
      </c>
      <c r="C11" s="11">
        <f>Table13[[#Totals],[Debit]]</f>
        <v>32330</v>
      </c>
    </row>
    <row r="12" spans="1:4" x14ac:dyDescent="0.3">
      <c r="B12" t="s">
        <v>55</v>
      </c>
      <c r="C12" s="11">
        <f>Table15[[#Totals],[Amount]]</f>
        <v>21951</v>
      </c>
    </row>
    <row r="13" spans="1:4" x14ac:dyDescent="0.3">
      <c r="C13" s="11"/>
    </row>
    <row r="14" spans="1:4" x14ac:dyDescent="0.3">
      <c r="C14" s="14">
        <f>SUM(Table12[Amount])</f>
        <v>2211666</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Billing!C18 + SUMIFS(Table14[Credit], Table14[Party], "Transport")</f>
        <v>1615523.0431602048</v>
      </c>
      <c r="D3" t="s">
        <v>68</v>
      </c>
    </row>
    <row r="4" spans="1:4" x14ac:dyDescent="0.3">
      <c r="B4" s="11" t="s">
        <v>44</v>
      </c>
      <c r="C4" s="11">
        <f>Table12[[#Totals],[Amount]]</f>
        <v>2211666</v>
      </c>
    </row>
    <row r="5" spans="1:4" x14ac:dyDescent="0.3">
      <c r="A5" s="6"/>
      <c r="B5" s="15" t="s">
        <v>69</v>
      </c>
      <c r="C5" s="15">
        <f ca="1">C3-C4</f>
        <v>-596142.95683979522</v>
      </c>
    </row>
    <row r="10" spans="1:4" ht="15" thickBot="1" x14ac:dyDescent="0.35">
      <c r="B10" t="s">
        <v>66</v>
      </c>
      <c r="C10" s="14" t="s">
        <v>67</v>
      </c>
    </row>
    <row r="11" spans="1:4" x14ac:dyDescent="0.3">
      <c r="B11" s="64" t="s">
        <v>0</v>
      </c>
      <c r="C11" s="65">
        <f ca="1">C3</f>
        <v>1615523.0431602048</v>
      </c>
    </row>
    <row r="12" spans="1:4" x14ac:dyDescent="0.3">
      <c r="B12" s="66" t="s">
        <v>70</v>
      </c>
      <c r="C12" s="67">
        <f>SUM(Table14[Credit])</f>
        <v>1719419</v>
      </c>
    </row>
    <row r="13" spans="1:4" ht="15" thickBot="1" x14ac:dyDescent="0.35">
      <c r="B13" s="82" t="s">
        <v>97</v>
      </c>
      <c r="C13" s="81">
        <f ca="1">(C11-C12)</f>
        <v>-103895.95683979522</v>
      </c>
    </row>
    <row r="14" spans="1:4" ht="15" thickBot="1" x14ac:dyDescent="0.35">
      <c r="B14" s="66"/>
      <c r="C14" s="67"/>
    </row>
    <row r="15" spans="1:4" x14ac:dyDescent="0.3">
      <c r="B15" s="64" t="s">
        <v>44</v>
      </c>
      <c r="C15" s="65">
        <f>C4</f>
        <v>2211666</v>
      </c>
    </row>
    <row r="16" spans="1:4" x14ac:dyDescent="0.3">
      <c r="B16" s="66" t="s">
        <v>71</v>
      </c>
      <c r="C16" s="67">
        <f>SUM(Table14[Debit])</f>
        <v>1344432</v>
      </c>
    </row>
    <row r="17" spans="2:6" ht="15" thickBot="1" x14ac:dyDescent="0.35">
      <c r="B17" s="82" t="s">
        <v>72</v>
      </c>
      <c r="C17" s="81">
        <f>C15-C16</f>
        <v>867234</v>
      </c>
    </row>
    <row r="18" spans="2:6" ht="15" thickBot="1" x14ac:dyDescent="0.35">
      <c r="B18" s="66"/>
      <c r="C18" s="67"/>
    </row>
    <row r="19" spans="2:6" ht="15" thickBot="1" x14ac:dyDescent="0.35">
      <c r="B19" s="83" t="s">
        <v>73</v>
      </c>
      <c r="C19" s="84">
        <f>Table18[[#Totals],[amount]]</f>
        <v>374987</v>
      </c>
    </row>
    <row r="20" spans="2:6" ht="15" thickBot="1" x14ac:dyDescent="0.35">
      <c r="B20" s="79"/>
      <c r="C20" s="80"/>
    </row>
    <row r="21" spans="2:6" ht="15" thickBot="1" x14ac:dyDescent="0.35">
      <c r="B21" s="68" t="s">
        <v>74</v>
      </c>
      <c r="C21" s="69">
        <f ca="1">(C13-C17)+C19</f>
        <v>-596142.95683979522</v>
      </c>
      <c r="E21" s="87" t="s">
        <v>75</v>
      </c>
      <c r="F21" s="88">
        <f ca="1">C5*0.05</f>
        <v>-29807.147841989761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7830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32330</v>
      </c>
      <c r="E35">
        <f>SUBTOTAL(109,Table13[Credit])</f>
        <v>0</v>
      </c>
      <c r="F35">
        <f>Table13[[#Totals],[Debit]]-Table13[[#Totals],[Credit]]</f>
        <v>32330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4"/>
  <sheetViews>
    <sheetView tabSelected="1" zoomScale="107" workbookViewId="0">
      <selection activeCell="I35" sqref="I3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1019659.8390636431</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10196598.390636431</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92.76503260759533</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92.185130337038558</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33167</v>
      </c>
      <c r="H27" s="32">
        <f>_xlfn.XLOOKUP(Table1[[#This Row],[Shipment Number]], 'pivot '!A:A,'pivot '!G:G, "NF")</f>
        <v>1.557148819115568</v>
      </c>
      <c r="I27" s="32">
        <f>IF(Table1[[#This Row],[Shipment Number]]="RD",0,Table1[[#This Row],[Tiyaar/gaz]]/1.0936)</f>
        <v>30328.273591806879</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303282.73591806879</v>
      </c>
      <c r="K27" s="29"/>
      <c r="P27"/>
      <c r="Q27"/>
      <c r="R27"/>
      <c r="S27"/>
      <c r="T27"/>
      <c r="U27"/>
      <c r="V27"/>
      <c r="W27"/>
      <c r="X27"/>
      <c r="Y27"/>
    </row>
    <row r="28" spans="1:25" x14ac:dyDescent="0.3">
      <c r="A28"/>
      <c r="B28"/>
      <c r="C28"/>
      <c r="D28"/>
      <c r="E28" s="14"/>
      <c r="F28" s="14"/>
      <c r="G28" s="14"/>
      <c r="H28" s="50"/>
      <c r="I28" s="50" cm="1">
        <f t="array" aca="1" ref="I28" ca="1">SUMPRODUCT( SUBTOTAL(109, OFFSET(Table1[tiyar/meters], ROW(Table1[tiyar/meters])-MIN(ROW(Table1[tiyar/meters])), 0, 1)), --(Table1[Bill Number]&lt;&gt;"August Closing CF") )</f>
        <v>151763.89904901246</v>
      </c>
      <c r="J28" s="50" cm="1">
        <f t="array" aca="1" ref="J28" ca="1">SUMPRODUCT( SUBTOTAL(109, OFFSET(Table1[billing], ROW(Table1[billing])-MIN(ROW(Table1[billing])), 0, 1)), --(Table1[Bill Number]&lt;&gt;"August Closing CF") )</f>
        <v>1615523.0431602048</v>
      </c>
      <c r="K28" s="14">
        <f>SUMIFS(Table1[billing], Table1[Bill Number], "&lt;&gt;August Closing CF")</f>
        <v>1615523.0431602048</v>
      </c>
      <c r="P28"/>
      <c r="Q28"/>
      <c r="R28"/>
      <c r="S28"/>
      <c r="T28"/>
      <c r="U28"/>
      <c r="V28"/>
      <c r="W28"/>
      <c r="X28"/>
      <c r="Y28"/>
    </row>
    <row r="29" spans="1:25" x14ac:dyDescent="0.3">
      <c r="P29"/>
      <c r="Q29"/>
      <c r="R29"/>
      <c r="S29"/>
      <c r="T29"/>
      <c r="U29"/>
      <c r="V29"/>
      <c r="W29"/>
      <c r="X29"/>
      <c r="Y29"/>
    </row>
    <row r="30" spans="1:25" x14ac:dyDescent="0.3">
      <c r="P30"/>
      <c r="Q30"/>
      <c r="R30"/>
      <c r="S30"/>
      <c r="T30"/>
      <c r="U30"/>
      <c r="V30"/>
      <c r="W30"/>
      <c r="X30"/>
      <c r="Y30"/>
    </row>
    <row r="31" spans="1:25" x14ac:dyDescent="0.3">
      <c r="P31"/>
      <c r="Q31"/>
      <c r="R31"/>
      <c r="S31"/>
      <c r="T31"/>
      <c r="U31"/>
      <c r="V31"/>
      <c r="W31"/>
      <c r="X31"/>
      <c r="Y31"/>
    </row>
    <row r="32" spans="1:25" x14ac:dyDescent="0.3">
      <c r="P32"/>
      <c r="Q32"/>
      <c r="R32"/>
      <c r="S32"/>
      <c r="T32"/>
      <c r="U32"/>
      <c r="V32"/>
      <c r="W32"/>
      <c r="X32"/>
      <c r="Y32"/>
    </row>
    <row r="33" spans="4:25" x14ac:dyDescent="0.3">
      <c r="P33"/>
      <c r="Q33"/>
      <c r="R33"/>
      <c r="S33"/>
      <c r="T33"/>
      <c r="U33"/>
      <c r="V33"/>
      <c r="W33"/>
      <c r="X33"/>
      <c r="Y33"/>
    </row>
    <row r="34" spans="4:25" x14ac:dyDescent="0.3">
      <c r="P34"/>
      <c r="Q34"/>
      <c r="R34"/>
      <c r="S34"/>
      <c r="T34"/>
      <c r="U34"/>
      <c r="V34"/>
      <c r="W34"/>
      <c r="X34"/>
      <c r="Y34"/>
    </row>
    <row r="35" spans="4:25" x14ac:dyDescent="0.3">
      <c r="P35"/>
      <c r="Q35"/>
      <c r="R35"/>
      <c r="S35"/>
      <c r="T35"/>
      <c r="U35"/>
      <c r="V35"/>
      <c r="W35"/>
      <c r="X35"/>
      <c r="Y35"/>
    </row>
    <row r="36" spans="4:25" x14ac:dyDescent="0.3">
      <c r="P36"/>
      <c r="Q36"/>
      <c r="R36"/>
      <c r="S36"/>
      <c r="T36"/>
      <c r="U36"/>
      <c r="V36"/>
      <c r="W36"/>
      <c r="X36"/>
      <c r="Y36"/>
    </row>
    <row r="37" spans="4:25" x14ac:dyDescent="0.3">
      <c r="P37"/>
      <c r="Q37"/>
      <c r="R37"/>
      <c r="S37"/>
      <c r="T37"/>
      <c r="U37"/>
      <c r="V37"/>
      <c r="W37"/>
      <c r="X37"/>
      <c r="Y37"/>
    </row>
    <row r="38" spans="4:25" x14ac:dyDescent="0.3">
      <c r="P38"/>
      <c r="Q38"/>
      <c r="R38"/>
      <c r="S38"/>
      <c r="T38"/>
      <c r="U38"/>
      <c r="V38"/>
      <c r="W38"/>
      <c r="X38"/>
      <c r="Y38"/>
    </row>
    <row r="39" spans="4:25" x14ac:dyDescent="0.3">
      <c r="D39" s="3" t="s">
        <v>2</v>
      </c>
      <c r="E39" t="s">
        <v>89</v>
      </c>
      <c r="P39"/>
      <c r="Q39"/>
      <c r="R39"/>
      <c r="S39"/>
      <c r="T39"/>
      <c r="U39"/>
      <c r="V39"/>
      <c r="W39"/>
      <c r="X39"/>
      <c r="Y39"/>
    </row>
    <row r="40" spans="4:25" x14ac:dyDescent="0.3">
      <c r="D40" s="3" t="s">
        <v>76</v>
      </c>
      <c r="E40" t="s">
        <v>89</v>
      </c>
      <c r="P40"/>
      <c r="Q40"/>
      <c r="R40"/>
      <c r="S40"/>
      <c r="T40"/>
      <c r="U40"/>
      <c r="V40"/>
      <c r="W40"/>
      <c r="X40"/>
      <c r="Y40"/>
    </row>
    <row r="41" spans="4:25" x14ac:dyDescent="0.3">
      <c r="D41" s="3" t="s">
        <v>80</v>
      </c>
      <c r="E41" t="s">
        <v>89</v>
      </c>
      <c r="P41"/>
      <c r="Q41"/>
      <c r="R41"/>
      <c r="S41"/>
      <c r="T41"/>
      <c r="U41"/>
      <c r="V41"/>
      <c r="W41"/>
      <c r="X41"/>
      <c r="Y41"/>
    </row>
    <row r="42" spans="4:25" x14ac:dyDescent="0.3">
      <c r="P42"/>
      <c r="Q42"/>
      <c r="R42"/>
      <c r="S42"/>
      <c r="T42"/>
      <c r="U42"/>
      <c r="V42"/>
      <c r="W42"/>
      <c r="X42"/>
      <c r="Y42"/>
    </row>
    <row r="43" spans="4:25" x14ac:dyDescent="0.3">
      <c r="D43" s="3" t="s">
        <v>6</v>
      </c>
      <c r="E43" t="s">
        <v>90</v>
      </c>
      <c r="F43" t="s">
        <v>91</v>
      </c>
      <c r="G43" t="s">
        <v>92</v>
      </c>
      <c r="I43" s="3" t="s">
        <v>6</v>
      </c>
      <c r="J43" t="s">
        <v>91</v>
      </c>
      <c r="K43" t="s">
        <v>92</v>
      </c>
      <c r="P43"/>
      <c r="Q43"/>
      <c r="R43"/>
      <c r="S43"/>
      <c r="T43"/>
      <c r="U43"/>
      <c r="V43"/>
      <c r="W43"/>
      <c r="X43"/>
      <c r="Y43"/>
    </row>
    <row r="44" spans="4:25" x14ac:dyDescent="0.3">
      <c r="D44" s="16" t="s">
        <v>164</v>
      </c>
      <c r="E44" s="113"/>
      <c r="F44" s="33">
        <v>2322301.5727871251</v>
      </c>
      <c r="G44" s="113">
        <v>23402763.394513533</v>
      </c>
      <c r="I44" s="27">
        <v>45888</v>
      </c>
      <c r="J44" s="50">
        <v>2002.56035113387</v>
      </c>
      <c r="K44" s="14">
        <v>20025.603511338701</v>
      </c>
      <c r="P44"/>
      <c r="Q44"/>
      <c r="R44"/>
      <c r="S44"/>
      <c r="T44"/>
      <c r="U44"/>
      <c r="V44"/>
      <c r="W44"/>
      <c r="X44"/>
      <c r="Y44"/>
    </row>
    <row r="45" spans="4:25" x14ac:dyDescent="0.3">
      <c r="D45" s="16">
        <v>835</v>
      </c>
      <c r="E45" s="113">
        <v>19968</v>
      </c>
      <c r="F45" s="33">
        <v>18258.961228968546</v>
      </c>
      <c r="G45" s="113">
        <v>182589.61228968546</v>
      </c>
      <c r="I45" s="27">
        <v>45916</v>
      </c>
      <c r="J45" s="50">
        <v>2322301.5727871251</v>
      </c>
      <c r="K45" s="14">
        <v>23402763.394513533</v>
      </c>
      <c r="P45"/>
      <c r="Q45"/>
      <c r="R45"/>
      <c r="S45"/>
      <c r="T45"/>
      <c r="U45"/>
      <c r="V45"/>
      <c r="W45"/>
      <c r="X45"/>
      <c r="Y45"/>
    </row>
    <row r="46" spans="4:25" x14ac:dyDescent="0.3">
      <c r="D46" s="16">
        <v>836</v>
      </c>
      <c r="E46" s="113">
        <v>28988</v>
      </c>
      <c r="F46" s="33">
        <v>26506.949524506221</v>
      </c>
      <c r="G46" s="113">
        <v>318083.39429407462</v>
      </c>
      <c r="I46" s="27">
        <v>45917</v>
      </c>
      <c r="J46" s="50">
        <v>82800.841258229702</v>
      </c>
      <c r="K46" s="14">
        <v>925892.46525237756</v>
      </c>
      <c r="P46"/>
      <c r="Q46"/>
      <c r="R46"/>
      <c r="S46"/>
      <c r="T46"/>
      <c r="U46"/>
      <c r="V46"/>
      <c r="W46"/>
      <c r="X46"/>
      <c r="Y46"/>
    </row>
    <row r="47" spans="4:25" x14ac:dyDescent="0.3">
      <c r="D47" s="16">
        <v>837</v>
      </c>
      <c r="E47" s="113">
        <v>3979</v>
      </c>
      <c r="F47" s="33">
        <v>3638.4418434528166</v>
      </c>
      <c r="G47" s="113">
        <v>43661.3021214338</v>
      </c>
      <c r="I47" s="27">
        <v>45918</v>
      </c>
      <c r="J47" s="50">
        <v>34217.264081931236</v>
      </c>
      <c r="K47" s="14">
        <v>342172.64081931236</v>
      </c>
      <c r="P47"/>
      <c r="Q47"/>
      <c r="R47"/>
      <c r="S47"/>
      <c r="T47"/>
      <c r="U47"/>
      <c r="V47"/>
      <c r="W47"/>
      <c r="X47"/>
      <c r="Y47"/>
    </row>
    <row r="48" spans="4:25" x14ac:dyDescent="0.3">
      <c r="D48" s="16">
        <v>838</v>
      </c>
      <c r="E48" s="113">
        <v>6476</v>
      </c>
      <c r="F48" s="33">
        <v>5921.7264081931244</v>
      </c>
      <c r="G48" s="113">
        <v>71060.716898317492</v>
      </c>
      <c r="I48" s="27">
        <v>45919</v>
      </c>
      <c r="J48" s="50">
        <v>2414.9597659107535</v>
      </c>
      <c r="K48" s="14">
        <v>24149.597659107534</v>
      </c>
      <c r="P48"/>
      <c r="Q48"/>
      <c r="R48"/>
      <c r="S48"/>
      <c r="T48"/>
      <c r="U48"/>
      <c r="V48"/>
      <c r="W48"/>
      <c r="X48"/>
      <c r="Y48"/>
    </row>
    <row r="49" spans="4:25" x14ac:dyDescent="0.3">
      <c r="D49" s="16">
        <v>839</v>
      </c>
      <c r="E49" s="113">
        <v>10952</v>
      </c>
      <c r="F49" s="33">
        <v>10014.630577907828</v>
      </c>
      <c r="G49" s="113">
        <v>120175.56693489394</v>
      </c>
      <c r="I49" s="27">
        <v>45920</v>
      </c>
      <c r="J49" s="50"/>
      <c r="K49" s="14">
        <v>0</v>
      </c>
      <c r="P49"/>
      <c r="Q49"/>
      <c r="R49"/>
      <c r="S49"/>
      <c r="T49"/>
      <c r="U49"/>
      <c r="V49"/>
      <c r="W49"/>
      <c r="X49"/>
      <c r="Y49"/>
    </row>
    <row r="50" spans="4:25" x14ac:dyDescent="0.3">
      <c r="D50" s="16">
        <v>840</v>
      </c>
      <c r="E50" s="113">
        <v>3128</v>
      </c>
      <c r="F50" s="33">
        <v>2860.2779809802491</v>
      </c>
      <c r="G50" s="113">
        <v>34323.335771762991</v>
      </c>
      <c r="I50" s="27" t="s">
        <v>108</v>
      </c>
      <c r="J50" s="50"/>
      <c r="K50" s="14" t="e">
        <v>#N/A</v>
      </c>
      <c r="P50"/>
      <c r="Q50"/>
      <c r="R50"/>
      <c r="S50"/>
      <c r="T50"/>
      <c r="U50"/>
      <c r="V50"/>
      <c r="W50"/>
      <c r="X50"/>
      <c r="Y50"/>
    </row>
    <row r="51" spans="4:25" x14ac:dyDescent="0.3">
      <c r="D51" s="16">
        <v>841</v>
      </c>
      <c r="E51" s="113">
        <v>17060</v>
      </c>
      <c r="F51" s="33">
        <v>15599.853694220923</v>
      </c>
      <c r="G51" s="113">
        <v>155998.53694220923</v>
      </c>
      <c r="I51" s="27" t="s">
        <v>28</v>
      </c>
      <c r="J51" s="50">
        <v>2443737.1982443305</v>
      </c>
      <c r="K51" s="14" t="e">
        <v>#N/A</v>
      </c>
      <c r="P51"/>
      <c r="Q51"/>
      <c r="R51"/>
      <c r="S51"/>
      <c r="T51"/>
      <c r="U51"/>
      <c r="V51"/>
      <c r="W51"/>
      <c r="X51"/>
      <c r="Y51"/>
    </row>
    <row r="52" spans="4:25" x14ac:dyDescent="0.3">
      <c r="D52" s="16">
        <v>842</v>
      </c>
      <c r="E52" s="113"/>
      <c r="F52" s="33">
        <v>0</v>
      </c>
      <c r="G52" s="113">
        <v>0</v>
      </c>
      <c r="I52"/>
      <c r="J52"/>
      <c r="K52"/>
      <c r="P52"/>
      <c r="Q52"/>
      <c r="R52"/>
      <c r="S52"/>
      <c r="T52"/>
      <c r="U52"/>
      <c r="V52"/>
      <c r="W52"/>
      <c r="X52"/>
      <c r="Y52"/>
    </row>
    <row r="53" spans="4:25" x14ac:dyDescent="0.3">
      <c r="D53" s="16">
        <v>843</v>
      </c>
      <c r="E53" s="113">
        <v>37420</v>
      </c>
      <c r="F53" s="33">
        <v>34217.264081931236</v>
      </c>
      <c r="G53" s="113">
        <v>342172.64081931236</v>
      </c>
      <c r="I53"/>
      <c r="J53"/>
      <c r="K53"/>
      <c r="P53"/>
      <c r="Q53"/>
      <c r="R53"/>
      <c r="S53"/>
      <c r="T53"/>
      <c r="U53"/>
      <c r="V53"/>
      <c r="W53"/>
      <c r="X53"/>
      <c r="Y53"/>
    </row>
    <row r="54" spans="4:25" x14ac:dyDescent="0.3">
      <c r="D54" s="16">
        <v>844</v>
      </c>
      <c r="E54" s="113">
        <v>2641</v>
      </c>
      <c r="F54" s="33">
        <v>2414.9597659107535</v>
      </c>
      <c r="G54" s="113">
        <v>24149.597659107534</v>
      </c>
      <c r="I54"/>
      <c r="J54"/>
      <c r="K54"/>
      <c r="P54"/>
      <c r="Q54"/>
      <c r="R54"/>
      <c r="S54"/>
      <c r="T54"/>
      <c r="U54"/>
      <c r="V54"/>
      <c r="W54"/>
      <c r="X54"/>
      <c r="Y54"/>
    </row>
    <row r="55" spans="4:25" x14ac:dyDescent="0.3">
      <c r="D55" s="16">
        <v>845</v>
      </c>
      <c r="E55" s="113"/>
      <c r="F55" s="33">
        <v>0</v>
      </c>
      <c r="G55" s="113">
        <v>0</v>
      </c>
      <c r="I55"/>
      <c r="J55"/>
      <c r="K55"/>
      <c r="P55"/>
      <c r="Q55"/>
      <c r="R55"/>
      <c r="S55"/>
      <c r="T55"/>
      <c r="U55"/>
      <c r="V55"/>
      <c r="W55"/>
      <c r="X55"/>
      <c r="Y55"/>
    </row>
    <row r="56" spans="4:25" x14ac:dyDescent="0.3">
      <c r="D56" s="16">
        <v>846</v>
      </c>
      <c r="E56" s="113">
        <v>2190</v>
      </c>
      <c r="F56" s="33">
        <v>2002.56035113387</v>
      </c>
      <c r="G56" s="113">
        <v>20025.603511338701</v>
      </c>
      <c r="I56"/>
      <c r="J56"/>
      <c r="K56"/>
      <c r="P56"/>
      <c r="Q56"/>
      <c r="R56"/>
      <c r="S56"/>
      <c r="T56"/>
      <c r="U56"/>
      <c r="V56"/>
      <c r="W56"/>
      <c r="X56"/>
      <c r="Y56"/>
    </row>
    <row r="57" spans="4:25" x14ac:dyDescent="0.3">
      <c r="D57" s="16">
        <v>847</v>
      </c>
      <c r="E57" s="113">
        <v>33167</v>
      </c>
      <c r="F57" s="33"/>
      <c r="G57" s="113">
        <v>0</v>
      </c>
      <c r="I57"/>
      <c r="J57"/>
      <c r="K57"/>
      <c r="P57"/>
      <c r="Q57"/>
      <c r="R57"/>
      <c r="S57"/>
      <c r="T57"/>
      <c r="U57"/>
      <c r="V57"/>
      <c r="W57"/>
      <c r="X57"/>
      <c r="Y57"/>
    </row>
    <row r="58" spans="4:25" x14ac:dyDescent="0.3">
      <c r="D58" s="16">
        <v>848</v>
      </c>
      <c r="E58" s="113">
        <v>12882</v>
      </c>
      <c r="F58" s="33"/>
      <c r="G58" s="113">
        <v>0</v>
      </c>
      <c r="I58"/>
      <c r="J58"/>
      <c r="K58"/>
      <c r="P58"/>
      <c r="Q58"/>
      <c r="R58"/>
      <c r="S58"/>
      <c r="T58"/>
      <c r="U58"/>
      <c r="V58"/>
      <c r="W58"/>
    </row>
    <row r="59" spans="4:25" x14ac:dyDescent="0.3">
      <c r="D59" s="16" t="s">
        <v>108</v>
      </c>
      <c r="E59" s="113"/>
      <c r="F59" s="33"/>
      <c r="G59" s="113" t="e">
        <v>#N/A</v>
      </c>
      <c r="I59"/>
      <c r="J59"/>
      <c r="K59"/>
      <c r="P59"/>
      <c r="Q59"/>
      <c r="R59"/>
      <c r="S59"/>
      <c r="T59"/>
      <c r="U59"/>
    </row>
    <row r="60" spans="4:25" x14ac:dyDescent="0.3">
      <c r="D60" s="16" t="s">
        <v>28</v>
      </c>
      <c r="E60" s="113">
        <v>178851</v>
      </c>
      <c r="F60" s="33">
        <v>2443737.1982443309</v>
      </c>
      <c r="G60" s="113" t="e">
        <v>#N/A</v>
      </c>
      <c r="I60"/>
      <c r="J60"/>
      <c r="K60"/>
      <c r="L60"/>
      <c r="M60"/>
      <c r="P60"/>
      <c r="Q60"/>
      <c r="R60"/>
      <c r="S60"/>
      <c r="T60"/>
      <c r="U60"/>
    </row>
    <row r="61" spans="4:25" x14ac:dyDescent="0.3">
      <c r="D61"/>
      <c r="E61"/>
      <c r="F61"/>
      <c r="G61"/>
      <c r="I61"/>
      <c r="J61"/>
      <c r="K61"/>
      <c r="L61"/>
      <c r="M61"/>
      <c r="P61"/>
      <c r="Q61"/>
      <c r="R61"/>
      <c r="S61"/>
    </row>
    <row r="62" spans="4:25" x14ac:dyDescent="0.3">
      <c r="D62"/>
      <c r="E62"/>
      <c r="F62"/>
      <c r="G62"/>
      <c r="I62"/>
      <c r="J62"/>
      <c r="K62"/>
      <c r="L62"/>
      <c r="M62"/>
      <c r="P62"/>
      <c r="Q62"/>
      <c r="R62"/>
      <c r="S62"/>
    </row>
    <row r="63" spans="4:25" x14ac:dyDescent="0.3">
      <c r="D63"/>
      <c r="E63"/>
      <c r="F63"/>
      <c r="G63"/>
      <c r="I63"/>
      <c r="J63"/>
      <c r="K63"/>
      <c r="L63"/>
      <c r="M63"/>
      <c r="P63"/>
      <c r="Q63"/>
      <c r="R63"/>
      <c r="S63"/>
    </row>
    <row r="64" spans="4:25" x14ac:dyDescent="0.3">
      <c r="D64"/>
      <c r="E64"/>
      <c r="F64"/>
      <c r="G64"/>
      <c r="I64"/>
      <c r="J64"/>
      <c r="K64"/>
      <c r="L64"/>
      <c r="M64"/>
      <c r="P64"/>
      <c r="Q64"/>
      <c r="R64"/>
      <c r="S64"/>
    </row>
    <row r="65" spans="4:19" x14ac:dyDescent="0.3">
      <c r="D65"/>
      <c r="E65"/>
      <c r="F65"/>
      <c r="G65"/>
      <c r="I65"/>
      <c r="J65"/>
      <c r="K65"/>
      <c r="L65"/>
      <c r="M65"/>
      <c r="P65"/>
      <c r="Q65"/>
      <c r="R65"/>
      <c r="S65"/>
    </row>
    <row r="66" spans="4:19" x14ac:dyDescent="0.3">
      <c r="D66"/>
      <c r="E66"/>
      <c r="F66"/>
      <c r="G66"/>
      <c r="I66"/>
      <c r="J66"/>
      <c r="K66"/>
      <c r="L66"/>
      <c r="M66"/>
      <c r="P66"/>
      <c r="Q66"/>
      <c r="R66"/>
      <c r="S66"/>
    </row>
    <row r="67" spans="4:19" x14ac:dyDescent="0.3">
      <c r="D67"/>
      <c r="E67"/>
      <c r="F67"/>
      <c r="G67"/>
      <c r="I67"/>
      <c r="J67"/>
      <c r="K67"/>
      <c r="L67"/>
      <c r="M67"/>
      <c r="P67"/>
      <c r="Q67"/>
      <c r="R67"/>
      <c r="S67"/>
    </row>
    <row r="68" spans="4:19" x14ac:dyDescent="0.3">
      <c r="D68"/>
      <c r="E68"/>
      <c r="F68"/>
      <c r="G68"/>
      <c r="I68"/>
      <c r="J68"/>
      <c r="K68"/>
      <c r="L68"/>
      <c r="M68"/>
      <c r="P68"/>
      <c r="Q68"/>
      <c r="R68"/>
      <c r="S68"/>
    </row>
    <row r="69" spans="4:19" x14ac:dyDescent="0.3">
      <c r="D69"/>
      <c r="E69"/>
      <c r="F69"/>
      <c r="G69"/>
      <c r="I69"/>
      <c r="J69"/>
      <c r="K69"/>
      <c r="L69"/>
      <c r="M69"/>
      <c r="P69"/>
      <c r="Q69"/>
      <c r="R69"/>
      <c r="S69"/>
    </row>
    <row r="70" spans="4:19" x14ac:dyDescent="0.3">
      <c r="D70"/>
      <c r="E70"/>
      <c r="F70"/>
      <c r="G70"/>
      <c r="P70"/>
      <c r="Q70"/>
      <c r="R70"/>
      <c r="S70"/>
    </row>
    <row r="71" spans="4:19" x14ac:dyDescent="0.3">
      <c r="D71"/>
      <c r="E71"/>
      <c r="F71"/>
      <c r="G71"/>
      <c r="P71"/>
      <c r="Q71"/>
      <c r="R71"/>
      <c r="S71"/>
    </row>
    <row r="72" spans="4:19" x14ac:dyDescent="0.3">
      <c r="D72"/>
      <c r="E72"/>
      <c r="F72"/>
      <c r="G72"/>
      <c r="P72"/>
      <c r="Q72"/>
      <c r="R72"/>
      <c r="S72"/>
    </row>
    <row r="73" spans="4:19" x14ac:dyDescent="0.3">
      <c r="D73"/>
      <c r="E73"/>
      <c r="F73"/>
      <c r="G73"/>
      <c r="O73"/>
      <c r="P73"/>
      <c r="Q73"/>
    </row>
    <row r="74" spans="4:19" x14ac:dyDescent="0.3">
      <c r="D74"/>
      <c r="E74"/>
      <c r="F74"/>
      <c r="G74"/>
      <c r="O74"/>
      <c r="P74"/>
      <c r="Q74"/>
    </row>
    <row r="75" spans="4:19" x14ac:dyDescent="0.3">
      <c r="D75"/>
      <c r="E75"/>
      <c r="F75"/>
      <c r="G75"/>
      <c r="O75"/>
      <c r="P75"/>
      <c r="Q75"/>
    </row>
    <row r="76" spans="4:19" x14ac:dyDescent="0.3">
      <c r="D76"/>
      <c r="E76"/>
      <c r="F76"/>
      <c r="G76"/>
      <c r="O76"/>
      <c r="P76"/>
      <c r="Q76"/>
    </row>
    <row r="77" spans="4:19" x14ac:dyDescent="0.3">
      <c r="D77"/>
      <c r="E77"/>
      <c r="F77"/>
      <c r="G77"/>
      <c r="O77"/>
      <c r="P77"/>
      <c r="Q77"/>
    </row>
    <row r="78" spans="4:19" x14ac:dyDescent="0.3">
      <c r="D78"/>
      <c r="E78"/>
      <c r="F78"/>
      <c r="G78"/>
      <c r="O78"/>
      <c r="P78"/>
      <c r="Q78"/>
    </row>
    <row r="79" spans="4:19" x14ac:dyDescent="0.3">
      <c r="D79"/>
      <c r="E79"/>
      <c r="F79"/>
      <c r="G79"/>
      <c r="O79"/>
      <c r="P79"/>
      <c r="Q79"/>
    </row>
    <row r="80" spans="4:19" x14ac:dyDescent="0.3">
      <c r="D80"/>
      <c r="E80"/>
      <c r="F80"/>
      <c r="G80"/>
      <c r="O80"/>
      <c r="P80"/>
      <c r="Q80"/>
    </row>
    <row r="81" spans="4:17" x14ac:dyDescent="0.3">
      <c r="D81"/>
      <c r="E81"/>
      <c r="F81"/>
      <c r="G81"/>
      <c r="O81"/>
      <c r="P81"/>
      <c r="Q81"/>
    </row>
    <row r="82" spans="4:17" x14ac:dyDescent="0.3">
      <c r="D82"/>
      <c r="E82"/>
      <c r="F82"/>
      <c r="G82"/>
      <c r="O82"/>
      <c r="P82"/>
      <c r="Q82"/>
    </row>
    <row r="83" spans="4:17" x14ac:dyDescent="0.3">
      <c r="D83"/>
      <c r="E83"/>
      <c r="F83"/>
      <c r="G83"/>
      <c r="O83"/>
      <c r="P83"/>
      <c r="Q83"/>
    </row>
    <row r="84" spans="4:17" x14ac:dyDescent="0.3">
      <c r="D84"/>
      <c r="E84"/>
      <c r="F84"/>
      <c r="G84"/>
      <c r="P84"/>
      <c r="Q84"/>
    </row>
    <row r="85" spans="4:17" x14ac:dyDescent="0.3">
      <c r="D85"/>
      <c r="E85"/>
      <c r="F85"/>
      <c r="G85"/>
      <c r="P85"/>
      <c r="Q85"/>
    </row>
    <row r="86" spans="4:17" x14ac:dyDescent="0.3">
      <c r="D86"/>
      <c r="E86"/>
      <c r="F86"/>
      <c r="G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40"/>
  <sheetViews>
    <sheetView topLeftCell="A6" zoomScale="152" workbookViewId="0">
      <selection activeCell="A15" sqref="A15"/>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206</v>
      </c>
      <c r="E14" s="11">
        <v>810</v>
      </c>
      <c r="F14" s="11">
        <v>34300</v>
      </c>
      <c r="G14" s="11">
        <f t="shared" ref="G14:G21" si="2">D14*E14</f>
        <v>166860</v>
      </c>
      <c r="H14" s="11">
        <f>SUMIFS(Table14[Debit], Table14[Date], Table3[[#This Row],[Date]], Table14[Party], Table3[[#This Row],[Party Name]])</f>
        <v>234300</v>
      </c>
      <c r="I14" s="11">
        <f>(D14*E14)-Table3[[#This Row],[Paid]]</f>
        <v>-67440</v>
      </c>
      <c r="N14" s="17">
        <f>SUM(Table3[Total])</f>
        <v>985990</v>
      </c>
    </row>
    <row r="15" spans="1:14" x14ac:dyDescent="0.3">
      <c r="A15" s="1"/>
      <c r="D15" s="11"/>
      <c r="E15" s="11"/>
      <c r="F15" s="11"/>
      <c r="G15" s="11">
        <f t="shared" si="2"/>
        <v>0</v>
      </c>
      <c r="H15" s="11"/>
      <c r="I15" s="11">
        <f>(D15*E15)-Table3[[#This Row],[Paid]]</f>
        <v>0</v>
      </c>
    </row>
    <row r="16" spans="1:14" x14ac:dyDescent="0.3">
      <c r="A16" s="1"/>
      <c r="D16" s="11"/>
      <c r="E16" s="11"/>
      <c r="F16" s="11"/>
      <c r="G16" s="11">
        <f t="shared" si="2"/>
        <v>0</v>
      </c>
      <c r="H16" s="11"/>
      <c r="I16" s="11">
        <f>(D16*E16)-Table3[[#This Row],[Paid]]</f>
        <v>0</v>
      </c>
    </row>
    <row r="17" spans="1:11" x14ac:dyDescent="0.3">
      <c r="A17" s="1"/>
      <c r="D17" s="11"/>
      <c r="E17" s="11"/>
      <c r="F17" s="11"/>
      <c r="G17" s="11">
        <f t="shared" si="2"/>
        <v>0</v>
      </c>
      <c r="H17" s="11"/>
      <c r="I17" s="11">
        <f>(D17*E17)-Table3[[#This Row],[Paid]]</f>
        <v>0</v>
      </c>
    </row>
    <row r="18" spans="1:11" x14ac:dyDescent="0.3">
      <c r="A18" s="1"/>
      <c r="D18" s="11"/>
      <c r="E18" s="11"/>
      <c r="F18" s="11"/>
      <c r="G18" s="11">
        <f t="shared" si="2"/>
        <v>0</v>
      </c>
      <c r="H18" s="11"/>
      <c r="I18" s="11">
        <f>(D18*E18)-Table3[[#This Row],[Paid]]</f>
        <v>0</v>
      </c>
    </row>
    <row r="19" spans="1:11" x14ac:dyDescent="0.3">
      <c r="A19" s="1"/>
      <c r="D19" s="11"/>
      <c r="E19" s="11"/>
      <c r="F19" s="11"/>
      <c r="G19" s="11">
        <f t="shared" si="2"/>
        <v>0</v>
      </c>
      <c r="H19" s="11"/>
      <c r="I19" s="11">
        <f>(D19*E19)-Table3[[#This Row],[Paid]]</f>
        <v>0</v>
      </c>
    </row>
    <row r="20" spans="1:11" x14ac:dyDescent="0.3">
      <c r="A20" s="1"/>
      <c r="D20" s="11"/>
      <c r="E20" s="11"/>
      <c r="F20" s="11"/>
      <c r="G20" s="11">
        <f t="shared" si="2"/>
        <v>0</v>
      </c>
      <c r="H20" s="11"/>
      <c r="I20" s="11">
        <f>(D20*E20)-Table3[[#This Row],[Paid]]</f>
        <v>0</v>
      </c>
    </row>
    <row r="21" spans="1:11" x14ac:dyDescent="0.3">
      <c r="A21" s="1"/>
      <c r="D21" s="11"/>
      <c r="E21" s="11"/>
      <c r="F21" s="11"/>
      <c r="G21" s="11">
        <f t="shared" si="2"/>
        <v>0</v>
      </c>
      <c r="H21" s="11"/>
      <c r="I21" s="11">
        <f>(D21*E21)-Table3[[#This Row],[Paid]]</f>
        <v>0</v>
      </c>
    </row>
    <row r="22" spans="1:11" x14ac:dyDescent="0.3">
      <c r="A22" s="1" t="s">
        <v>102</v>
      </c>
      <c r="D22" s="14"/>
      <c r="E22" s="14"/>
      <c r="F22" s="14"/>
      <c r="G22" s="14">
        <f>SUBTOTAL(109,Table3[Total])</f>
        <v>985990</v>
      </c>
      <c r="H22" s="14">
        <f>SUBTOTAL(109,Table3[Paid])</f>
        <v>1077886</v>
      </c>
      <c r="I22" s="14">
        <f>SUBTOTAL(109,Table3[balance])</f>
        <v>2462981</v>
      </c>
    </row>
    <row r="23" spans="1:11" x14ac:dyDescent="0.3">
      <c r="E23" s="3" t="s">
        <v>2</v>
      </c>
      <c r="F23" t="s">
        <v>89</v>
      </c>
    </row>
    <row r="25" spans="1:11" x14ac:dyDescent="0.3">
      <c r="E25" s="3" t="s">
        <v>103</v>
      </c>
      <c r="F25" t="s">
        <v>104</v>
      </c>
      <c r="G25" t="s">
        <v>105</v>
      </c>
      <c r="H25" t="s">
        <v>106</v>
      </c>
      <c r="I25" t="s">
        <v>107</v>
      </c>
    </row>
    <row r="26" spans="1:11" x14ac:dyDescent="0.3">
      <c r="E26" s="27">
        <v>45916</v>
      </c>
      <c r="F26" s="14">
        <v>579</v>
      </c>
      <c r="G26" s="14">
        <v>448190</v>
      </c>
      <c r="H26" s="14">
        <v>361826</v>
      </c>
      <c r="I26" s="14">
        <v>2641241</v>
      </c>
    </row>
    <row r="27" spans="1:11" x14ac:dyDescent="0.3">
      <c r="E27" s="49" t="s">
        <v>108</v>
      </c>
      <c r="F27" s="14">
        <v>80</v>
      </c>
      <c r="G27" s="14">
        <v>44000</v>
      </c>
      <c r="H27" s="14">
        <v>0</v>
      </c>
      <c r="I27" s="14">
        <v>44000</v>
      </c>
    </row>
    <row r="28" spans="1:11" x14ac:dyDescent="0.3">
      <c r="E28" s="49" t="s">
        <v>99</v>
      </c>
      <c r="F28" s="14"/>
      <c r="G28" s="14">
        <v>0</v>
      </c>
      <c r="H28" s="14">
        <v>0</v>
      </c>
      <c r="I28" s="14">
        <v>2554877</v>
      </c>
    </row>
    <row r="29" spans="1:11" x14ac:dyDescent="0.3">
      <c r="E29" s="49">
        <v>112</v>
      </c>
      <c r="F29" s="14">
        <v>237</v>
      </c>
      <c r="G29" s="14">
        <v>191970</v>
      </c>
      <c r="H29" s="14">
        <v>361826</v>
      </c>
      <c r="I29" s="14">
        <v>-169856</v>
      </c>
      <c r="K29" s="14"/>
    </row>
    <row r="30" spans="1:11" x14ac:dyDescent="0.3">
      <c r="E30" s="49">
        <v>1435</v>
      </c>
      <c r="F30" s="14">
        <v>262</v>
      </c>
      <c r="G30" s="14">
        <v>212220</v>
      </c>
      <c r="H30" s="14"/>
      <c r="I30" s="14">
        <v>212220</v>
      </c>
    </row>
    <row r="31" spans="1:11" x14ac:dyDescent="0.3">
      <c r="E31" s="27">
        <v>45917</v>
      </c>
      <c r="F31" s="14">
        <v>261</v>
      </c>
      <c r="G31" s="14">
        <v>143550</v>
      </c>
      <c r="H31" s="14">
        <v>120000</v>
      </c>
      <c r="I31" s="14">
        <v>23550</v>
      </c>
    </row>
    <row r="32" spans="1:11" x14ac:dyDescent="0.3">
      <c r="E32" s="49" t="s">
        <v>108</v>
      </c>
      <c r="F32" s="14">
        <v>261</v>
      </c>
      <c r="G32" s="14">
        <v>143550</v>
      </c>
      <c r="H32" s="14">
        <v>120000</v>
      </c>
      <c r="I32" s="14">
        <v>23550</v>
      </c>
    </row>
    <row r="33" spans="5:9" x14ac:dyDescent="0.3">
      <c r="E33" s="27">
        <v>45918</v>
      </c>
      <c r="F33" s="14">
        <v>291</v>
      </c>
      <c r="G33" s="14">
        <v>227390</v>
      </c>
      <c r="H33" s="14">
        <v>361760</v>
      </c>
      <c r="I33" s="14">
        <v>-134370</v>
      </c>
    </row>
    <row r="34" spans="5:9" x14ac:dyDescent="0.3">
      <c r="E34" s="49" t="s">
        <v>108</v>
      </c>
      <c r="F34" s="14">
        <v>32</v>
      </c>
      <c r="G34" s="14">
        <v>17600</v>
      </c>
      <c r="H34" s="14">
        <v>120000</v>
      </c>
      <c r="I34" s="14">
        <v>-102400</v>
      </c>
    </row>
    <row r="35" spans="5:9" x14ac:dyDescent="0.3">
      <c r="E35" s="49">
        <v>4646</v>
      </c>
      <c r="F35" s="14">
        <v>259</v>
      </c>
      <c r="G35" s="14">
        <v>209790</v>
      </c>
      <c r="H35" s="14">
        <v>241760</v>
      </c>
      <c r="I35" s="14">
        <v>-31970</v>
      </c>
    </row>
    <row r="36" spans="5:9" x14ac:dyDescent="0.3">
      <c r="E36" s="27" t="s">
        <v>108</v>
      </c>
      <c r="F36" s="14"/>
      <c r="G36" s="14">
        <v>0</v>
      </c>
      <c r="H36" s="14"/>
      <c r="I36" s="14">
        <v>0</v>
      </c>
    </row>
    <row r="37" spans="5:9" x14ac:dyDescent="0.3">
      <c r="E37" s="49" t="s">
        <v>108</v>
      </c>
      <c r="F37" s="14"/>
      <c r="G37" s="14">
        <v>0</v>
      </c>
      <c r="H37" s="14"/>
      <c r="I37" s="14">
        <v>0</v>
      </c>
    </row>
    <row r="38" spans="5:9" x14ac:dyDescent="0.3">
      <c r="E38" s="27">
        <v>45919</v>
      </c>
      <c r="F38" s="14">
        <v>206</v>
      </c>
      <c r="G38" s="14">
        <v>166860</v>
      </c>
      <c r="H38" s="14">
        <v>234300</v>
      </c>
      <c r="I38" s="14">
        <v>-67440</v>
      </c>
    </row>
    <row r="39" spans="5:9" x14ac:dyDescent="0.3">
      <c r="E39" s="49">
        <v>1196</v>
      </c>
      <c r="F39" s="14">
        <v>206</v>
      </c>
      <c r="G39" s="14">
        <v>166860</v>
      </c>
      <c r="H39" s="14">
        <v>234300</v>
      </c>
      <c r="I39" s="14">
        <v>-67440</v>
      </c>
    </row>
    <row r="40" spans="5:9" x14ac:dyDescent="0.3">
      <c r="E40" s="27" t="s">
        <v>28</v>
      </c>
      <c r="F40" s="14">
        <v>1337</v>
      </c>
      <c r="G40" s="14">
        <v>985990</v>
      </c>
      <c r="H40" s="14">
        <v>1077886</v>
      </c>
      <c r="I40" s="14">
        <v>2462981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3"/>
  <sheetViews>
    <sheetView topLeftCell="A35" zoomScale="132" workbookViewId="0">
      <selection activeCell="B44" sqref="B4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12665</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1344432</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1719419</v>
      </c>
      <c r="M5" s="53" t="s">
        <v>113</v>
      </c>
      <c r="N5" s="54">
        <f>(SUMIFS(Table14[Credit],Table14[Mode],"Bank")-SUMIFS(Table14[Debit],Table14[Mode],"Bank")-SUMIFS(Table14[Withdrawal],Table14[Mode],"Transfer"))</f>
        <v>177842</v>
      </c>
      <c r="O5">
        <v>320</v>
      </c>
    </row>
    <row r="6" spans="1:16" x14ac:dyDescent="0.3">
      <c r="A6" s="104">
        <v>45916</v>
      </c>
      <c r="B6" t="s">
        <v>27</v>
      </c>
      <c r="C6" s="11"/>
      <c r="D6" s="11">
        <v>100000</v>
      </c>
      <c r="F6" s="52" t="s">
        <v>114</v>
      </c>
      <c r="J6" s="60" t="s">
        <v>43</v>
      </c>
      <c r="K6" s="61">
        <f>(K5-K4)</f>
        <v>374987</v>
      </c>
      <c r="M6" s="53" t="s">
        <v>114</v>
      </c>
      <c r="N6" s="54">
        <f>((SUMIFS(Table14[Credit],Table14[Mode],"Cash")-SUMIFS(Table14[Debit],Table14[Mode],"Cash"))+SUMIFS(Table14[Withdrawal],Table14[Party],"Cash",Table14[Mode],"Transfer"))</f>
        <v>197145</v>
      </c>
      <c r="O6">
        <v>1520</v>
      </c>
    </row>
    <row r="7" spans="1:16" x14ac:dyDescent="0.3">
      <c r="A7" s="104">
        <v>45916</v>
      </c>
      <c r="B7" t="s">
        <v>9</v>
      </c>
      <c r="C7" s="11"/>
      <c r="D7" s="11">
        <v>100000</v>
      </c>
      <c r="F7" s="52" t="s">
        <v>114</v>
      </c>
      <c r="M7" s="56" t="s">
        <v>5</v>
      </c>
      <c r="N7" s="57">
        <f>SUM(N5:N6)</f>
        <v>374987</v>
      </c>
      <c r="O7" s="99">
        <f>SUM(O5,O6)</f>
        <v>1840</v>
      </c>
      <c r="P7" s="14">
        <f>Table18[[#Totals],[amount]]-Table18[[#Totals],[Actual]]</f>
        <v>373147</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113</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1">
        <v>34300</v>
      </c>
      <c r="D42" s="11"/>
      <c r="E42" t="s">
        <v>194</v>
      </c>
      <c r="F42" s="52" t="s">
        <v>114</v>
      </c>
    </row>
    <row r="43" spans="1:6" x14ac:dyDescent="0.3">
      <c r="A43" s="43">
        <v>45919</v>
      </c>
      <c r="B43" t="s">
        <v>98</v>
      </c>
      <c r="C43" s="11">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121000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7" x14ac:dyDescent="0.3">
      <c r="A49" s="43">
        <v>45919</v>
      </c>
      <c r="B49" t="s">
        <v>119</v>
      </c>
      <c r="C49" s="11">
        <v>11185</v>
      </c>
      <c r="D49" s="11"/>
      <c r="E49" t="s">
        <v>200</v>
      </c>
      <c r="F49" s="52" t="s">
        <v>113</v>
      </c>
    </row>
    <row r="50" spans="1:7" x14ac:dyDescent="0.3">
      <c r="A50" s="104">
        <v>45919</v>
      </c>
      <c r="B50" t="s">
        <v>9</v>
      </c>
      <c r="C50" s="11"/>
      <c r="D50" s="11">
        <v>84190</v>
      </c>
      <c r="E50" t="s">
        <v>201</v>
      </c>
      <c r="F50" s="52" t="s">
        <v>113</v>
      </c>
    </row>
    <row r="51" spans="1:7" x14ac:dyDescent="0.3">
      <c r="A51" s="104">
        <v>45919</v>
      </c>
      <c r="B51" t="s">
        <v>55</v>
      </c>
      <c r="C51" s="11">
        <v>8230</v>
      </c>
      <c r="D51" s="11"/>
      <c r="E51" t="s">
        <v>198</v>
      </c>
      <c r="F51" s="52" t="s">
        <v>113</v>
      </c>
    </row>
    <row r="52" spans="1:7" x14ac:dyDescent="0.3">
      <c r="A52" s="43">
        <v>45919</v>
      </c>
      <c r="B52" t="s">
        <v>54</v>
      </c>
      <c r="C52" s="47">
        <v>2500</v>
      </c>
      <c r="D52" s="47"/>
      <c r="E52" t="s">
        <v>202</v>
      </c>
      <c r="F52" s="52" t="s">
        <v>114</v>
      </c>
    </row>
    <row r="53" spans="1:7" x14ac:dyDescent="0.3">
      <c r="A53" s="110">
        <v>45919</v>
      </c>
      <c r="B53" t="s">
        <v>54</v>
      </c>
      <c r="C53" s="11">
        <v>5330</v>
      </c>
      <c r="D53" s="11"/>
      <c r="E53" t="s">
        <v>203</v>
      </c>
      <c r="F53" s="52" t="s">
        <v>114</v>
      </c>
    </row>
    <row r="54" spans="1:7" x14ac:dyDescent="0.3">
      <c r="A54" s="111"/>
      <c r="B54" s="109"/>
      <c r="C54" s="47"/>
      <c r="D54" s="47"/>
      <c r="E54" s="109"/>
      <c r="F54" s="112"/>
      <c r="G54" s="109"/>
    </row>
    <row r="55" spans="1:7" x14ac:dyDescent="0.3">
      <c r="A55" s="43"/>
      <c r="C55" s="14">
        <f>SUBTOTAL(109,Table14[Debit])</f>
        <v>1344432</v>
      </c>
      <c r="D55" s="14">
        <f>SUBTOTAL(109,Table14[Credit])</f>
        <v>1719419</v>
      </c>
      <c r="F55" s="62">
        <f>(Table14[[#Totals],[Credit]]-Table14[[#Totals],[Debit]])</f>
        <v>374987</v>
      </c>
    </row>
    <row r="163" spans="10:12" x14ac:dyDescent="0.3">
      <c r="J163" s="3" t="s">
        <v>6</v>
      </c>
      <c r="K163" t="s">
        <v>126</v>
      </c>
      <c r="L163" t="s">
        <v>127</v>
      </c>
    </row>
    <row r="164" spans="10:12" x14ac:dyDescent="0.3">
      <c r="J164" s="4" t="s">
        <v>123</v>
      </c>
      <c r="K164" s="14"/>
      <c r="L164" s="14">
        <v>14000</v>
      </c>
    </row>
    <row r="165" spans="10:12" x14ac:dyDescent="0.3">
      <c r="J165" s="4" t="s">
        <v>9</v>
      </c>
      <c r="K165" s="14">
        <v>564706</v>
      </c>
      <c r="L165" s="14"/>
    </row>
    <row r="166" spans="10:12" x14ac:dyDescent="0.3">
      <c r="J166" s="4" t="s">
        <v>21</v>
      </c>
      <c r="K166" s="14">
        <v>386000</v>
      </c>
      <c r="L166" s="14"/>
    </row>
    <row r="167" spans="10:12" x14ac:dyDescent="0.3">
      <c r="J167" s="4" t="s">
        <v>98</v>
      </c>
      <c r="K167" s="14"/>
      <c r="L167" s="14">
        <v>957886</v>
      </c>
    </row>
    <row r="168" spans="10:12" x14ac:dyDescent="0.3">
      <c r="J168" s="4" t="s">
        <v>50</v>
      </c>
      <c r="K168" s="14"/>
      <c r="L168" s="14">
        <v>980</v>
      </c>
    </row>
    <row r="169" spans="10:12" x14ac:dyDescent="0.3">
      <c r="J169" s="4" t="s">
        <v>55</v>
      </c>
      <c r="K169" s="14"/>
      <c r="L169" s="14">
        <v>21951</v>
      </c>
    </row>
    <row r="170" spans="10:12" x14ac:dyDescent="0.3">
      <c r="J170" s="4" t="s">
        <v>119</v>
      </c>
      <c r="K170" s="14"/>
      <c r="L170" s="14">
        <v>11185</v>
      </c>
    </row>
    <row r="171" spans="10:12" x14ac:dyDescent="0.3">
      <c r="J171" s="4" t="s">
        <v>52</v>
      </c>
      <c r="K171" s="14"/>
      <c r="L171" s="14"/>
    </row>
    <row r="172" spans="10:12" x14ac:dyDescent="0.3">
      <c r="J172" s="4" t="s">
        <v>54</v>
      </c>
      <c r="K172" s="14"/>
      <c r="L172" s="14">
        <v>32330</v>
      </c>
    </row>
    <row r="173" spans="10:12" x14ac:dyDescent="0.3">
      <c r="J173" s="4" t="s">
        <v>121</v>
      </c>
      <c r="K173" s="14">
        <v>16050</v>
      </c>
      <c r="L173" s="14">
        <v>11600</v>
      </c>
    </row>
    <row r="174" spans="10:12" x14ac:dyDescent="0.3">
      <c r="J174" s="4" t="s">
        <v>118</v>
      </c>
      <c r="K174" s="14">
        <v>13200</v>
      </c>
      <c r="L174" s="14">
        <v>6500</v>
      </c>
    </row>
    <row r="175" spans="10:12" x14ac:dyDescent="0.3">
      <c r="J175" s="4" t="s">
        <v>22</v>
      </c>
      <c r="K175" s="14">
        <v>247550</v>
      </c>
      <c r="L175" s="14"/>
    </row>
    <row r="176" spans="10:12" x14ac:dyDescent="0.3">
      <c r="J176" s="4" t="s">
        <v>108</v>
      </c>
      <c r="K176" s="14"/>
      <c r="L176" s="14"/>
    </row>
    <row r="177" spans="10:12" x14ac:dyDescent="0.3">
      <c r="J177" s="4" t="s">
        <v>24</v>
      </c>
      <c r="K177" s="14">
        <v>121000</v>
      </c>
      <c r="L177" s="14"/>
    </row>
    <row r="178" spans="10:12" x14ac:dyDescent="0.3">
      <c r="J178" s="4" t="s">
        <v>27</v>
      </c>
      <c r="K178" s="14">
        <v>100000</v>
      </c>
      <c r="L178" s="14"/>
    </row>
    <row r="179" spans="10:12" x14ac:dyDescent="0.3">
      <c r="J179" s="4" t="s">
        <v>159</v>
      </c>
      <c r="K179" s="14"/>
      <c r="L179" s="14">
        <v>120000</v>
      </c>
    </row>
    <row r="180" spans="10:12" x14ac:dyDescent="0.3">
      <c r="J180" s="4" t="s">
        <v>64</v>
      </c>
      <c r="K180" s="14"/>
      <c r="L180" s="14">
        <v>168000</v>
      </c>
    </row>
    <row r="181" spans="10:12" x14ac:dyDescent="0.3">
      <c r="J181" s="4" t="s">
        <v>162</v>
      </c>
      <c r="K181" s="14">
        <v>300000</v>
      </c>
      <c r="L181" s="14"/>
    </row>
    <row r="182" spans="10:12" x14ac:dyDescent="0.3">
      <c r="J182" s="4" t="s">
        <v>167</v>
      </c>
      <c r="K182" s="14">
        <v>-29087</v>
      </c>
      <c r="L182" s="14"/>
    </row>
    <row r="183" spans="10:12" x14ac:dyDescent="0.3">
      <c r="J183" s="4" t="s">
        <v>28</v>
      </c>
      <c r="K183" s="14">
        <v>1719419</v>
      </c>
      <c r="L183" s="14">
        <v>1344432</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A4" sqref="A4"/>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D3" s="113"/>
      <c r="E3">
        <v>121000</v>
      </c>
      <c r="G3">
        <v>121000</v>
      </c>
      <c r="H3" s="113">
        <f>Table8[[#This Row],[Price]]-Table8[[#This Row],[Paid]]</f>
        <v>0</v>
      </c>
      <c r="I3" t="s">
        <v>205</v>
      </c>
      <c r="K3" s="1"/>
      <c r="L3" t="s">
        <v>132</v>
      </c>
      <c r="N3" s="11">
        <f t="shared" ref="N3" si="0">47000+28750</f>
        <v>75750</v>
      </c>
    </row>
    <row r="4" spans="1:14" x14ac:dyDescent="0.3">
      <c r="E4">
        <f>SUBTOTAL(109,Table8[Price])</f>
        <v>121000</v>
      </c>
      <c r="H4">
        <f>SUBTOTAL(109,Table8[Balance])</f>
        <v>708000</v>
      </c>
      <c r="K4" s="1"/>
      <c r="N4" s="11"/>
    </row>
    <row r="5" spans="1:14" x14ac:dyDescent="0.3">
      <c r="K5" s="1"/>
      <c r="N5" s="14">
        <f>SUM(Table7[Total])</f>
        <v>75750</v>
      </c>
    </row>
    <row r="7" spans="1:14" x14ac:dyDescent="0.3">
      <c r="K7" s="3" t="s">
        <v>115</v>
      </c>
      <c r="L7" t="s">
        <v>122</v>
      </c>
    </row>
    <row r="9" spans="1:14" x14ac:dyDescent="0.3">
      <c r="K9" s="3" t="s">
        <v>6</v>
      </c>
      <c r="L9" t="s">
        <v>135</v>
      </c>
      <c r="M9" t="s">
        <v>136</v>
      </c>
    </row>
    <row r="10" spans="1:14" x14ac:dyDescent="0.3">
      <c r="K10" s="27">
        <v>45916</v>
      </c>
      <c r="L10" s="113"/>
      <c r="M10" s="113">
        <v>708000</v>
      </c>
    </row>
    <row r="11" spans="1:14" x14ac:dyDescent="0.3">
      <c r="K11" s="4" t="s">
        <v>28</v>
      </c>
      <c r="L11" s="113"/>
      <c r="M11" s="113">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9"/>
  <sheetViews>
    <sheetView workbookViewId="0">
      <selection activeCell="H15" sqref="H15"/>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c r="G5" s="90">
        <f>SUMIFS(Table14[Debit], Table14[Date], Table2[[#This Row],[Date]], Table14[Party], Table2[[#This Row],[Party Name]])</f>
        <v>0</v>
      </c>
      <c r="H5" s="90">
        <v>310500</v>
      </c>
      <c r="J5" s="4" t="s">
        <v>108</v>
      </c>
      <c r="K5" s="113"/>
      <c r="L5" s="113">
        <v>0</v>
      </c>
      <c r="M5" s="113">
        <v>0</v>
      </c>
    </row>
    <row r="6" spans="1:13" x14ac:dyDescent="0.3">
      <c r="A6" s="93">
        <v>45916</v>
      </c>
      <c r="B6" s="93" t="s">
        <v>124</v>
      </c>
      <c r="C6" s="90" t="s">
        <v>164</v>
      </c>
      <c r="D6" s="90"/>
      <c r="E6" s="90"/>
      <c r="F6" s="90"/>
      <c r="G6" s="90">
        <f>SUMIFS(Table14[Debit], Table14[Date], Table2[[#This Row],[Date]], Table14[Party], Table2[[#This Row],[Party Name]])</f>
        <v>0</v>
      </c>
      <c r="H6" s="90">
        <v>-5000</v>
      </c>
      <c r="J6" s="4" t="s">
        <v>124</v>
      </c>
      <c r="K6" s="113"/>
      <c r="L6" s="113">
        <v>0</v>
      </c>
      <c r="M6" s="113">
        <v>-5000</v>
      </c>
    </row>
    <row r="7" spans="1:13" x14ac:dyDescent="0.3">
      <c r="A7" s="1"/>
      <c r="B7" s="1"/>
      <c r="G7">
        <f>SUMIFS(Table14[Debit], Table14[Date], Table2[[#This Row],[Date]], Table14[Party], Table2[[#This Row],[Party Name]])</f>
        <v>0</v>
      </c>
      <c r="H7">
        <f>Table2[[#This Row],[Price]]-Table2[[#This Row],[Paid]]</f>
        <v>0</v>
      </c>
      <c r="J7" s="4" t="s">
        <v>125</v>
      </c>
      <c r="K7" s="113"/>
      <c r="L7" s="113">
        <v>0</v>
      </c>
      <c r="M7" s="113">
        <v>310500</v>
      </c>
    </row>
    <row r="8" spans="1:13" x14ac:dyDescent="0.3">
      <c r="A8" s="1"/>
      <c r="B8" s="1"/>
      <c r="G8">
        <f>SUMIFS(Table14[Debit], Table14[Date], Table2[[#This Row],[Date]], Table14[Party], Table2[[#This Row],[Party Name]])</f>
        <v>0</v>
      </c>
      <c r="H8">
        <f>Table2[[#This Row],[Price]]-Table2[[#This Row],[Paid]]</f>
        <v>0</v>
      </c>
      <c r="J8" s="4" t="s">
        <v>28</v>
      </c>
      <c r="K8" s="113"/>
      <c r="L8" s="113">
        <v>0</v>
      </c>
      <c r="M8" s="113">
        <v>305500</v>
      </c>
    </row>
    <row r="9" spans="1:13" x14ac:dyDescent="0.3">
      <c r="A9" s="1"/>
      <c r="F9">
        <f>SUBTOTAL(109,Table2[Price])</f>
        <v>0</v>
      </c>
      <c r="G9">
        <f>SUBTOTAL(109,Table2[Paid])</f>
        <v>0</v>
      </c>
      <c r="H9">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zoomScale="118" workbookViewId="0">
      <selection activeCell="H19" sqref="H19"/>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0</v>
      </c>
    </row>
    <row r="8" spans="2:10" x14ac:dyDescent="0.3">
      <c r="B8" s="1">
        <v>45921</v>
      </c>
      <c r="C8" s="20">
        <f>SUMIFS(Table14[Debit], Table14[Date], Table11[[#This Row],[Date]], Table14[Party],"Salary ", Table14[Description],Table11[[#This Row],[Column1]])</f>
        <v>0</v>
      </c>
      <c r="H8" s="1">
        <v>45921</v>
      </c>
      <c r="I8">
        <f>SUMIFS(Table14[Debit], Table14[Date], Table16[[#This Row],[Date]], Table14[Party], "Advance Salary", Table14[Description], Table16[[#This Row],[Person]] )</f>
        <v>0</v>
      </c>
    </row>
    <row r="9" spans="2:10" x14ac:dyDescent="0.3">
      <c r="B9" s="1">
        <v>45922</v>
      </c>
      <c r="C9" s="20">
        <f>SUMIFS(Table14[Debit], Table14[Date], Table11[[#This Row],[Date]], Table14[Party],"Salary ", Table14[Description],Table11[[#This Row],[Column1]])</f>
        <v>0</v>
      </c>
      <c r="H9" s="1">
        <v>45922</v>
      </c>
      <c r="I9">
        <f>SUMIFS(Table14[Debit], Table14[Date], Table16[[#This Row],[Date]], Table14[Party], "Advance Salary", Table14[Description], Table16[[#This Row],[Person]] )</f>
        <v>0</v>
      </c>
    </row>
    <row r="10" spans="2:10" x14ac:dyDescent="0.3">
      <c r="B10" s="1">
        <v>45923</v>
      </c>
      <c r="C10" s="20">
        <f>SUMIFS(Table14[Debit], Table14[Date], Table11[[#This Row],[Date]], Table14[Party],"Salary ", Table14[Description],Table11[[#This Row],[Column1]])</f>
        <v>0</v>
      </c>
      <c r="H10" s="1">
        <v>45923</v>
      </c>
      <c r="I10">
        <f>SUMIFS(Table14[Debit], Table14[Date], Table16[[#This Row],[Date]], Table14[Party], "Advance Salary", Table14[Description], Table16[[#This Row],[Person]] )</f>
        <v>0</v>
      </c>
    </row>
    <row r="11" spans="2:10" x14ac:dyDescent="0.3">
      <c r="B11" s="1">
        <v>45924</v>
      </c>
      <c r="C11" s="20">
        <f>SUMIFS(Table14[Debit], Table14[Date], Table11[[#This Row],[Date]], Table14[Party],"Salary ", Table14[Description],Table11[[#This Row],[Column1]])</f>
        <v>0</v>
      </c>
      <c r="H11" s="1">
        <v>45924</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14000</v>
      </c>
    </row>
    <row r="36" spans="2:9" x14ac:dyDescent="0.3">
      <c r="B36" s="1">
        <v>45949</v>
      </c>
      <c r="C36" s="20">
        <f>SUMIFS(Table14[Debit], Table14[Date], Table11[[#This Row],[Date]], Table14[Party],"Salary ", Table14[Description],Table11[[#This Row],[Column1]])</f>
        <v>0</v>
      </c>
    </row>
    <row r="37" spans="2:9" x14ac:dyDescent="0.3">
      <c r="B37" s="1"/>
      <c r="C37" s="26">
        <f>SUM(Table11[Amount])</f>
        <v>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230884</v>
      </c>
      <c r="C2" s="37">
        <f>GETPIVOTDATA("Sum of Tiyaar/gaz",$A$3)</f>
        <v>178851</v>
      </c>
      <c r="D2" s="36">
        <f>((B2*48)+((C2/1.0936)*10))/C2</f>
        <v>71.108718603030013</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2641</v>
      </c>
      <c r="D13" s="33">
        <f t="shared" si="1"/>
        <v>615.80522440708353</v>
      </c>
      <c r="E13" s="11">
        <f t="shared" si="2"/>
        <v>36503.274399999995</v>
      </c>
      <c r="F13" s="11">
        <f t="shared" si="0"/>
        <v>2641</v>
      </c>
      <c r="G13" s="86">
        <f t="shared" si="4"/>
        <v>92.76503260759533</v>
      </c>
      <c r="H13" s="33">
        <f t="shared" si="3"/>
        <v>2414.9597659107535</v>
      </c>
      <c r="I13" s="33">
        <f t="shared" si="5"/>
        <v>615.80522440708353</v>
      </c>
    </row>
    <row r="14" spans="1:12" x14ac:dyDescent="0.3">
      <c r="A14" s="16">
        <v>1687</v>
      </c>
      <c r="B14" s="14">
        <v>25625</v>
      </c>
      <c r="C14" s="14">
        <v>2190</v>
      </c>
      <c r="D14" s="33">
        <f t="shared" si="1"/>
        <v>570.78794680883038</v>
      </c>
      <c r="E14" s="11">
        <f t="shared" si="2"/>
        <v>28023.499999999996</v>
      </c>
      <c r="F14" s="11">
        <f t="shared" si="0"/>
        <v>2190</v>
      </c>
      <c r="G14" s="86">
        <f t="shared" si="4"/>
        <v>92.185130337038558</v>
      </c>
      <c r="H14" s="33">
        <f t="shared" si="3"/>
        <v>2002.56035113387</v>
      </c>
      <c r="I14" s="33">
        <f t="shared" si="5"/>
        <v>570.78794680883038</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t="s">
        <v>206</v>
      </c>
      <c r="B16" s="14">
        <v>12058</v>
      </c>
      <c r="C16" s="14">
        <v>12882</v>
      </c>
      <c r="D16" s="33">
        <f t="shared" si="1"/>
        <v>54.073780498400481</v>
      </c>
      <c r="E16" s="11">
        <f t="shared" si="2"/>
        <v>13186.628799999999</v>
      </c>
      <c r="F16" s="11">
        <f t="shared" si="0"/>
        <v>12882</v>
      </c>
      <c r="G16" s="86">
        <f t="shared" si="4"/>
        <v>2.3101340351674935</v>
      </c>
      <c r="H16" s="33">
        <f t="shared" si="3"/>
        <v>11779.444038039504</v>
      </c>
      <c r="I16" s="33">
        <f>((B16*48)+(H16*10))/C16</f>
        <v>54.073780498400481</v>
      </c>
    </row>
    <row r="17" spans="1:9" x14ac:dyDescent="0.3">
      <c r="A17" s="16" t="s">
        <v>28</v>
      </c>
      <c r="B17" s="35">
        <v>34908</v>
      </c>
      <c r="C17" s="35">
        <v>178851</v>
      </c>
      <c r="D17" s="33">
        <f t="shared" si="1"/>
        <v>18.512714107667946</v>
      </c>
      <c r="E17" s="11">
        <f t="shared" si="2"/>
        <v>38175.388799999993</v>
      </c>
      <c r="F17" s="11">
        <f t="shared" si="0"/>
        <v>178851</v>
      </c>
      <c r="G17" s="86">
        <f t="shared" si="4"/>
        <v>-368.49817545276721</v>
      </c>
      <c r="H17" s="33">
        <f t="shared" si="3"/>
        <v>163543.34308705197</v>
      </c>
      <c r="I17" s="33">
        <f>((B17*48)+(H17*10))/C17</f>
        <v>18.512714107667946</v>
      </c>
    </row>
    <row r="18" spans="1:9" x14ac:dyDescent="0.3">
      <c r="D18" s="33" t="e">
        <f t="shared" si="1"/>
        <v>#DIV/0!</v>
      </c>
      <c r="E18" s="11">
        <f t="shared" si="2"/>
        <v>0</v>
      </c>
      <c r="F18" s="11">
        <f t="shared" si="0"/>
        <v>0</v>
      </c>
      <c r="G18" s="86" t="e">
        <f t="shared" si="4"/>
        <v>#DIV/0!</v>
      </c>
      <c r="H18" s="33">
        <f t="shared" si="3"/>
        <v>0</v>
      </c>
      <c r="I18" s="33" t="e">
        <f>((B18*48)+(H18*10))/C18</f>
        <v>#DIV/0!</v>
      </c>
    </row>
    <row r="19" spans="1:9" x14ac:dyDescent="0.3">
      <c r="D19" s="33" t="e">
        <f t="shared" si="1"/>
        <v>#DIV/0!</v>
      </c>
      <c r="E19" s="11">
        <f t="shared" si="2"/>
        <v>0</v>
      </c>
      <c r="F19" s="11">
        <f t="shared" si="0"/>
        <v>0</v>
      </c>
      <c r="G19" s="86" t="e">
        <f t="shared" ref="G19:G38" si="6">100- (F19/E19 *100)</f>
        <v>#DIV/0!</v>
      </c>
      <c r="H19" s="33">
        <f t="shared" si="3"/>
        <v>0</v>
      </c>
      <c r="I19" s="33" t="e">
        <f t="shared" si="5"/>
        <v>#DIV/0!</v>
      </c>
    </row>
    <row r="20" spans="1:9" x14ac:dyDescent="0.3">
      <c r="D20" s="33" t="e">
        <f t="shared" si="1"/>
        <v>#DIV/0!</v>
      </c>
      <c r="E20" s="11">
        <f>B20 * 1.0936</f>
        <v>0</v>
      </c>
      <c r="F20" s="11">
        <f t="shared" si="0"/>
        <v>0</v>
      </c>
      <c r="G20" s="86" t="e">
        <f t="shared" si="6"/>
        <v>#DIV/0!</v>
      </c>
      <c r="H20" s="33">
        <f t="shared" si="3"/>
        <v>0</v>
      </c>
      <c r="I20" s="33" t="e">
        <f t="shared" si="5"/>
        <v>#DIV/0!</v>
      </c>
    </row>
    <row r="21" spans="1:9" x14ac:dyDescent="0.3">
      <c r="D21" s="33" t="e">
        <f t="shared" si="1"/>
        <v>#DIV/0!</v>
      </c>
      <c r="E21" s="11">
        <f t="shared" si="2"/>
        <v>0</v>
      </c>
      <c r="F21" s="11">
        <f t="shared" si="0"/>
        <v>0</v>
      </c>
      <c r="G21" s="86" t="e">
        <f t="shared" si="6"/>
        <v>#DIV/0!</v>
      </c>
      <c r="H21" s="33">
        <f t="shared" si="3"/>
        <v>0</v>
      </c>
      <c r="I21" s="33" t="e">
        <f t="shared" si="5"/>
        <v>#DIV/0!</v>
      </c>
    </row>
    <row r="22" spans="1:9" x14ac:dyDescent="0.3">
      <c r="D22" s="33" t="e">
        <f t="shared" si="1"/>
        <v>#DIV/0!</v>
      </c>
      <c r="E22" s="11">
        <f t="shared" si="2"/>
        <v>0</v>
      </c>
      <c r="F22" s="11">
        <f t="shared" si="0"/>
        <v>0</v>
      </c>
      <c r="G22" s="86" t="e">
        <f t="shared" si="6"/>
        <v>#DIV/0!</v>
      </c>
      <c r="H22" s="33">
        <f t="shared" si="3"/>
        <v>0</v>
      </c>
      <c r="I22" s="33" t="e">
        <f t="shared" si="5"/>
        <v>#DIV/0!</v>
      </c>
    </row>
    <row r="23" spans="1:9" x14ac:dyDescent="0.3">
      <c r="D23" s="33" t="e">
        <f t="shared" si="1"/>
        <v>#DIV/0!</v>
      </c>
      <c r="E23" s="11">
        <f t="shared" si="2"/>
        <v>0</v>
      </c>
      <c r="F23" s="11">
        <f t="shared" si="0"/>
        <v>0</v>
      </c>
      <c r="G23" s="86" t="e">
        <f t="shared" si="6"/>
        <v>#DIV/0!</v>
      </c>
      <c r="H23" s="33">
        <f t="shared" si="3"/>
        <v>0</v>
      </c>
      <c r="I23" s="33" t="e">
        <f t="shared" si="5"/>
        <v>#DIV/0!</v>
      </c>
    </row>
    <row r="24" spans="1:9" x14ac:dyDescent="0.3">
      <c r="D24" s="33" t="e">
        <f t="shared" si="1"/>
        <v>#DIV/0!</v>
      </c>
      <c r="E24" s="11">
        <f t="shared" si="2"/>
        <v>0</v>
      </c>
      <c r="F24" s="11">
        <f t="shared" si="0"/>
        <v>0</v>
      </c>
      <c r="G24" s="86" t="e">
        <f t="shared" si="6"/>
        <v>#DIV/0!</v>
      </c>
      <c r="H24" s="33">
        <f t="shared" si="3"/>
        <v>0</v>
      </c>
      <c r="I24" s="33" t="e">
        <f t="shared" si="5"/>
        <v>#DIV/0!</v>
      </c>
    </row>
    <row r="25" spans="1:9" x14ac:dyDescent="0.3">
      <c r="D25" s="33" t="e">
        <f t="shared" si="1"/>
        <v>#DIV/0!</v>
      </c>
      <c r="E25" s="11">
        <f t="shared" si="2"/>
        <v>0</v>
      </c>
      <c r="F25" s="11">
        <f t="shared" si="0"/>
        <v>0</v>
      </c>
      <c r="G25" s="86" t="e">
        <f t="shared" si="6"/>
        <v>#DIV/0!</v>
      </c>
      <c r="H25" s="33">
        <f t="shared" si="3"/>
        <v>0</v>
      </c>
      <c r="I25" s="33" t="e">
        <f t="shared" si="5"/>
        <v>#DIV/0!</v>
      </c>
    </row>
    <row r="26" spans="1:9" x14ac:dyDescent="0.3">
      <c r="D26" s="33" t="e">
        <f t="shared" si="1"/>
        <v>#DIV/0!</v>
      </c>
      <c r="E26" s="11">
        <f t="shared" si="2"/>
        <v>0</v>
      </c>
      <c r="F26" s="11">
        <f t="shared" si="0"/>
        <v>0</v>
      </c>
      <c r="G26" s="86" t="e">
        <f t="shared" si="6"/>
        <v>#DIV/0!</v>
      </c>
      <c r="H26" s="33">
        <f t="shared" si="3"/>
        <v>0</v>
      </c>
      <c r="I26" s="33" t="e">
        <f t="shared" si="5"/>
        <v>#DIV/0!</v>
      </c>
    </row>
    <row r="27" spans="1:9" x14ac:dyDescent="0.3">
      <c r="D27" s="33" t="e">
        <f t="shared" si="1"/>
        <v>#DIV/0!</v>
      </c>
      <c r="E27" s="11">
        <f t="shared" si="2"/>
        <v>0</v>
      </c>
      <c r="F27" s="11">
        <f t="shared" si="0"/>
        <v>0</v>
      </c>
      <c r="G27" s="86" t="e">
        <f t="shared" si="6"/>
        <v>#DIV/0!</v>
      </c>
      <c r="H27" s="33">
        <f t="shared" si="3"/>
        <v>0</v>
      </c>
      <c r="I27" s="33" t="e">
        <f t="shared" si="5"/>
        <v>#DIV/0!</v>
      </c>
    </row>
    <row r="28" spans="1:9" x14ac:dyDescent="0.3">
      <c r="D28" s="33" t="e">
        <f t="shared" si="1"/>
        <v>#DIV/0!</v>
      </c>
      <c r="E28" s="11">
        <f t="shared" si="2"/>
        <v>0</v>
      </c>
      <c r="F28" s="11">
        <f t="shared" si="0"/>
        <v>0</v>
      </c>
      <c r="G28" s="86" t="e">
        <f t="shared" si="6"/>
        <v>#DIV/0!</v>
      </c>
      <c r="H28" s="33">
        <f t="shared" si="3"/>
        <v>0</v>
      </c>
      <c r="I28" s="33" t="e">
        <f t="shared" si="5"/>
        <v>#DIV/0!</v>
      </c>
    </row>
    <row r="29" spans="1:9" x14ac:dyDescent="0.3">
      <c r="D29" s="33" t="e">
        <f t="shared" si="1"/>
        <v>#DIV/0!</v>
      </c>
      <c r="E29" s="11">
        <f t="shared" si="2"/>
        <v>0</v>
      </c>
      <c r="F29" s="11">
        <f t="shared" si="0"/>
        <v>0</v>
      </c>
      <c r="G29" s="86" t="e">
        <f t="shared" si="6"/>
        <v>#DIV/0!</v>
      </c>
      <c r="H29" s="33">
        <f t="shared" si="3"/>
        <v>0</v>
      </c>
      <c r="I29" s="33" t="e">
        <f t="shared" si="5"/>
        <v>#DIV/0!</v>
      </c>
    </row>
    <row r="30" spans="1:9" x14ac:dyDescent="0.3">
      <c r="D30" s="33" t="e">
        <f t="shared" si="1"/>
        <v>#DIV/0!</v>
      </c>
      <c r="E30" s="11">
        <f t="shared" si="2"/>
        <v>0</v>
      </c>
      <c r="F30" s="11">
        <f t="shared" si="0"/>
        <v>0</v>
      </c>
      <c r="G30" s="86" t="e">
        <f t="shared" si="6"/>
        <v>#DIV/0!</v>
      </c>
      <c r="H30" s="33">
        <f t="shared" si="3"/>
        <v>0</v>
      </c>
      <c r="I30" s="33" t="e">
        <f t="shared" si="5"/>
        <v>#DIV/0!</v>
      </c>
    </row>
    <row r="31" spans="1:9" x14ac:dyDescent="0.3">
      <c r="D31" s="33" t="e">
        <f t="shared" si="1"/>
        <v>#DIV/0!</v>
      </c>
      <c r="E31" s="11">
        <f t="shared" si="2"/>
        <v>0</v>
      </c>
      <c r="F31" s="11">
        <f t="shared" si="0"/>
        <v>0</v>
      </c>
      <c r="G31" s="86" t="e">
        <f t="shared" si="6"/>
        <v>#DIV/0!</v>
      </c>
      <c r="H31" s="33">
        <f t="shared" si="3"/>
        <v>0</v>
      </c>
      <c r="I31" s="33" t="e">
        <f t="shared" si="5"/>
        <v>#DIV/0!</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0</v>
      </c>
    </row>
    <row r="8" spans="2:10" x14ac:dyDescent="0.3">
      <c r="B8" s="1">
        <v>45921</v>
      </c>
      <c r="C8" t="s">
        <v>119</v>
      </c>
      <c r="D8">
        <f>SUMIFS(Table14[Debit], Table14[Date], Table5[[#This Row],[Date]], Table14[Party], "Rashan")</f>
        <v>0</v>
      </c>
      <c r="H8" s="1">
        <v>45921</v>
      </c>
      <c r="J8">
        <f>SUMIFS(Table14[Debit], Table14[Date], Table15[[#This Row],[Date]], Table14[Party], "Parts")</f>
        <v>0</v>
      </c>
    </row>
    <row r="9" spans="2:10" x14ac:dyDescent="0.3">
      <c r="B9" s="1">
        <v>45922</v>
      </c>
      <c r="C9" t="s">
        <v>119</v>
      </c>
      <c r="D9">
        <f>SUMIFS(Table14[Debit], Table14[Date], Table5[[#This Row],[Date]], Table14[Party], "Rashan")</f>
        <v>0</v>
      </c>
      <c r="H9" s="1">
        <v>45922</v>
      </c>
      <c r="J9">
        <f>SUMIFS(Table14[Debit], Table14[Date], Table15[[#This Row],[Date]], Table14[Party], "Parts")</f>
        <v>0</v>
      </c>
    </row>
    <row r="10" spans="2:10" x14ac:dyDescent="0.3">
      <c r="B10" s="1">
        <v>45923</v>
      </c>
      <c r="C10" t="s">
        <v>119</v>
      </c>
      <c r="D10">
        <f>SUMIFS(Table14[Debit], Table14[Date], Table5[[#This Row],[Date]], Table14[Party], "Rashan")</f>
        <v>0</v>
      </c>
      <c r="H10" s="1">
        <v>45923</v>
      </c>
      <c r="J10">
        <f>SUMIFS(Table14[Debit], Table14[Date], Table15[[#This Row],[Date]], Table14[Party], "Parts")</f>
        <v>0</v>
      </c>
    </row>
    <row r="11" spans="2:10" x14ac:dyDescent="0.3">
      <c r="B11" s="1">
        <v>45924</v>
      </c>
      <c r="C11" t="s">
        <v>119</v>
      </c>
      <c r="D11">
        <f>SUMIFS(Table14[Debit], Table14[Date], Table5[[#This Row],[Date]], Table14[Party], "Rashan")</f>
        <v>0</v>
      </c>
      <c r="H11" s="1">
        <v>45924</v>
      </c>
      <c r="J11">
        <f>SUMIFS(Table14[Debit], Table14[Date], Table15[[#This Row],[Date]], Table14[Party], "Parts")</f>
        <v>0</v>
      </c>
    </row>
    <row r="12" spans="2:10" x14ac:dyDescent="0.3">
      <c r="B12" s="1">
        <v>45925</v>
      </c>
      <c r="C12" t="s">
        <v>119</v>
      </c>
      <c r="D12">
        <f>SUMIFS(Table14[Debit], Table14[Date], Table5[[#This Row],[Date]], Table14[Party], "Rashan")</f>
        <v>0</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11185</v>
      </c>
      <c r="H35" s="1"/>
      <c r="J35">
        <f>SUM(Table15[Amount])</f>
        <v>21951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3" sqref="B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7544783</v>
      </c>
    </row>
    <row r="3" spans="1:2" x14ac:dyDescent="0.3">
      <c r="A3" t="str">
        <f>Billing!O6</f>
        <v>Ejaz Sahab</v>
      </c>
      <c r="B3" s="14">
        <f>Billing!W6</f>
        <v>859904</v>
      </c>
    </row>
    <row r="4" spans="1:2" x14ac:dyDescent="0.3">
      <c r="A4" t="str">
        <f>Billing!O7</f>
        <v>Arshad</v>
      </c>
      <c r="B4" s="14">
        <f>Billing!W7</f>
        <v>1318916</v>
      </c>
    </row>
    <row r="5" spans="1:2" x14ac:dyDescent="0.3">
      <c r="A5" t="str">
        <f>Billing!O8</f>
        <v>Shehzad Kamoki</v>
      </c>
      <c r="B5" s="14">
        <f>Billing!W8</f>
        <v>1125940</v>
      </c>
    </row>
    <row r="6" spans="1:2" x14ac:dyDescent="0.3">
      <c r="A6" t="str">
        <f>Billing!O9</f>
        <v>Sufi Nawaz Sahab</v>
      </c>
      <c r="B6" s="14">
        <f>Billing!W9</f>
        <v>4200100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Azam</v>
      </c>
      <c r="B9" s="14">
        <f>Billing!W12</f>
        <v>500000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Hafiz Qureshi</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2025-09-19T20:03:06Z</dcterms:modified>
  <cp:category/>
  <cp:contentStatus/>
</cp:coreProperties>
</file>