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707" documentId="8_{04F26ED9-7C3F-46BE-B42F-003E2A3A444E}" xr6:coauthVersionLast="47" xr6:coauthVersionMax="47" xr10:uidLastSave="{FE2D0F57-4B7D-4920-9383-60B562308C41}"/>
  <bookViews>
    <workbookView xWindow="-108" yWindow="-108" windowWidth="23256" windowHeight="12456" firstSheet="8" activeTab="1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21" l="1"/>
  <c r="A3" i="21"/>
  <c r="B3" i="21" s="1"/>
  <c r="A4" i="21"/>
  <c r="B4" i="21" s="1"/>
  <c r="A5" i="21"/>
  <c r="B5" i="21" s="1"/>
  <c r="A6" i="21"/>
  <c r="A7" i="21"/>
  <c r="A8" i="21"/>
  <c r="A9" i="21"/>
  <c r="A10" i="21"/>
  <c r="A11" i="21"/>
  <c r="A12" i="21"/>
  <c r="A13" i="21"/>
  <c r="B12" i="21"/>
  <c r="B13" i="21"/>
  <c r="A2" i="21"/>
  <c r="B2" i="21" s="1"/>
  <c r="A2" i="20"/>
  <c r="B6" i="21"/>
  <c r="B7" i="21"/>
  <c r="B8" i="21"/>
  <c r="B9" i="21"/>
  <c r="B10" i="21"/>
  <c r="B11" i="21"/>
  <c r="J44" i="9"/>
  <c r="B44" i="9" a="1"/>
  <c r="B44" i="9" s="1"/>
  <c r="I71" i="1"/>
  <c r="J71" i="1" a="1"/>
  <c r="J71" i="1" s="1"/>
  <c r="I72" i="1"/>
  <c r="J72" i="1" s="1" a="1"/>
  <c r="J72" i="1" s="1"/>
  <c r="I73" i="1"/>
  <c r="J73" i="1" s="1" a="1"/>
  <c r="J73" i="1" s="1"/>
  <c r="I74" i="1"/>
  <c r="J74" i="1" s="1" a="1"/>
  <c r="J74" i="1" s="1"/>
  <c r="I75" i="1"/>
  <c r="J75" i="1" s="1" a="1"/>
  <c r="J75" i="1" s="1"/>
  <c r="I76" i="1"/>
  <c r="J76" i="1" s="1" a="1"/>
  <c r="J76" i="1" s="1"/>
  <c r="I77" i="1"/>
  <c r="J77" i="1" a="1"/>
  <c r="J77" i="1" s="1"/>
  <c r="I78" i="1"/>
  <c r="J78" i="1" s="1" a="1"/>
  <c r="J78" i="1" s="1"/>
  <c r="I79" i="1"/>
  <c r="J79" i="1" s="1" a="1"/>
  <c r="J79" i="1" s="1"/>
  <c r="I80" i="1"/>
  <c r="J80" i="1" s="1" a="1"/>
  <c r="J80" i="1" s="1"/>
  <c r="I81" i="1"/>
  <c r="J81" i="1" s="1" a="1"/>
  <c r="J81" i="1" s="1"/>
  <c r="I82" i="1"/>
  <c r="J82" i="1" s="1" a="1"/>
  <c r="J82" i="1" s="1"/>
  <c r="I83" i="1"/>
  <c r="J83" i="1" a="1"/>
  <c r="J83" i="1" s="1"/>
  <c r="H46" i="6"/>
  <c r="I46" i="6" s="1"/>
  <c r="G46" i="6"/>
  <c r="I63" i="1" l="1"/>
  <c r="J63" i="1" s="1" a="1"/>
  <c r="J63" i="1" s="1"/>
  <c r="I64" i="1"/>
  <c r="J64" i="1" s="1" a="1"/>
  <c r="J64" i="1" s="1"/>
  <c r="I65" i="1"/>
  <c r="J65" i="1" s="1" a="1"/>
  <c r="J65" i="1" s="1"/>
  <c r="I66" i="1"/>
  <c r="J66" i="1" s="1" a="1"/>
  <c r="J66" i="1" s="1"/>
  <c r="I67" i="1"/>
  <c r="J67" i="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I13" i="1"/>
  <c r="J13" i="1" s="1" a="1"/>
  <c r="J13" i="1" s="1"/>
  <c r="D3" i="17"/>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G12" i="15"/>
  <c r="H12" i="15" s="1"/>
  <c r="F12" i="15"/>
  <c r="H6" i="7"/>
  <c r="I52" i="1"/>
  <c r="J52" i="1" s="1" a="1"/>
  <c r="J52" i="1" s="1"/>
  <c r="I53" i="1"/>
  <c r="J53" i="1" s="1" a="1"/>
  <c r="J53" i="1" s="1"/>
  <c r="I54" i="1"/>
  <c r="J54" i="1" s="1" a="1"/>
  <c r="J54" i="1" s="1"/>
  <c r="I55" i="1"/>
  <c r="J55" i="1" a="1"/>
  <c r="J55" i="1" s="1"/>
  <c r="I56" i="1"/>
  <c r="J56" i="1" s="1" a="1"/>
  <c r="J56" i="1" s="1"/>
  <c r="H35" i="6"/>
  <c r="I35" i="6" s="1"/>
  <c r="G35" i="6"/>
  <c r="G5" i="7"/>
  <c r="H5" i="7" s="1"/>
  <c r="H15" i="7" s="1"/>
  <c r="H3" i="7"/>
  <c r="H4" i="7"/>
  <c r="D145" i="17"/>
  <c r="I51" i="1"/>
  <c r="J51" i="1" s="1" a="1"/>
  <c r="J51" i="1" s="1"/>
  <c r="H33" i="6"/>
  <c r="I33" i="6" s="1"/>
  <c r="H32" i="6"/>
  <c r="I32" i="6" s="1"/>
  <c r="G32" i="6"/>
  <c r="G33" i="6"/>
  <c r="I42" i="1"/>
  <c r="J42" i="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G47" i="6" s="1"/>
  <c r="O5" i="9" a="1"/>
  <c r="A8"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G34" i="2" s="1"/>
  <c r="E35" i="2"/>
  <c r="F35" i="2"/>
  <c r="G35" i="2"/>
  <c r="H67" i="1" s="1"/>
  <c r="H35" i="2"/>
  <c r="I35" i="2"/>
  <c r="D35" i="2" s="1"/>
  <c r="E36" i="2"/>
  <c r="F36" i="2"/>
  <c r="H36" i="2"/>
  <c r="I36" i="2" s="1"/>
  <c r="D36" i="2" s="1"/>
  <c r="E37" i="2"/>
  <c r="F37" i="2"/>
  <c r="G37" i="2" s="1"/>
  <c r="H68" i="1" s="1"/>
  <c r="E39" i="2"/>
  <c r="F39" i="2"/>
  <c r="G39" i="2" s="1"/>
  <c r="H71" i="1" s="1"/>
  <c r="E40" i="2"/>
  <c r="F40" i="2"/>
  <c r="G40" i="2" s="1"/>
  <c r="H40" i="2"/>
  <c r="I40" i="2"/>
  <c r="D40" i="2" s="1"/>
  <c r="E41" i="2"/>
  <c r="F41" i="2"/>
  <c r="G41" i="2" s="1"/>
  <c r="E42" i="2"/>
  <c r="F42" i="2"/>
  <c r="G42" i="2" s="1"/>
  <c r="E43" i="2"/>
  <c r="G43" i="2" s="1"/>
  <c r="F43" i="2"/>
  <c r="H43" i="2" s="1"/>
  <c r="I43" i="2" s="1"/>
  <c r="D43" i="2" s="1"/>
  <c r="E44" i="2"/>
  <c r="F44" i="2"/>
  <c r="H44" i="2" s="1"/>
  <c r="I44" i="2" s="1"/>
  <c r="D44" i="2" s="1"/>
  <c r="G44" i="2"/>
  <c r="F38" i="2"/>
  <c r="H38" i="2"/>
  <c r="I38" i="2" s="1"/>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s="1"/>
  <c r="F22" i="2"/>
  <c r="H22" i="2"/>
  <c r="I22" i="2" s="1"/>
  <c r="D22" i="2" s="1"/>
  <c r="F23" i="2"/>
  <c r="G23" i="2" s="1"/>
  <c r="H46" i="1" s="1"/>
  <c r="F24" i="2"/>
  <c r="H24" i="2" s="1"/>
  <c r="I24" i="2" s="1"/>
  <c r="D24" i="2" s="1"/>
  <c r="F25" i="2"/>
  <c r="H25" i="2"/>
  <c r="I25" i="2" s="1"/>
  <c r="D25" i="2" s="1"/>
  <c r="F26" i="2"/>
  <c r="H26" i="2"/>
  <c r="I26" i="2" s="1"/>
  <c r="D26" i="2" s="1"/>
  <c r="F27" i="2"/>
  <c r="G27" i="2" s="1"/>
  <c r="F28" i="2"/>
  <c r="H28" i="2"/>
  <c r="I28" i="2" s="1"/>
  <c r="D28" i="2" s="1"/>
  <c r="G28" i="2"/>
  <c r="H52" i="1" s="1"/>
  <c r="F29" i="2"/>
  <c r="G29" i="2" s="1"/>
  <c r="H54" i="1" s="1"/>
  <c r="F30" i="2"/>
  <c r="G30" i="2" s="1"/>
  <c r="H30" i="2"/>
  <c r="I30" i="2" s="1"/>
  <c r="D30" i="2" s="1"/>
  <c r="F31" i="2"/>
  <c r="H31" i="2"/>
  <c r="I31" i="2"/>
  <c r="D31" i="2"/>
  <c r="F32" i="2"/>
  <c r="H32" i="2"/>
  <c r="I32" i="2" s="1"/>
  <c r="D32" i="2" s="1"/>
  <c r="E22" i="2"/>
  <c r="G22" i="2" s="1"/>
  <c r="H45" i="1" s="1"/>
  <c r="E23" i="2"/>
  <c r="E24" i="2"/>
  <c r="G24" i="2"/>
  <c r="H49" i="1" s="1"/>
  <c r="E25" i="2"/>
  <c r="G25" i="2" s="1"/>
  <c r="H48" i="1" s="1"/>
  <c r="E26" i="2"/>
  <c r="E27" i="2"/>
  <c r="E28" i="2"/>
  <c r="E29" i="2"/>
  <c r="E30" i="2"/>
  <c r="E31" i="2"/>
  <c r="G31" i="2" s="1"/>
  <c r="H56" i="1" s="1"/>
  <c r="E32" i="2"/>
  <c r="E20" i="2"/>
  <c r="E21" i="2"/>
  <c r="N4" i="17"/>
  <c r="F20" i="2"/>
  <c r="G20" i="2" s="1"/>
  <c r="H20" i="2"/>
  <c r="I20" i="2" s="1"/>
  <c r="D20" i="2" s="1"/>
  <c r="E15" i="2"/>
  <c r="E16" i="2"/>
  <c r="E17" i="2"/>
  <c r="E18" i="2"/>
  <c r="E19" i="2"/>
  <c r="E7" i="2"/>
  <c r="G7" i="2" s="1"/>
  <c r="H18" i="1" s="1"/>
  <c r="E8" i="2"/>
  <c r="E9" i="2"/>
  <c r="E10" i="2"/>
  <c r="E11" i="2"/>
  <c r="E12" i="2"/>
  <c r="E13" i="2"/>
  <c r="E14" i="2"/>
  <c r="E5" i="2"/>
  <c r="E6" i="2"/>
  <c r="G6" i="2" s="1"/>
  <c r="E4" i="2"/>
  <c r="F13" i="2"/>
  <c r="G13" i="2" s="1"/>
  <c r="F14" i="2"/>
  <c r="G14" i="2" s="1"/>
  <c r="F15" i="2"/>
  <c r="G15" i="2" s="1"/>
  <c r="H15" i="2"/>
  <c r="I15" i="2" s="1"/>
  <c r="D15" i="2" s="1"/>
  <c r="F16" i="2"/>
  <c r="H16" i="2" s="1"/>
  <c r="I16" i="2" s="1"/>
  <c r="D16" i="2" s="1"/>
  <c r="F17" i="2"/>
  <c r="H17" i="2"/>
  <c r="I17" i="2" s="1"/>
  <c r="D17" i="2" s="1"/>
  <c r="G17" i="2"/>
  <c r="H37" i="1"/>
  <c r="F18" i="2"/>
  <c r="H18" i="2"/>
  <c r="I18" i="2" s="1"/>
  <c r="D18" i="2" s="1"/>
  <c r="F19" i="2"/>
  <c r="H19" i="2" s="1"/>
  <c r="I19" i="2" s="1"/>
  <c r="D19" i="2" s="1"/>
  <c r="C8" i="8"/>
  <c r="F11" i="2"/>
  <c r="G11" i="2" s="1"/>
  <c r="H11" i="2"/>
  <c r="I11" i="2" s="1"/>
  <c r="F10" i="2"/>
  <c r="G10" i="2" s="1"/>
  <c r="H21" i="1" s="1"/>
  <c r="F6" i="2"/>
  <c r="H6" i="2" s="1"/>
  <c r="I6" i="2" s="1"/>
  <c r="D6" i="2" s="1"/>
  <c r="F7" i="2"/>
  <c r="H7" i="2"/>
  <c r="I7" i="2"/>
  <c r="D7" i="2" s="1"/>
  <c r="F8" i="2"/>
  <c r="G8" i="2" s="1"/>
  <c r="H19" i="1" s="1"/>
  <c r="F9" i="2"/>
  <c r="H9" i="2" s="1"/>
  <c r="I9" i="2" s="1"/>
  <c r="D9" i="2" s="1"/>
  <c r="N3" i="7"/>
  <c r="N5" i="7"/>
  <c r="E6" i="11"/>
  <c r="D6" i="11"/>
  <c r="F12" i="2"/>
  <c r="H12" i="2" s="1"/>
  <c r="I12" i="2" s="1"/>
  <c r="D12" i="2" s="1"/>
  <c r="F5" i="2"/>
  <c r="H5" i="2" s="1"/>
  <c r="I5" i="2" s="1"/>
  <c r="D5" i="2" s="1"/>
  <c r="G5" i="2"/>
  <c r="F3" i="2"/>
  <c r="F4" i="2"/>
  <c r="G4" i="2" s="1"/>
  <c r="H4" i="2"/>
  <c r="I4" i="2" s="1"/>
  <c r="D4" i="2" s="1"/>
  <c r="F13" i="15"/>
  <c r="G55" i="2"/>
  <c r="H47" i="2"/>
  <c r="I47" i="2"/>
  <c r="D47" i="2"/>
  <c r="C7" i="8"/>
  <c r="G54" i="2"/>
  <c r="G49" i="2"/>
  <c r="H57" i="2"/>
  <c r="I57" i="2"/>
  <c r="D57" i="2"/>
  <c r="G53" i="2"/>
  <c r="C16" i="12"/>
  <c r="H54" i="2"/>
  <c r="I54" i="2"/>
  <c r="D54" i="2"/>
  <c r="H53" i="2"/>
  <c r="I53" i="2"/>
  <c r="D53" i="2"/>
  <c r="J15" i="14"/>
  <c r="H61" i="2"/>
  <c r="I61" i="2"/>
  <c r="D61" i="2"/>
  <c r="G48" i="2"/>
  <c r="H59" i="2"/>
  <c r="I59" i="2"/>
  <c r="D59" i="2"/>
  <c r="C216" i="17"/>
  <c r="K4" i="17" s="1"/>
  <c r="C16" i="10"/>
  <c r="H62" i="2"/>
  <c r="I62" i="2"/>
  <c r="D62" i="2"/>
  <c r="H60" i="2"/>
  <c r="I60" i="2"/>
  <c r="D60" i="2"/>
  <c r="H58" i="2"/>
  <c r="I58" i="2"/>
  <c r="D58" i="2"/>
  <c r="G51" i="2"/>
  <c r="G46" i="2"/>
  <c r="H50" i="2"/>
  <c r="I50" i="2"/>
  <c r="D50" i="2"/>
  <c r="B2" i="2"/>
  <c r="I9" i="1"/>
  <c r="J9" i="1" s="1" a="1"/>
  <c r="J9" i="1" s="1"/>
  <c r="I11" i="1"/>
  <c r="J11" i="1" s="1" a="1"/>
  <c r="J11" i="1" s="1"/>
  <c r="H7" i="1"/>
  <c r="H3" i="1"/>
  <c r="H8" i="1"/>
  <c r="H12" i="1"/>
  <c r="H2" i="1"/>
  <c r="H6" i="1"/>
  <c r="H13" i="1"/>
  <c r="H11" i="1"/>
  <c r="H5" i="1"/>
  <c r="H4" i="1"/>
  <c r="H14" i="1"/>
  <c r="H9" i="1"/>
  <c r="H10" i="1"/>
  <c r="E15" i="7"/>
  <c r="C5" i="8"/>
  <c r="H47" i="1"/>
  <c r="G32" i="2"/>
  <c r="H58" i="1" s="1"/>
  <c r="G21" i="2"/>
  <c r="H44" i="1" s="1"/>
  <c r="N6" i="17"/>
  <c r="I8" i="1"/>
  <c r="J8" i="1" s="1" a="1"/>
  <c r="J8" i="1" s="1"/>
  <c r="I2" i="1"/>
  <c r="J2" i="1" s="1" a="1"/>
  <c r="J2" i="1" s="1"/>
  <c r="I10" i="1"/>
  <c r="J10" i="1" s="1" a="1"/>
  <c r="J10" i="1" s="1"/>
  <c r="I4" i="1"/>
  <c r="J4" i="1" s="1" a="1"/>
  <c r="J4" i="1" s="1"/>
  <c r="I6" i="1"/>
  <c r="J6" i="1" s="1" a="1"/>
  <c r="J6" i="1" s="1"/>
  <c r="I3" i="1"/>
  <c r="J3" i="1" s="1" a="1"/>
  <c r="J3" i="1" s="1"/>
  <c r="I5" i="1"/>
  <c r="J5" i="1" s="1" a="1"/>
  <c r="J5" i="1" s="1"/>
  <c r="I7" i="1"/>
  <c r="J7" i="1" s="1" a="1"/>
  <c r="J7" i="1" s="1"/>
  <c r="I14" i="1"/>
  <c r="J14" i="1" s="1" a="1"/>
  <c r="J14" i="1" s="1"/>
  <c r="I12" i="1"/>
  <c r="J12" i="1" s="1" a="1"/>
  <c r="J12" i="1" s="1"/>
  <c r="D2" i="17"/>
  <c r="C2" i="2"/>
  <c r="H42" i="1" l="1"/>
  <c r="H30" i="1"/>
  <c r="H35" i="1"/>
  <c r="H22" i="1"/>
  <c r="H28" i="1"/>
  <c r="H32" i="1"/>
  <c r="H24" i="1"/>
  <c r="H33" i="1"/>
  <c r="H64" i="1"/>
  <c r="H55" i="1"/>
  <c r="H14" i="2"/>
  <c r="I14" i="2" s="1"/>
  <c r="D14" i="2" s="1"/>
  <c r="H29" i="2"/>
  <c r="I29" i="2" s="1"/>
  <c r="D29" i="2" s="1"/>
  <c r="H23" i="2"/>
  <c r="I23" i="2" s="1"/>
  <c r="D23" i="2" s="1"/>
  <c r="H41" i="2"/>
  <c r="I41" i="2" s="1"/>
  <c r="D41" i="2" s="1"/>
  <c r="H33" i="2"/>
  <c r="I33" i="2" s="1"/>
  <c r="D33" i="2" s="1"/>
  <c r="H13" i="2"/>
  <c r="I13" i="2" s="1"/>
  <c r="D13" i="2" s="1"/>
  <c r="G36" i="2"/>
  <c r="H66" i="1" s="1"/>
  <c r="G19" i="2"/>
  <c r="H59" i="1" s="1"/>
  <c r="H10" i="2"/>
  <c r="I10" i="2" s="1"/>
  <c r="D10" i="2" s="1"/>
  <c r="G18" i="2"/>
  <c r="H39" i="2"/>
  <c r="I39" i="2" s="1"/>
  <c r="D39" i="2" s="1"/>
  <c r="G26" i="2"/>
  <c r="H50" i="1" s="1"/>
  <c r="B16" i="9"/>
  <c r="J38" i="9"/>
  <c r="T17" i="9" a="1"/>
  <c r="T17" i="9" s="1"/>
  <c r="H38" i="9" a="1"/>
  <c r="H38" i="9" s="1"/>
  <c r="U17" i="9" a="1"/>
  <c r="U17" i="9" s="1"/>
  <c r="G38" i="9" a="1"/>
  <c r="G38" i="9" s="1"/>
  <c r="I38" i="9" s="1"/>
  <c r="S17" i="9" a="1"/>
  <c r="S17" i="9" s="1"/>
  <c r="W17" i="9"/>
  <c r="B14" i="20" s="1"/>
  <c r="R17" i="9" a="1"/>
  <c r="R17" i="9" s="1"/>
  <c r="Q17" i="9" a="1"/>
  <c r="Q17" i="9" s="1"/>
  <c r="P17" i="9" a="1"/>
  <c r="P17" i="9" s="1"/>
  <c r="H79" i="1"/>
  <c r="H76" i="1"/>
  <c r="H80" i="1"/>
  <c r="H75" i="1"/>
  <c r="H63" i="1"/>
  <c r="H62" i="1"/>
  <c r="H27" i="1"/>
  <c r="H29" i="1"/>
  <c r="H26" i="1"/>
  <c r="H34" i="1"/>
  <c r="H17" i="1"/>
  <c r="H16" i="1"/>
  <c r="H38" i="1"/>
  <c r="H39" i="1"/>
  <c r="H43" i="1"/>
  <c r="H61" i="1"/>
  <c r="H41" i="1"/>
  <c r="H69" i="1"/>
  <c r="H70" i="1"/>
  <c r="H51" i="1"/>
  <c r="H53" i="1"/>
  <c r="G12" i="2"/>
  <c r="H23" i="1" s="1"/>
  <c r="H8" i="2"/>
  <c r="I8" i="2" s="1"/>
  <c r="D8" i="2" s="1"/>
  <c r="G45" i="2"/>
  <c r="H72" i="1"/>
  <c r="H31" i="1"/>
  <c r="H25" i="1"/>
  <c r="G9" i="2"/>
  <c r="H20" i="1" s="1"/>
  <c r="H65" i="1"/>
  <c r="H42" i="2"/>
  <c r="I42" i="2" s="1"/>
  <c r="D42" i="2" s="1"/>
  <c r="G16" i="2"/>
  <c r="H36" i="1" s="1"/>
  <c r="H37" i="2"/>
  <c r="I37" i="2" s="1"/>
  <c r="D37" i="2" s="1"/>
  <c r="H27" i="2"/>
  <c r="I27" i="2" s="1"/>
  <c r="D27" i="2" s="1"/>
  <c r="H78" i="1"/>
  <c r="H83" i="1"/>
  <c r="H82" i="1"/>
  <c r="H73" i="1"/>
  <c r="H74" i="1"/>
  <c r="H57" i="1"/>
  <c r="H77" i="1"/>
  <c r="H81" i="1"/>
  <c r="H34" i="2"/>
  <c r="I34" i="2" s="1"/>
  <c r="D34" i="2" s="1"/>
  <c r="C16" i="9"/>
  <c r="E16" i="9"/>
  <c r="A14" i="20"/>
  <c r="V18" i="9"/>
  <c r="X18" i="9" s="1"/>
  <c r="V19" i="9"/>
  <c r="X19" i="9" s="1"/>
  <c r="U16" i="9" a="1"/>
  <c r="U16" i="9" s="1"/>
  <c r="E51" i="9"/>
  <c r="R12" i="9" s="1" a="1"/>
  <c r="R12" i="9" s="1"/>
  <c r="R16" i="9" a="1"/>
  <c r="R16" i="9" s="1"/>
  <c r="B15" i="9"/>
  <c r="H50" i="9"/>
  <c r="U11" i="9" s="1" a="1"/>
  <c r="U11" i="9" s="1"/>
  <c r="D50" i="9"/>
  <c r="Q11" i="9" s="1" a="1"/>
  <c r="Q11" i="9" s="1"/>
  <c r="E50" i="9"/>
  <c r="R11" i="9" s="1" a="1"/>
  <c r="R11" i="9" s="1"/>
  <c r="E49" i="9"/>
  <c r="R10" i="9" s="1" a="1"/>
  <c r="R10" i="9" s="1"/>
  <c r="G45" i="9"/>
  <c r="T6" i="9" s="1" a="1"/>
  <c r="T6" i="9" s="1"/>
  <c r="F48" i="9"/>
  <c r="S9" i="9" s="1" a="1"/>
  <c r="S9" i="9" s="1"/>
  <c r="G51" i="9"/>
  <c r="T12" i="9" s="1" a="1"/>
  <c r="T12" i="9" s="1"/>
  <c r="G47" i="9"/>
  <c r="T8" i="9" s="1" a="1"/>
  <c r="T8" i="9" s="1"/>
  <c r="F50" i="9"/>
  <c r="S11" i="9" s="1" a="1"/>
  <c r="S11" i="9" s="1"/>
  <c r="J46" i="9"/>
  <c r="W7" i="9" s="1"/>
  <c r="C54" i="9"/>
  <c r="P15" i="9" s="1" a="1"/>
  <c r="P15" i="9" s="1"/>
  <c r="C53" i="9"/>
  <c r="P14" i="9" s="1" a="1"/>
  <c r="P14" i="9" s="1"/>
  <c r="H31" i="9" a="1"/>
  <c r="H31" i="9" s="1"/>
  <c r="B6" i="9"/>
  <c r="H53" i="9"/>
  <c r="U14" i="9" s="1" a="1"/>
  <c r="U14" i="9" s="1"/>
  <c r="D46" i="9"/>
  <c r="Q7" i="9" s="1" a="1"/>
  <c r="Q7" i="9" s="1"/>
  <c r="J35" i="9"/>
  <c r="C46" i="9"/>
  <c r="P7" i="9" s="1" a="1"/>
  <c r="P7" i="9" s="1"/>
  <c r="G27" i="9" a="1"/>
  <c r="G27" i="9" s="1"/>
  <c r="H32" i="9" a="1"/>
  <c r="H32" i="9" s="1"/>
  <c r="H37" i="9" a="1"/>
  <c r="H37" i="9" s="1"/>
  <c r="C49" i="9"/>
  <c r="P10" i="9" s="1" a="1"/>
  <c r="P10" i="9" s="1"/>
  <c r="C48" i="9"/>
  <c r="P9" i="9" s="1" a="1"/>
  <c r="P9" i="9" s="1"/>
  <c r="C47" i="9"/>
  <c r="P8" i="9" s="1" a="1"/>
  <c r="P8" i="9" s="1"/>
  <c r="J30" i="9"/>
  <c r="J31" i="9"/>
  <c r="J51" i="9"/>
  <c r="W12" i="9" s="1"/>
  <c r="B9" i="20" s="1"/>
  <c r="G36" i="9" a="1"/>
  <c r="G36" i="9" s="1"/>
  <c r="J50" i="9"/>
  <c r="W11" i="9" s="1"/>
  <c r="B8" i="20" s="1"/>
  <c r="B9" i="9"/>
  <c r="G46" i="9"/>
  <c r="T7" i="9" s="1" a="1"/>
  <c r="T7" i="9" s="1"/>
  <c r="E46" i="9"/>
  <c r="R7" i="9" s="1" a="1"/>
  <c r="R7" i="9" s="1"/>
  <c r="A10" i="20"/>
  <c r="H47" i="9"/>
  <c r="U8" i="9" s="1" a="1"/>
  <c r="U8" i="9" s="1"/>
  <c r="E54" i="9"/>
  <c r="R15" i="9" s="1" a="1"/>
  <c r="R15" i="9" s="1"/>
  <c r="A4" i="20"/>
  <c r="D53" i="9"/>
  <c r="Q14" i="9" s="1" a="1"/>
  <c r="Q14" i="9" s="1"/>
  <c r="J32" i="9"/>
  <c r="G30" i="9" a="1"/>
  <c r="G30" i="9" s="1"/>
  <c r="C51" i="9"/>
  <c r="P12" i="9" s="1" a="1"/>
  <c r="P12" i="9" s="1"/>
  <c r="G52" i="9"/>
  <c r="T13" i="9" s="1" a="1"/>
  <c r="T13" i="9" s="1"/>
  <c r="A5" i="20"/>
  <c r="F47" i="9"/>
  <c r="S8" i="9" s="1" a="1"/>
  <c r="S8" i="9" s="1"/>
  <c r="F51" i="9"/>
  <c r="S12" i="9" s="1" a="1"/>
  <c r="S12" i="9" s="1"/>
  <c r="B7" i="9"/>
  <c r="H52" i="9"/>
  <c r="U13" i="9" s="1" a="1"/>
  <c r="U13" i="9" s="1"/>
  <c r="J34" i="9"/>
  <c r="F54" i="9"/>
  <c r="S15" i="9" s="1" a="1"/>
  <c r="S15" i="9" s="1"/>
  <c r="H30" i="9" a="1"/>
  <c r="H30" i="9" s="1"/>
  <c r="H49" i="9"/>
  <c r="U10" i="9" s="1" a="1"/>
  <c r="U10" i="9" s="1"/>
  <c r="B14" i="9"/>
  <c r="H29" i="9" a="1"/>
  <c r="H29" i="9" s="1"/>
  <c r="H36" i="9" a="1"/>
  <c r="H36" i="9" s="1"/>
  <c r="G29" i="9" a="1"/>
  <c r="G29" i="9" s="1"/>
  <c r="A3" i="20"/>
  <c r="B26" i="9"/>
  <c r="J26" i="9" s="1"/>
  <c r="J36" i="9"/>
  <c r="H28" i="9" a="1"/>
  <c r="H28" i="9" s="1"/>
  <c r="A11" i="20"/>
  <c r="G49" i="9"/>
  <c r="T10" i="9" s="1" a="1"/>
  <c r="T10" i="9" s="1"/>
  <c r="E53" i="9"/>
  <c r="R14" i="9" s="1" a="1"/>
  <c r="R14" i="9" s="1"/>
  <c r="F53" i="9"/>
  <c r="S14" i="9" s="1" a="1"/>
  <c r="S14" i="9" s="1"/>
  <c r="J47" i="9"/>
  <c r="W8" i="9" s="1"/>
  <c r="B5" i="20" s="1"/>
  <c r="A12" i="20"/>
  <c r="A6" i="20"/>
  <c r="G33" i="9" a="1"/>
  <c r="G33" i="9" s="1"/>
  <c r="F46" i="9"/>
  <c r="S7" i="9" s="1" a="1"/>
  <c r="S7" i="9" s="1"/>
  <c r="H54" i="9"/>
  <c r="U15" i="9" s="1" a="1"/>
  <c r="U15" i="9" s="1"/>
  <c r="G34" i="9" a="1"/>
  <c r="G34" i="9" s="1"/>
  <c r="B12" i="9"/>
  <c r="B11" i="9"/>
  <c r="J27" i="9"/>
  <c r="D54" i="9"/>
  <c r="Q15" i="9" s="1" a="1"/>
  <c r="Q15" i="9" s="1"/>
  <c r="D49" i="9"/>
  <c r="Q10" i="9" s="1" a="1"/>
  <c r="Q10" i="9" s="1"/>
  <c r="H34" i="9" a="1"/>
  <c r="H34" i="9" s="1"/>
  <c r="J53" i="9"/>
  <c r="W14" i="9" s="1"/>
  <c r="B11" i="20" s="1"/>
  <c r="H35" i="9" a="1"/>
  <c r="H35" i="9" s="1"/>
  <c r="H48" i="9"/>
  <c r="U9" i="9" s="1" a="1"/>
  <c r="U9" i="9" s="1"/>
  <c r="B13" i="9"/>
  <c r="G48" i="9"/>
  <c r="T9" i="9" s="1" a="1"/>
  <c r="T9" i="9" s="1"/>
  <c r="J52" i="9"/>
  <c r="W13" i="9" s="1"/>
  <c r="B10" i="20" s="1"/>
  <c r="A9" i="20"/>
  <c r="G50" i="9"/>
  <c r="C50" i="9"/>
  <c r="P11" i="9" s="1" a="1"/>
  <c r="P11" i="9" s="1"/>
  <c r="F49" i="9"/>
  <c r="S10" i="9" s="1" a="1"/>
  <c r="S10" i="9" s="1"/>
  <c r="G35" i="9" a="1"/>
  <c r="G35" i="9" s="1"/>
  <c r="J49" i="9"/>
  <c r="W10" i="9" s="1"/>
  <c r="B7" i="20" s="1"/>
  <c r="O5" i="9"/>
  <c r="G37" i="9" a="1"/>
  <c r="G37" i="9" s="1"/>
  <c r="D47" i="9"/>
  <c r="Q8" i="9" s="1" a="1"/>
  <c r="Q8" i="9" s="1"/>
  <c r="T16" i="9" a="1"/>
  <c r="T16" i="9" s="1"/>
  <c r="C52" i="9"/>
  <c r="P13" i="9" s="1" a="1"/>
  <c r="P13" i="9" s="1"/>
  <c r="F52" i="9"/>
  <c r="S13" i="9" s="1" a="1"/>
  <c r="S13" i="9" s="1"/>
  <c r="Q16" i="9" a="1"/>
  <c r="Q16" i="9" s="1"/>
  <c r="P16" i="9" a="1"/>
  <c r="P16" i="9" s="1"/>
  <c r="H46" i="9"/>
  <c r="U7" i="9" s="1" a="1"/>
  <c r="U7" i="9" s="1"/>
  <c r="J33" i="9"/>
  <c r="H27" i="9" a="1"/>
  <c r="H27" i="9" s="1"/>
  <c r="J29" i="9"/>
  <c r="D48" i="9"/>
  <c r="Q9" i="9" s="1" a="1"/>
  <c r="Q9" i="9" s="1"/>
  <c r="E47" i="9"/>
  <c r="R8" i="9" s="1" a="1"/>
  <c r="R8" i="9" s="1"/>
  <c r="J28" i="9"/>
  <c r="G31" i="9" a="1"/>
  <c r="G31" i="9" s="1"/>
  <c r="G32" i="9" a="1"/>
  <c r="G32" i="9" s="1"/>
  <c r="H33" i="9" a="1"/>
  <c r="H33" i="9" s="1"/>
  <c r="D51" i="9"/>
  <c r="Q12" i="9" s="1" a="1"/>
  <c r="Q12" i="9" s="1"/>
  <c r="J45" i="9"/>
  <c r="W6" i="9" s="1"/>
  <c r="B3" i="20" s="1"/>
  <c r="S16" i="9" a="1"/>
  <c r="S16" i="9" s="1"/>
  <c r="B5" i="9"/>
  <c r="B10" i="9"/>
  <c r="G54" i="9"/>
  <c r="T15" i="9" s="1" a="1"/>
  <c r="T15" i="9" s="1"/>
  <c r="E45" i="9"/>
  <c r="R6" i="9" s="1" a="1"/>
  <c r="R6" i="9" s="1"/>
  <c r="E52" i="9"/>
  <c r="R13" i="9" s="1" a="1"/>
  <c r="R13" i="9" s="1"/>
  <c r="D45" i="9"/>
  <c r="Q6" i="9" s="1" a="1"/>
  <c r="Q6" i="9" s="1"/>
  <c r="F45" i="9"/>
  <c r="S6" i="9" s="1" a="1"/>
  <c r="S6" i="9" s="1"/>
  <c r="J48" i="9"/>
  <c r="W9" i="9" s="1"/>
  <c r="B6" i="20" s="1"/>
  <c r="G53" i="9"/>
  <c r="T14" i="9" s="1" a="1"/>
  <c r="T14" i="9" s="1"/>
  <c r="E48" i="9"/>
  <c r="R9" i="9" s="1" a="1"/>
  <c r="R9" i="9" s="1"/>
  <c r="W16" i="9"/>
  <c r="B13" i="20" s="1"/>
  <c r="D52" i="9"/>
  <c r="Q13" i="9" s="1" a="1"/>
  <c r="Q13" i="9" s="1"/>
  <c r="H51" i="9"/>
  <c r="U12" i="9" s="1" a="1"/>
  <c r="U12" i="9" s="1"/>
  <c r="H45" i="9"/>
  <c r="U6" i="9" s="1" a="1"/>
  <c r="U6" i="9" s="1"/>
  <c r="J54" i="9"/>
  <c r="W15" i="9" s="1"/>
  <c r="B12" i="20" s="1"/>
  <c r="G28" i="9" a="1"/>
  <c r="G28" i="9" s="1"/>
  <c r="B8" i="9"/>
  <c r="J37" i="9"/>
  <c r="C45" i="9"/>
  <c r="P6" i="9" s="1" a="1"/>
  <c r="P6" i="9" s="1"/>
  <c r="A7" i="20"/>
  <c r="A13" i="20"/>
  <c r="N14" i="6"/>
  <c r="C4" i="8" s="1"/>
  <c r="I84" i="1" a="1"/>
  <c r="I84" i="1" s="1"/>
  <c r="H13" i="15"/>
  <c r="E35" i="18"/>
  <c r="D35" i="14"/>
  <c r="C10" i="8" s="1"/>
  <c r="I35" i="12"/>
  <c r="D216" i="17"/>
  <c r="F216" i="17" s="1"/>
  <c r="G13" i="15"/>
  <c r="J35" i="14"/>
  <c r="C12" i="8" s="1"/>
  <c r="H47" i="6"/>
  <c r="D35" i="18"/>
  <c r="C37" i="12"/>
  <c r="I47" i="6"/>
  <c r="L41" i="6" s="1"/>
  <c r="C12" i="10"/>
  <c r="N5" i="17"/>
  <c r="N7" i="17" s="1"/>
  <c r="C19" i="10" s="1"/>
  <c r="D2" i="2"/>
  <c r="K84" i="1"/>
  <c r="J84" i="1" a="1"/>
  <c r="J84" i="1" s="1"/>
  <c r="K38" i="9" l="1"/>
  <c r="H40" i="1"/>
  <c r="V17" i="9"/>
  <c r="X17" i="9" s="1"/>
  <c r="I28" i="9"/>
  <c r="I29" i="9"/>
  <c r="D14" i="19" a="1"/>
  <c r="D14" i="19" s="1"/>
  <c r="D12" i="19" a="1"/>
  <c r="D12" i="19" s="1"/>
  <c r="V12" i="9"/>
  <c r="X12" i="9" s="1"/>
  <c r="C9" i="20" s="1"/>
  <c r="I37" i="9"/>
  <c r="K37" i="9" s="1"/>
  <c r="B4" i="20"/>
  <c r="E18" i="19" a="1"/>
  <c r="E18" i="19" s="1"/>
  <c r="V7" i="9"/>
  <c r="X7" i="9" s="1"/>
  <c r="E20" i="19" s="1" a="1"/>
  <c r="E20" i="19" s="1"/>
  <c r="V13" i="9"/>
  <c r="X13" i="9" s="1"/>
  <c r="C10" i="20" s="1"/>
  <c r="I48" i="9"/>
  <c r="K48" i="9" s="1"/>
  <c r="I35" i="9"/>
  <c r="K35" i="9" s="1"/>
  <c r="I53" i="9"/>
  <c r="K53" i="9" s="1"/>
  <c r="I31" i="9"/>
  <c r="K31" i="9" s="1"/>
  <c r="I50" i="9"/>
  <c r="K50" i="9" s="1"/>
  <c r="I32" i="9"/>
  <c r="K32" i="9" s="1"/>
  <c r="V15" i="9"/>
  <c r="X15" i="9" s="1"/>
  <c r="C12" i="20" s="1"/>
  <c r="V16" i="9"/>
  <c r="X16" i="9" s="1"/>
  <c r="C13" i="20" s="1"/>
  <c r="I30" i="9"/>
  <c r="K30" i="9" s="1"/>
  <c r="D10" i="19" a="1"/>
  <c r="D10" i="19" s="1"/>
  <c r="V6" i="9"/>
  <c r="X6" i="9" s="1"/>
  <c r="C3" i="20" s="1"/>
  <c r="V14" i="9"/>
  <c r="X14" i="9" s="1"/>
  <c r="C11" i="20" s="1"/>
  <c r="I51" i="9"/>
  <c r="K51" i="9" s="1"/>
  <c r="E5" i="9"/>
  <c r="C5" i="9"/>
  <c r="C12" i="9"/>
  <c r="E12" i="9"/>
  <c r="E14" i="9"/>
  <c r="C14" i="9"/>
  <c r="I46" i="9"/>
  <c r="K46" i="9" s="1"/>
  <c r="E6" i="9"/>
  <c r="C6" i="9"/>
  <c r="I34" i="9"/>
  <c r="K34" i="9" s="1"/>
  <c r="I52" i="9"/>
  <c r="K52" i="9" s="1"/>
  <c r="C9" i="9"/>
  <c r="E9" i="9" a="1"/>
  <c r="E9" i="9" s="1"/>
  <c r="I45" i="9"/>
  <c r="K45" i="9" s="1"/>
  <c r="E10" i="9"/>
  <c r="C10" i="9"/>
  <c r="E11" i="9"/>
  <c r="C11" i="9"/>
  <c r="E8" i="9"/>
  <c r="C8" i="9"/>
  <c r="K29" i="9"/>
  <c r="C13" i="9"/>
  <c r="E13" i="9"/>
  <c r="I49" i="9"/>
  <c r="K49" i="9" s="1"/>
  <c r="I36" i="9"/>
  <c r="K36" i="9" s="1"/>
  <c r="E15" i="9"/>
  <c r="C15" i="9"/>
  <c r="V10" i="9"/>
  <c r="X10" i="9" s="1"/>
  <c r="C7" i="20" s="1"/>
  <c r="I54" i="9"/>
  <c r="K54" i="9" s="1"/>
  <c r="T11" i="9" a="1"/>
  <c r="T11" i="9" s="1"/>
  <c r="V11" i="9" s="1"/>
  <c r="X11" i="9" s="1"/>
  <c r="C8" i="20" s="1"/>
  <c r="I33" i="9"/>
  <c r="K33" i="9" s="1"/>
  <c r="V9" i="9"/>
  <c r="X9" i="9" s="1"/>
  <c r="C6" i="20" s="1"/>
  <c r="V8" i="9"/>
  <c r="X8" i="9" s="1"/>
  <c r="C5" i="20" s="1"/>
  <c r="D44" i="9"/>
  <c r="Q5" i="9" s="1" a="1"/>
  <c r="Q5" i="9" s="1"/>
  <c r="F44" i="9"/>
  <c r="S5" i="9" s="1" a="1"/>
  <c r="S5" i="9" s="1"/>
  <c r="D26" i="9" a="1"/>
  <c r="D26" i="9" s="1"/>
  <c r="E44" i="9"/>
  <c r="R5" i="9" s="1" a="1"/>
  <c r="R5" i="9" s="1"/>
  <c r="C12" i="19" a="1"/>
  <c r="C12" i="19" s="1"/>
  <c r="F26" i="9" a="1"/>
  <c r="F26" i="9" s="1"/>
  <c r="E26" i="9" a="1"/>
  <c r="E26" i="9" s="1"/>
  <c r="G44" i="9"/>
  <c r="W5" i="9"/>
  <c r="B2" i="20" s="1"/>
  <c r="C44" i="9"/>
  <c r="P5" i="9" s="1" a="1"/>
  <c r="P5" i="9" s="1"/>
  <c r="G26" i="9" a="1"/>
  <c r="G26" i="9" s="1"/>
  <c r="C26" i="9" a="1"/>
  <c r="C26" i="9" s="1"/>
  <c r="H44" i="9"/>
  <c r="U5" i="9" s="1" a="1"/>
  <c r="U5" i="9" s="1"/>
  <c r="B4" i="9"/>
  <c r="C14" i="19" a="1"/>
  <c r="C14" i="19" s="1"/>
  <c r="H26" i="9" a="1"/>
  <c r="H26" i="9" s="1"/>
  <c r="I27" i="9"/>
  <c r="K27" i="9" s="1"/>
  <c r="I47" i="9"/>
  <c r="K47" i="9" s="1"/>
  <c r="K28" i="9"/>
  <c r="E7" i="9"/>
  <c r="C7" i="9"/>
  <c r="D8" i="19" a="1"/>
  <c r="D8" i="19" s="1"/>
  <c r="F35" i="18"/>
  <c r="C9" i="8"/>
  <c r="C11" i="8"/>
  <c r="K5" i="17"/>
  <c r="K6" i="17" s="1"/>
  <c r="P7" i="17"/>
  <c r="E14" i="19" l="1"/>
  <c r="E12" i="19"/>
  <c r="C4" i="20"/>
  <c r="I26" i="9"/>
  <c r="C20" i="9"/>
  <c r="C4" i="9"/>
  <c r="E4" i="9"/>
  <c r="I44" i="9"/>
  <c r="K44" i="9" s="1"/>
  <c r="T5" i="9" a="1"/>
  <c r="T5" i="9" s="1"/>
  <c r="V5" i="9" s="1"/>
  <c r="X5" i="9" s="1"/>
  <c r="C2" i="20" s="1"/>
  <c r="C14" i="8"/>
  <c r="C4" i="10" s="1"/>
  <c r="C15" i="10" s="1"/>
  <c r="C17" i="10" s="1"/>
  <c r="E16" i="19" l="1"/>
  <c r="C22" i="9"/>
  <c r="C3" i="10" s="1"/>
  <c r="C11" i="10" s="1"/>
  <c r="C13" i="10" s="1"/>
  <c r="C21" i="10" s="1"/>
  <c r="K26" i="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<sst xmlns="http://schemas.openxmlformats.org/spreadsheetml/2006/main" count="1258" uniqueCount="301">
  <si>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</si>
  <si>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</si>
  <si>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</si>
  <si>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</si>
  <si>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</si>
  <si>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</si>
  <si>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</si>
  <si>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</si>
  <si>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</si>
  <si>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</si>
  <si>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</si>
  <si>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</si>
  <si>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</si>
  <si>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</si>
  <si>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</si>
  <si>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</si>
  <si>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</si>
  <si>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</si>
  <si>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</si>
  <si>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</si>
  <si>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</si>
  <si>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</si>
  <si>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</si>
  <si>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</si>
  <si>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</si>
  <si>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</si>
  <si>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</si>
  <si>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</si>
  <si>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</si>
  <si>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</si>
  <si>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</si>
  <si>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</si>
  <si>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</si>
  <si>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</si>
  <si>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</si>
  <si>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</si>
  <si>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</si>
  <si>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</si>
  <si>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</si>
  <si>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</si>
  <si>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</si>
  <si>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</si>
  <si>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</si>
  <si>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</si>
  <si>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</si>
  <si>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</si>
  <si>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</si>
  <si>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</si>
  <si>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</si>
  <si>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</si>
  <si>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</si>
  <si>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</si>
  <si>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</si>
  <si>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</si>
  <si>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</si>
  <si>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</si>
  <si>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</si>
  <si>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</si>
  <si>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</si>
  <si>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</si>
  <si>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</si>
  <si>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</si>
  <si>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</si>
  <si>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</si>
  <si>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</si>
  <si>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</si>
  <si>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</si>
  <si>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</si>
  <si>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</si>
  <si>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</si>
  <si>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</si>
  <si>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</si>
  <si>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</si>
  <si>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</si>
  <si>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</si>
  <si>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</si>
  <si>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</si>
  <si>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</si>
  <si>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</si>
  <si>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</si>
  <si>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</si>
  <si>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</si>
  <si>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</si>
  <si>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</si>
  <si>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</si>
  <si>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</si>
  <si>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</si>
  <si>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</si>
  <si>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</si>
  <si>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</si>
  <si>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</si>
  <si>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</si>
  <si>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</si>
  <si>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</si>
  <si>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</si>
  <si>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</si>
  <si>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</si>
  <si>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</si>
  <si>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</si>
  <si>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</si>
  <si>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</si>
  <si>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</si>
  <si>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</si>
  <si>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</si>
  <si>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</si>
  <si>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</si>
  <si>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</si>
  <si>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</si>
  <si>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</si>
  <si>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</si>
  <si>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</si>
  <si>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</si>
  <si>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</si>
  <si>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</si>
  <si>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</si>
  <si>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</si>
  <si>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</si>
  <si>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</si>
  <si>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</si>
  <si>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</si>
  <si>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</si>
  <si>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</si>
  <si>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</si>
  <si>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</si>
  <si>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</si>
  <si>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</si>
  <si>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</si>
  <si>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</si>
  <si>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</si>
  <si>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</si>
  <si>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</si>
  <si>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</si>
  <si>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</si>
  <si>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</si>
  <si>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</si>
  <si>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</si>
  <si>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</si>
  <si>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</si>
  <si>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</si>
  <si>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</si>
  <si>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</si>
  <si>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</si>
  <si>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</si>
  <si>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</si>
  <si>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</si>
  <si>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</si>
  <si>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</si>
  <si>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</si>
  <si>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</si>
  <si>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</si>
  <si>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</si>
  <si>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</si>
  <si>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</si>
  <si>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</si>
  <si>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</si>
  <si>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</si>
  <si>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</si>
  <si>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</si>
  <si>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</si>
  <si>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</si>
  <si>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</si>
  <si>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</si>
  <si>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</si>
  <si>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</si>
  <si>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</si>
  <si>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</si>
  <si>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</si>
  <si>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</si>
  <si>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</si>
  <si>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</si>
  <si>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</si>
  <si>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</si>
  <si>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</si>
  <si>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</si>
  <si>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</si>
  <si>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</si>
  <si>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</si>
  <si>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</si>
  <si>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</si>
  <si>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</si>
  <si>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</si>
  <si>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</si>
  <si>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</si>
  <si>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</si>
  <si>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</si>
  <si>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</si>
  <si>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</si>
  <si>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</si>
  <si>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</si>
  <si>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</si>
  <si>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</si>
  <si>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</si>
  <si>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</si>
  <si>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</si>
  <si>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</si>
  <si>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</si>
  <si>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</si>
  <si>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</si>
  <si>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</si>
  <si>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</si>
  <si>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</si>
  <si>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</si>
  <si>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</si>
  <si>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</si>
  <si>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</si>
  <si>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</si>
  <si>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</si>
  <si>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</si>
  <si>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</si>
  <si>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</si>
  <si>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</si>
  <si>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</si>
  <si>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</si>
  <si>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</si>
  <si>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</si>
  <si>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</si>
  <si>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</si>
  <si>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</si>
  <si>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</si>
  <si>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</si>
  <si>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</si>
  <si>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</si>
  <si>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</si>
  <si>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</si>
  <si>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</si>
  <si>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</si>
  <si>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</si>
  <si>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</si>
  <si>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</si>
  <si>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</si>
  <si>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</si>
  <si>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</si>
  <si>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</si>
  <si>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</si>
  <si>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</si>
  <si>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</si>
  <si>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</si>
  <si>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</si>
  <si>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</si>
  <si>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</si>
  <si>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</si>
  <si>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</si>
  <si>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</si>
  <si>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</si>
  <si>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</si>
  <si>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</si>
  <si>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</si>
  <si>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</si>
  <si>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</si>
  <si>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</si>
  <si>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</si>
  <si>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</si>
  <si>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</si>
  <si>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</si>
  <si>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</si>
  <si>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</si>
  <si>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</si>
  <si>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</si>
  <si>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</si>
  <si>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</si>
  <si>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</si>
  <si>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</si>
  <si>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</si>
  <si>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</si>
  <si>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</si>
  <si>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</si>
  <si>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</si>
  <si>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</si>
  <si>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</si>
  <si>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</si>
  <si>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</si>
  <si>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</si>
  <si>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</si>
  <si>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</si>
  <si>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</si>
  <si>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</si>
  <si>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</si>
  <si>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</si>
  <si>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</si>
  <si>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</si>
  <si>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</si>
  <si>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</si>
  <si>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</si>
  <si>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</si>
  <si>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</si>
  <si>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</si>
  <si>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</si>
  <si>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</si>
  <si>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</si>
  <si>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</si>
  <si>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Sufi balance uncleared</t>
  </si>
  <si>
    <t>TID:155112</t>
  </si>
  <si>
    <t>tandoor</t>
  </si>
  <si>
    <t>Khalid Sahab</t>
  </si>
  <si>
    <t>LES 5974</t>
  </si>
  <si>
    <t>899-a</t>
  </si>
  <si>
    <t>899-b</t>
  </si>
  <si>
    <t>899-c</t>
  </si>
  <si>
    <t>900-a</t>
  </si>
  <si>
    <t>900-b</t>
  </si>
  <si>
    <t>Party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</si>
</sst>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cellXfs>
  <cellStyles count="2">
    <cellStyle name="Comma" xfId="1" builtinId="3"/>
    <cellStyle name="Normal" xfId="0" builtinId="0"/>
  </cellStyles>
  <dxfs count="127">
    <dxf>
      <font>
        <b val="0"/>
        <i val="0"/>
        <strike val="0"/>
        <condense val="0"/>
        <extend val="0"/>
        <outline val="0"/>
        <shadow val="0"/>
        <u val="none"/>
        <vertAlign val="baseline"/>
        <sz val="11"/>
        <color theme="1"/>
        <name val="Aptos Narrow"/>
        <family val="2"/>
        <scheme val="minor"/>
      </font>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822275</xdr:colOff>
      <xdr:row>165</xdr:row>
      <xdr:rowOff>172006</xdr:rowOff>
    </xdr:from>
    <xdr:to>
      <xdr:col>15</xdr:col>
      <xdr:colOff>1014631</xdr:colOff>
      <xdr:row>173</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180</xdr:row>
      <xdr:rowOff>55551</xdr:rowOff>
    </xdr:from>
    <xdr:to>
      <xdr:col>2</xdr:col>
      <xdr:colOff>318013</xdr:colOff>
      <xdr:row>188</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216</xdr:row>
      <xdr:rowOff>43181</xdr:rowOff>
    </xdr:from>
    <xdr:to>
      <xdr:col>13</xdr:col>
      <xdr:colOff>523567</xdr:colOff>
      <xdr:row>220</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221</xdr:row>
      <xdr:rowOff>138748</xdr:rowOff>
    </xdr:from>
    <xdr:to>
      <xdr:col>14</xdr:col>
      <xdr:colOff>659309</xdr:colOff>
      <xdr:row>230</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-421502</v>
          </cell>
        </row>
        <row r="11">
          <cell r="R11">
            <v>-781867</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050928" createdVersion="8" refreshedVersion="8" minRefreshableVersion="3" recordCount="214" xr:uid="{B5BDFB73-D93A-4A7A-8149-666BC190B09B}">
  <cacheSource type="worksheet">
    <worksheetSource name="Table14"/>
  </cacheSource>
  <cacheFields count="7">
    <cacheField name="Date" numFmtId="14">
      <sharedItems containsSemiMixedTypes="0" containsNonDate="0" containsDate="1" containsString="0" minDate="2025-09-16T00:00:00" maxDate="2025-10-01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acheField>
    <cacheField name="Withdrawal" numFmtId="0">
      <sharedItems containsString="0" containsBlank="1" containsNumber="1" containsInteger="1" minValue="3000" maxValue="3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629628"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318134.60131675203"/>
    </cacheField>
    <cacheField name="Rate" numFmtId="0">
      <sharedItems containsString="0" containsBlank="1" containsNumber="1" minValue="10" maxValue="12"/>
    </cacheField>
    <cacheField name="Total" numFmtId="164">
      <sharedItems containsSemiMixedTypes="0" containsString="0" containsNumber="1" minValue="0" maxValue="3469858.266276518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976852"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0208336" createdVersion="8" refreshedVersion="8" minRefreshableVersion="3" recordCount="45" xr:uid="{3E5C2981-ACF5-44A9-8567-B1D65DB3A8D2}">
  <cacheSource type="worksheet">
    <worksheetSource name="Table3"/>
  </cacheSource>
  <cacheFields count="9">
    <cacheField name="Date" numFmtId="14">
      <sharedItems containsSemiMixedTypes="0" containsNonDate="0" containsDate="1" containsString="0" minDate="2025-05-02T00:00:00" maxDate="2025-10-01T00:00:00" count="66">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6">
        <s v="Closing Balance CF"/>
        <n v="112"/>
        <n v="1435"/>
        <m/>
        <n v="4646"/>
        <n v="1196"/>
        <n v="4366"/>
        <n v="442"/>
        <n v="6613"/>
        <n v="4095"/>
        <n v="3229"/>
        <n v="162"/>
        <n v="8141"/>
        <n v="5560"/>
        <n v="685"/>
        <n v="571"/>
        <n v="160"/>
        <s v="KBI 112"/>
        <s v="LES 59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05"/>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49400"/>
    </cacheField>
    <cacheField name="Total" numFmtId="164">
      <sharedItems containsSemiMixedTypes="0" containsString="0" containsNumber="1" containsInteger="1" minValue="0" maxValue="247050"/>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0555552" createdVersion="8" refreshedVersion="8" minRefreshableVersion="3" recordCount="8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u="1"/>
        <d v="2025-10-02T00:00:00" u="1"/>
        <d v="2025-10-03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98" count="28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47">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3.9381099898581624"/>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124999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d v="2025-09-16T00:00:00"/>
    <x v="0"/>
    <m/>
    <n v="-4215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m/>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19"/>
    <n v="800000"/>
    <m/>
    <s v="Sufi balance uncleared"/>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39421.1777615216"/>
    <n v="10"/>
    <n v="1394595.8302852963"/>
  </r>
  <r>
    <x v="1"/>
    <n v="27881.309436722753"/>
    <n v="10"/>
    <n v="278813.09436722752"/>
  </r>
  <r>
    <x v="2"/>
    <n v="44059.985369422095"/>
    <n v="10"/>
    <n v="470188.36869056337"/>
  </r>
  <r>
    <x v="3"/>
    <n v="9793.3430870519387"/>
    <n v="10.5"/>
    <n v="102830.10241404535"/>
  </r>
  <r>
    <x v="4"/>
    <n v="318134.60131675203"/>
    <n v="10"/>
    <n v="3469858.2662765183"/>
  </r>
  <r>
    <x v="5"/>
    <n v="75033.833211411853"/>
    <n v="10"/>
    <n v="750338.3321141185"/>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1:K106"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5">
    <i>
      <x v="18"/>
    </i>
    <i>
      <x v="41"/>
    </i>
    <i>
      <x v="42"/>
    </i>
    <i>
      <x v="43"/>
    </i>
    <i>
      <x v="44"/>
    </i>
    <i>
      <x v="45"/>
    </i>
    <i>
      <x v="46"/>
    </i>
    <i>
      <x v="47"/>
    </i>
    <i>
      <x v="48"/>
    </i>
    <i>
      <x v="49"/>
    </i>
    <i>
      <x v="50"/>
    </i>
    <i>
      <x v="51"/>
    </i>
    <i>
      <x v="52"/>
    </i>
    <i>
      <x v="5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91:G162"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8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178"/>
        <item m="1" x="179"/>
        <item m="1" x="180"/>
        <item m="1" x="181"/>
        <item m="1" x="182"/>
        <item m="1" x="183"/>
        <item m="1" x="184"/>
        <item m="1" x="185"/>
        <item m="1" x="186"/>
        <item m="1" x="187"/>
        <item m="1" x="188"/>
        <item m="1" x="189"/>
        <item m="1" x="190"/>
        <item m="1" x="191"/>
        <item m="1" x="192"/>
        <item m="1" x="193"/>
        <item m="1" x="194"/>
        <item m="1" x="195"/>
        <item m="1" x="224"/>
        <item m="1" x="196"/>
        <item m="1" x="197"/>
        <item m="1" x="198"/>
        <item m="1" x="199"/>
        <item m="1" x="200"/>
        <item m="1" x="201"/>
        <item m="1" x="213"/>
        <item m="1" x="202"/>
        <item m="1" x="203"/>
        <item m="1" x="204"/>
        <item m="1" x="205"/>
        <item m="1" x="206"/>
        <item m="1" x="207"/>
        <item m="1" x="208"/>
        <item m="1" x="209"/>
        <item m="1" x="210"/>
        <item m="1" x="211"/>
        <item m="1" x="212"/>
        <item m="1" x="214"/>
        <item m="1" x="215"/>
        <item m="1" x="216"/>
        <item m="1" x="217"/>
        <item m="1" x="218"/>
        <item m="1" x="219"/>
        <item m="1" x="220"/>
        <item m="1" x="221"/>
        <item m="1" x="222"/>
        <item m="1" x="223"/>
        <item m="1" x="225"/>
        <item m="1" x="226"/>
        <item m="1" x="227"/>
        <item m="1" x="228"/>
        <item m="1" x="229"/>
        <item m="1" x="230"/>
        <item m="1" x="231"/>
        <item m="1" x="232"/>
        <item m="1" x="233"/>
        <item m="1" x="234"/>
        <item m="1" x="235"/>
        <item m="1" x="236"/>
        <item m="1" x="237"/>
        <item m="1" x="238"/>
        <item m="1" x="239"/>
        <item m="1" x="70"/>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71"/>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8"/>
        <item m="1" x="169"/>
        <item m="1" x="170"/>
        <item m="1" x="167"/>
        <item m="1" x="171"/>
        <item m="1" x="172"/>
        <item m="1" x="173"/>
        <item m="1" x="174"/>
        <item m="1" x="175"/>
        <item m="1" x="176"/>
        <item m="1" x="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axis="axisPage" multipleItemSelectionAllowed="1" showAll="0">
      <items count="148">
        <item m="1" x="101"/>
        <item m="1" x="130"/>
        <item m="1" x="131"/>
        <item m="1" x="139"/>
        <item m="1" x="129"/>
        <item m="1" x="128"/>
        <item m="1" x="132"/>
        <item m="1" x="143"/>
        <item m="1" x="135"/>
        <item m="1" x="136"/>
        <item m="1" x="133"/>
        <item m="1" x="134"/>
        <item m="1" x="144"/>
        <item m="1" x="137"/>
        <item m="1" x="138"/>
        <item m="1" x="141"/>
        <item m="1" x="142"/>
        <item m="1" x="140"/>
        <item m="1" x="96"/>
        <item m="1" x="146"/>
        <item m="1" x="95"/>
        <item m="1" x="145"/>
        <item m="1" x="98"/>
        <item m="1" x="97"/>
        <item m="1" x="99"/>
        <item m="1" x="105"/>
        <item m="1" x="100"/>
        <item m="1" x="102"/>
        <item m="1" x="106"/>
        <item m="1" x="107"/>
        <item m="1" x="126"/>
        <item m="1" x="103"/>
        <item m="1" x="104"/>
        <item m="1" x="66"/>
        <item m="1" x="88"/>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7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4:I98" firstHeaderRow="0" firstDataRow="1" firstDataCol="1" rowPageCount="1" colPageCount="1"/>
  <pivotFields count="9">
    <pivotField axis="axisRow" numFmtId="14" showAll="0">
      <items count="67">
        <item m="1" x="50"/>
        <item m="1" x="51"/>
        <item m="1" x="52"/>
        <item m="1" x="53"/>
        <item m="1" x="54"/>
        <item m="1" x="55"/>
        <item m="1" x="56"/>
        <item m="1" x="65"/>
        <item m="1" x="46"/>
        <item m="1" x="57"/>
        <item m="1" x="58"/>
        <item m="1" x="59"/>
        <item m="1" x="60"/>
        <item m="1" x="61"/>
        <item m="1" x="62"/>
        <item m="1" x="63"/>
        <item m="1" x="16"/>
        <item m="1" x="17"/>
        <item m="1" x="64"/>
        <item m="1" x="18"/>
        <item m="1" x="15"/>
        <item m="1" x="19"/>
        <item m="1" x="21"/>
        <item m="1" x="22"/>
        <item m="1" x="23"/>
        <item m="1" x="25"/>
        <item m="1" x="26"/>
        <item m="1" x="27"/>
        <item m="1" x="20"/>
        <item m="1" x="24"/>
        <item m="1" x="28"/>
        <item m="1" x="29"/>
        <item m="1" x="30"/>
        <item m="1" x="31"/>
        <item m="1" x="32"/>
        <item m="1" x="33"/>
        <item m="1" x="47"/>
        <item m="1" x="48"/>
        <item m="1" x="49"/>
        <item m="1" x="34"/>
        <item m="1" x="35"/>
        <item m="1" x="36"/>
        <item m="1" x="37"/>
        <item m="1" x="38"/>
        <item m="1" x="39"/>
        <item m="1" x="40"/>
        <item m="1" x="41"/>
        <item m="1" x="42"/>
        <item m="1" x="43"/>
        <item m="1" x="44"/>
        <item m="1" x="45"/>
        <item x="0"/>
        <item x="1"/>
        <item x="2"/>
        <item x="3"/>
        <item x="4"/>
        <item x="5"/>
        <item x="6"/>
        <item x="7"/>
        <item x="9"/>
        <item x="10"/>
        <item x="11"/>
        <item x="8"/>
        <item x="12"/>
        <item x="13"/>
        <item x="14"/>
        <item t="default"/>
      </items>
    </pivotField>
    <pivotField axis="axisPage" showAll="0">
      <items count="6">
        <item x="1"/>
        <item x="0"/>
        <item m="1" x="3"/>
        <item m="1" x="4"/>
        <item x="2"/>
        <item t="default"/>
      </items>
    </pivotField>
    <pivotField axis="axisRow" showAll="0">
      <items count="57">
        <item m="1" x="46"/>
        <item m="1" x="30"/>
        <item m="1" x="42"/>
        <item x="10"/>
        <item m="1" x="47"/>
        <item m="1" x="48"/>
        <item m="1" x="43"/>
        <item m="1" x="44"/>
        <item m="1" x="45"/>
        <item x="3"/>
        <item m="1" x="23"/>
        <item m="1" x="49"/>
        <item m="1" x="50"/>
        <item m="1" x="51"/>
        <item m="1" x="52"/>
        <item m="1" x="53"/>
        <item m="1" x="54"/>
        <item m="1" x="19"/>
        <item m="1" x="20"/>
        <item m="1" x="55"/>
        <item m="1" x="21"/>
        <item x="0"/>
        <item m="1" x="22"/>
        <item m="1" x="24"/>
        <item m="1" x="25"/>
        <item m="1" x="26"/>
        <item m="1" x="27"/>
        <item m="1" x="28"/>
        <item m="1" x="29"/>
        <item m="1" x="31"/>
        <item m="1" x="32"/>
        <item x="12"/>
        <item m="1" x="33"/>
        <item m="1" x="34"/>
        <item m="1" x="35"/>
        <item x="16"/>
        <item m="1" x="36"/>
        <item m="1" x="37"/>
        <item x="14"/>
        <item m="1" x="38"/>
        <item m="1" x="39"/>
        <item m="1" x="40"/>
        <item m="1" x="41"/>
        <item x="1"/>
        <item x="2"/>
        <item x="4"/>
        <item x="5"/>
        <item x="6"/>
        <item x="7"/>
        <item x="8"/>
        <item x="9"/>
        <item x="11"/>
        <item x="13"/>
        <item x="15"/>
        <item x="17"/>
        <item x="1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4">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5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8">
      <pivotArea dataOnly="0" labelOnly="1" outline="0" fieldPosition="0">
        <references count="1">
          <reference field="1" count="1">
            <x v="1"/>
          </reference>
        </references>
      </pivotArea>
    </format>
    <format dxfId="8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2"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m="1"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29">
    <i>
      <x/>
    </i>
    <i>
      <x v="1"/>
    </i>
    <i>
      <x v="2"/>
    </i>
    <i>
      <x v="3"/>
    </i>
    <i>
      <x v="5"/>
    </i>
    <i>
      <x v="6"/>
    </i>
    <i>
      <x v="7"/>
    </i>
    <i>
      <x v="8"/>
    </i>
    <i>
      <x v="9"/>
    </i>
    <i>
      <x v="10"/>
    </i>
    <i>
      <x v="12"/>
    </i>
    <i>
      <x v="13"/>
    </i>
    <i>
      <x v="16"/>
    </i>
    <i>
      <x v="17"/>
    </i>
    <i>
      <x v="18"/>
    </i>
    <i>
      <x v="19"/>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48">
        <item m="1" x="130"/>
        <item m="1" x="131"/>
        <item m="1" x="129"/>
        <item m="1" x="128"/>
        <item m="1" x="132"/>
        <item m="1" x="134"/>
        <item m="1" x="133"/>
        <item m="1" x="135"/>
        <item m="1" x="136"/>
        <item m="1" x="137"/>
        <item m="1" x="138"/>
        <item m="1" x="139"/>
        <item m="1" x="140"/>
        <item m="1" x="141"/>
        <item m="1" x="66"/>
        <item m="1" x="88"/>
        <item m="1" x="142"/>
        <item m="1" x="143"/>
        <item m="1" x="144"/>
        <item m="1" x="96"/>
        <item m="1" x="95"/>
        <item m="1" x="145"/>
        <item m="1" x="146"/>
        <item m="1" x="105"/>
        <item m="1" x="97"/>
        <item m="1" x="98"/>
        <item m="1" x="99"/>
        <item m="1" x="100"/>
        <item m="1" x="101"/>
        <item m="1" x="102"/>
        <item m="1" x="103"/>
        <item m="1" x="104"/>
        <item m="1" x="106"/>
        <item m="1" x="126"/>
        <item m="1" x="107"/>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2">
      <pivotArea type="all" dataOnly="0" outline="0" fieldPosition="0"/>
    </format>
    <format dxfId="21">
      <pivotArea outline="0" collapsedLevelsAreSubtotals="1" fieldPosition="0"/>
    </format>
    <format dxfId="20">
      <pivotArea field="4" type="button" dataOnly="0" labelOnly="1" outline="0" axis="axisRow" fieldPosition="0"/>
    </format>
    <format dxfId="19">
      <pivotArea dataOnly="0" labelOnly="1" fieldPosition="0">
        <references count="1">
          <reference field="4" count="0"/>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 dxfId="16">
      <pivotArea grandRow="1" outline="0" collapsedLevelsAreSubtotals="1" fieldPosition="0"/>
    </format>
    <format dxfId="15">
      <pivotArea field="4" type="button" dataOnly="0" labelOnly="1" outline="0" axis="axisRow" fieldPosition="0"/>
    </format>
    <format dxfId="1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47">
        <i x="10" s="1"/>
        <i x="12" s="1"/>
        <i x="6" s="1"/>
        <i x="9" s="1"/>
        <i x="8" s="1"/>
        <i x="28" s="1"/>
        <i x="33" s="1"/>
        <i x="1" s="1"/>
        <i x="14" s="1"/>
        <i x="5" s="1"/>
        <i x="11" s="1"/>
        <i x="2" s="1"/>
        <i x="3" s="1"/>
        <i x="4" s="1"/>
        <i x="15" s="1"/>
        <i x="20" s="1"/>
        <i x="29" s="1"/>
        <i x="17" s="1"/>
        <i x="24" s="1"/>
        <i x="21" s="1"/>
        <i x="16" s="1"/>
        <i x="25" s="1"/>
        <i x="35" s="1"/>
        <i x="34" s="1"/>
        <i x="30" s="1"/>
        <i x="26" s="1"/>
        <i x="27" s="1"/>
        <i x="36" s="1"/>
        <i x="37" s="1"/>
        <i x="32" s="1"/>
        <i x="39" s="1"/>
        <i x="40" s="1"/>
        <i x="38" s="1"/>
        <i x="13" s="1"/>
        <i x="19" s="1"/>
        <i x="18" s="1"/>
        <i x="23" s="1"/>
        <i x="31" s="1"/>
        <i x="22" s="1"/>
        <i x="101" s="1" nd="1"/>
        <i x="130" s="1" nd="1"/>
        <i x="131" s="1" nd="1"/>
        <i x="139" s="1" nd="1"/>
        <i x="129" s="1" nd="1"/>
        <i x="128" s="1" nd="1"/>
        <i x="132" s="1" nd="1"/>
        <i x="143" s="1" nd="1"/>
        <i x="135" s="1" nd="1"/>
        <i x="136" s="1" nd="1"/>
        <i x="133" s="1" nd="1"/>
        <i x="134" s="1" nd="1"/>
        <i x="144" s="1" nd="1"/>
        <i x="137" s="1" nd="1"/>
        <i x="138" s="1" nd="1"/>
        <i x="141" s="1" nd="1"/>
        <i x="142" s="1" nd="1"/>
        <i x="140" s="1" nd="1"/>
        <i x="96" s="1" nd="1"/>
        <i x="146" s="1" nd="1"/>
        <i x="95" s="1" nd="1"/>
        <i x="145" s="1" nd="1"/>
        <i x="98" s="1" nd="1"/>
        <i x="59" s="1" nd="1"/>
        <i x="97" s="1" nd="1"/>
        <i x="99" s="1" nd="1"/>
        <i x="105" s="1" nd="1"/>
        <i x="100" s="1" nd="1"/>
        <i x="102" s="1" nd="1"/>
        <i x="118" s="1" nd="1"/>
        <i x="41" s="1" nd="1"/>
        <i x="106" s="1" nd="1"/>
        <i x="46" s="1" nd="1"/>
        <i x="112" s="1" nd="1"/>
        <i x="107" s="1" nd="1"/>
        <i x="110" s="1" nd="1"/>
        <i x="115" s="1" nd="1"/>
        <i x="126" s="1" nd="1"/>
        <i x="108" s="1" nd="1"/>
        <i x="120" s="1" nd="1"/>
        <i x="123" s="1" nd="1"/>
        <i x="114" s="1" nd="1"/>
        <i x="103" s="1" nd="1"/>
        <i x="111" s="1" nd="1"/>
        <i x="104" s="1" nd="1"/>
        <i x="109" s="1" nd="1"/>
        <i x="42" s="1" nd="1"/>
        <i x="113" s="1" nd="1"/>
        <i x="119" s="1" nd="1"/>
        <i x="56" s="1" nd="1"/>
        <i x="116" s="1" nd="1"/>
        <i x="121" s="1" nd="1"/>
        <i x="117" s="1" nd="1"/>
        <i x="83" s="1" nd="1"/>
        <i x="122" s="1" nd="1"/>
        <i x="124" s="1" nd="1"/>
        <i x="44" s="1" nd="1"/>
        <i x="51" s="1" nd="1"/>
        <i x="125" s="1" nd="1"/>
        <i x="48" s="1" nd="1"/>
        <i x="49" s="1" nd="1"/>
        <i x="43" s="1" nd="1"/>
        <i x="47" s="1" nd="1"/>
        <i x="45" s="1" nd="1"/>
        <i x="54" s="1" nd="1"/>
        <i x="50" s="1" nd="1"/>
        <i x="52" s="1" nd="1"/>
        <i x="55" s="1" nd="1"/>
        <i x="63" s="1" nd="1"/>
        <i x="53" s="1" nd="1"/>
        <i x="62" s="1" nd="1"/>
        <i x="67" s="1" nd="1"/>
        <i x="61" s="1" nd="1"/>
        <i x="64" s="1" nd="1"/>
        <i x="74" s="1" nd="1"/>
        <i x="60" s="1" nd="1"/>
        <i x="57" s="1" nd="1"/>
        <i x="58" s="1" nd="1"/>
        <i x="73" s="1" nd="1"/>
        <i x="66" s="1" nd="1"/>
        <i x="77" s="1" nd="1"/>
        <i x="72" s="1" nd="1"/>
        <i x="65" s="1" nd="1"/>
        <i x="89" s="1" nd="1"/>
        <i x="70" s="1" nd="1"/>
        <i x="80" s="1" nd="1"/>
        <i x="78" s="1" nd="1"/>
        <i x="68" s="1" nd="1"/>
        <i x="76" s="1" nd="1"/>
        <i x="75" s="1" nd="1"/>
        <i x="71" s="1" nd="1"/>
        <i x="81" s="1" nd="1"/>
        <i x="79" s="1" nd="1"/>
        <i x="82" s="1" nd="1"/>
        <i x="69" s="1" nd="1"/>
        <i x="84" s="1" nd="1"/>
        <i x="85" s="1" nd="1"/>
        <i x="92" s="1" nd="1"/>
        <i x="86" s="1" nd="1"/>
        <i x="87" s="1" nd="1"/>
        <i x="94" s="1" nd="1"/>
        <i x="93" s="1" nd="1"/>
        <i x="88" s="1" nd="1"/>
        <i x="91" s="1" nd="1"/>
        <i x="90" s="1" nd="1"/>
        <i x="7" s="1" nd="1"/>
        <i x="12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4" totalsRowCount="1" headerRowDxfId="101" dataDxfId="100" headerRowCellStyle="Comma" dataCellStyle="Comma">
  <autoFilter ref="A1:K83" xr:uid="{11DACEC6-751B-4B1D-817F-5C5BCD38EF6D}">
    <filterColumn colId="1">
      <filters>
        <filter val="Sufi Nawaz Sahab"/>
      </filters>
    </filterColumn>
  </autoFilter>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7" dataCellStyle="Comma"/>
    <tableColumn id="6" xr3:uid="{F4E1FD2B-9017-4DEB-B772-BF447ECE56F7}" name="Kora/metre" dataDxfId="94" totalsRowDxfId="6" dataCellStyle="Comma"/>
    <tableColumn id="7" xr3:uid="{52ACC1DA-7A76-4A90-B809-3A1AE728E7EA}" name="Tiyaar/gaz" dataDxfId="93" totalsRowDxfId="5" dataCellStyle="Comma"/>
    <tableColumn id="8" xr3:uid="{31A0FF5E-56F0-44D1-9865-73256B964660}" name="shortage %" dataDxfId="92" totalsRowDxfId="4" dataCellStyle="Comma">
      <calculatedColumnFormula>_xlfn.XLOOKUP(Table1[[#This Row],[Shipment Number]], 'pivot '!A:A,'pivot '!G:G, "NF")</calculatedColumnFormula>
    </tableColumn>
    <tableColumn id="9" xr3:uid="{F99075E0-AC8E-094D-BB85-272AD2C6C568}" name="tiyar/meters" totalsRowFunction="custom" dataDxfId="91" totalsRowDxfId="3"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90" totalsRowDxfId="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9" totalsRowDxfId="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7" totalsRowCount="1" headerRowDxfId="86" headerRowBorderDxfId="85" tableBorderDxfId="84">
  <autoFilter ref="A1:I46" xr:uid="{F8E8C957-ABE7-4E4F-8D4E-7D44E26B334F}"/>
  <tableColumns count="9">
    <tableColumn id="1" xr3:uid="{C2E817D6-AB98-4DDD-8890-736B27F261CD}" name="Date" totalsRowLabel="." dataDxfId="83" totalsRowDxfId="82"/>
    <tableColumn id="2" xr3:uid="{CFB51890-CCDC-463C-81C9-3F8BD7469CB9}" name="Party Name"/>
    <tableColumn id="3" xr3:uid="{A113D971-1C9D-4733-99C4-BD0CC4333209}" name="Vehicle Number"/>
    <tableColumn id="4" xr3:uid="{49780304-3DD1-4AE9-98EE-2BC7EB8F3B57}" name="Weight" dataDxfId="81" totalsRowDxfId="80" dataCellStyle="Comma"/>
    <tableColumn id="5" xr3:uid="{FCAF1BC6-1D8C-42AD-8BBC-F924BF2DC7FE}" name="Rate" dataDxfId="79" totalsRowDxfId="78" dataCellStyle="Comma"/>
    <tableColumn id="6" xr3:uid="{8C70A624-4134-410C-9C45-9FDEB51D51BF}" name="Rent" dataDxfId="77" totalsRowDxfId="76" dataCellStyle="Comma"/>
    <tableColumn id="7" xr3:uid="{EBCE10AE-9634-4982-9C95-37ABC8A7078C}" name="Total" totalsRowFunction="sum" dataDxfId="75" totalsRowDxfId="74" dataCellStyle="Comma">
      <calculatedColumnFormula>D2*E2</calculatedColumnFormula>
    </tableColumn>
    <tableColumn id="9" xr3:uid="{D4788559-C94A-44D9-B9AE-E72B214355AC}" name="Paid" totalsRowFunction="sum" dataDxfId="73" totalsRowDxfId="72" dataCellStyle="Comma"/>
    <tableColumn id="8" xr3:uid="{E26F5BF0-1875-4FC6-994D-49F202ED562B}" name="balance" totalsRowFunction="sum" dataDxfId="71" totalsRowDxfId="7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16" totalsRowCount="1">
  <autoFilter ref="A1:G215" xr:uid="{CB032221-B416-47A8-9A76-693DE76CFD04}">
    <filterColumn colId="1">
      <filters>
        <filter val="Sufi Nawaz Sahab"/>
      </filters>
    </filterColumn>
  </autoFilter>
  <tableColumns count="7">
    <tableColumn id="1" xr3:uid="{554B1EED-65B6-4E9A-B646-82727FAC40DE}" name="Date" dataDxfId="68" totalsRowDxfId="67"/>
    <tableColumn id="2" xr3:uid="{32259059-42CF-4947-83DE-115AA430BE2B}" name="Party"/>
    <tableColumn id="3" xr3:uid="{A1320223-D55D-483C-91C3-AB19B95CC9D8}" name="Debit" totalsRowFunction="sum" dataDxfId="66" totalsRowDxfId="65" dataCellStyle="Comma"/>
    <tableColumn id="4" xr3:uid="{E9745767-9FF0-4B1C-9052-FF335D1D7588}" name="Credit" totalsRowFunction="sum" dataDxfId="64" totalsRowDxfId="63" dataCellStyle="Comma"/>
    <tableColumn id="5" xr3:uid="{5C88A48E-2467-4E6D-B626-2442B7FD0BE4}" name="Description"/>
    <tableColumn id="6" xr3:uid="{63CA4666-144E-4BE6-8B7C-7CB992BD3041}" name="Mode" totalsRowFunction="custom" dataDxfId="62" totalsRowDxfId="6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0" tableBorderDxfId="59" totalsRowBorderDxfId="58">
  <autoFilter ref="J3:K6" xr:uid="{DCE01694-23ED-48BF-8B92-4186B9ED10A8}"/>
  <tableColumns count="2">
    <tableColumn id="1" xr3:uid="{C8484DAF-2989-4C2F-9AEC-A6917E1C57F6}" name="Type" dataDxfId="57"/>
    <tableColumn id="2" xr3:uid="{B07B7A2A-4D4E-4654-BED6-FE2F0A7BEC34}" name="Amount" dataDxfId="5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5" headerRowBorderDxfId="54" tableBorderDxfId="53" totalsRowBorderDxfId="52">
  <autoFilter ref="M3:O6" xr:uid="{D166BDD1-ACD7-45D7-8AE9-7350373F8CEB}"/>
  <tableColumns count="3">
    <tableColumn id="1" xr3:uid="{64F0205E-DEA7-4571-BA86-E4374A5FEE28}" name="Type" totalsRowLabel="Total" dataDxfId="51" totalsRowDxfId="50"/>
    <tableColumn id="2" xr3:uid="{15FA05F9-789C-4459-9BE0-5C1EC84D3365}" name="amount" totalsRowFunction="custom" dataDxfId="49" totalsRowDxfId="48">
      <totalsRowFormula>SUM(N5:N6)</totalsRowFormula>
    </tableColumn>
    <tableColumn id="3" xr3:uid="{3681D409-90C6-44D0-BDE2-4B5943A516F0}" name="Actual" totalsRowFunction="custom" totalsRowDxfId="4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6" totalsRowDxfId="45"/>
    <tableColumn id="2" xr3:uid="{5B9D0FEE-4304-4C5C-A05C-5B27CF7841D3}" name="Type"/>
    <tableColumn id="3" xr3:uid="{6A91CA0D-C802-4C6F-9F39-CA53687E8EDE}" name="Description"/>
    <tableColumn id="4" xr3:uid="{A251D40C-AB87-4BB4-85F8-444B20E32FDF}" name="Total" totalsRowFunction="custom" dataDxfId="44" totalsRowDxfId="4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42" headerRowBorderDxfId="41">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8" headerRowBorderDxfId="37">
  <autoFilter ref="A4:H12" xr:uid="{A4C80688-A8BA-4BA7-90B4-791CD99446B4}"/>
  <sortState xmlns:xlrd2="http://schemas.microsoft.com/office/spreadsheetml/2017/richdata2" ref="A5:H6">
    <sortCondition ref="A4:A6"/>
  </sortState>
  <tableColumns count="8">
    <tableColumn id="1" xr3:uid="{4A818912-918E-4111-ACFC-BC93FEF7C1AD}" name="Date" dataDxfId="36" totalsRowDxfId="35"/>
    <tableColumn id="8" xr3:uid="{477ACFD5-62AF-4F69-974B-E9B974C11D7D}" name="Party Name" dataDxfId="3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3">
      <calculatedColumnFormula>Table2[[#This Row],[Quantity]]*250</calculatedColumnFormula>
    </tableColumn>
    <tableColumn id="6" xr3:uid="{30432929-CBD4-4BA8-B63F-CD0F6CF6405F}" name="Paid" totalsRowFunction="sum" dataDxfId="32">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1">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0" totalsRowDxfId="29"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8" totalsRowDxfId="27"/>
    <tableColumn id="2" xr3:uid="{053BFC14-4828-417C-9F9F-95B6E232A945}" name="Amount" totalsRowFunction="custom" dataDxfId="26" totalsRowDxfId="2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4" totalsRowDxfId="2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3" totalsRowDxfId="1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1" totalsRowDxfId="1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9">
      <calculatedColumnFormula>Billing!O5</calculatedColumnFormula>
    </tableColumn>
    <tableColumn id="2" xr3:uid="{7093A59E-B58F-487D-888A-9AA8156B5F9A}" name="Amount Paid" dataDxfId="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Amount Paid"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A34" zoomScale="103" workbookViewId="0">
      <selection activeCell="J45" sqref="J4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139421.1777615216</v>
      </c>
      <c r="D4">
        <v>10</v>
      </c>
      <c r="E4" s="14">
        <f>(SUMIFS(ledger!G:G, ledger!B:B, B4, ledger!E:E, "&lt;&gt;*RD*",ledger!D:D, "Silky") / 1.0936)*12 + (SUMIFS(ledger!G:G, ledger!B:B, B4, ledger!E:E, "&lt;&gt;*RD*",ledger!D:D, "Chamki") / 1.0936)*10</f>
        <v>1394595.8302852963</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139421.1777615216</v>
      </c>
      <c r="K5" s="18">
        <v>1394595.8302852963</v>
      </c>
      <c r="O5" s="25" t="str" cm="1">
        <f t="array" ref="O5:O16">_xlfn.UNIQUE(Table1[Party Name])</f>
        <v>BSC</v>
      </c>
      <c r="P5" s="23" cm="1">
        <f t="array" ref="P5">_xlfn.BYROW(B26,_xlfn.LAMBDA(_xlpm.party,SUMIFS(ledger!G:G,ledger!B:B,_xlpm.party,ledger!E:E,"&lt;&gt;*RD*")))+_xlfn.IFNA(C44,0)</f>
        <v>1342292</v>
      </c>
      <c r="Q5" s="23" cm="1">
        <f t="array" ref="Q5">_xlfn.BYROW(B26, _xlfn.LAMBDA(_xlpm.party, SUMIFS(ledger!G:G, ledger!B:B, _xlpm.party, ledger!E:E, "&lt;&gt;*RD*") / 1.0936 ))+_xlfn.IFNA(D44,0)</f>
        <v>1227406.7300658377</v>
      </c>
      <c r="R5" s="23" cm="1">
        <f t="array" ref="R5">(_xlfn.BYROW(B26,_xlfn.LAMBDA(_xlpm.party,SUMIFS(ledger!G:G,ledger!B:B,_xlpm.party,ledger!E:E,"&lt;&gt;*RD*",ledger!D:D,"Chamki")+SUMIFS(ledger!G:G, ledger!B:B, _xlpm.party, ledger!E:E, "&lt;&gt;*RD*", ledger!D:D, "Crinkle")))/1.0936)+_xlfn.IFNA(E44,0)</f>
        <v>1212662.7651792245</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12126627.651792247</v>
      </c>
      <c r="U5" s="23" cm="1">
        <f t="array" ref="U5">(_xlfn.BYROW(B26,_xlfn.LAMBDA(_xlpm.party,SUMIFS(ledger!G:G,ledger!B:B,_xlpm.party,ledger!E:E,"&lt;&gt;*RD*",ledger!D:D, "Silky")/1.0936))* 12)+_xlfn.IFNA(H44,0)</f>
        <v>176927.57863935624</v>
      </c>
      <c r="V5" s="44">
        <f>T5+U5</f>
        <v>12303555.230431603</v>
      </c>
      <c r="W5" s="23">
        <f>(SUMIF(Table14[Party],O5,Table14[Credit]))+_xlfn.IFNA(J44,0)</f>
        <v>9525316</v>
      </c>
      <c r="X5" s="97">
        <f>V5-W5</f>
        <v>2778239.2304316033</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1833701</v>
      </c>
      <c r="X7" s="97">
        <f>V7-W7</f>
        <v>73100.389904901385</v>
      </c>
      <c r="Y7" s="22">
        <v>10</v>
      </c>
      <c r="Z7" s="22">
        <v>12</v>
      </c>
    </row>
    <row r="8" spans="2:26" x14ac:dyDescent="0.3">
      <c r="B8" t="str">
        <f t="shared" si="0"/>
        <v>Sufi Nawaz Sahab</v>
      </c>
      <c r="C8" s="18">
        <f>SUMIFS(ledger!G:G, ledger!B:B, B8, ledger!E:E, "&lt;&gt;*RD*") / 1.0936</f>
        <v>318134.60131675203</v>
      </c>
      <c r="D8">
        <v>10</v>
      </c>
      <c r="E8" s="14">
        <f>((SUMIFS(ledger!G:G, ledger!B:B, B8, ledger!E:E, "&lt;&gt;*RD*",ledger!D:D, "Silky") / 1.0936) *12) + ((SUMIFS(ledger!G:G, ledger!B:B, B8, ledger!E:E, "&lt;&gt;*RD*",ledger!D:D, "Chamki") / 1.0936)* 9)</f>
        <v>3469858.2662765183</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75033.833211411853</v>
      </c>
      <c r="D9">
        <v>10</v>
      </c>
      <c r="E9" s="14" cm="1">
        <f t="array" ref="E9">(SUMIFS(ledger!G:G, ledger!B:B, B9, ledger!E:E, "&lt;&gt;*RD*",ledger!D:D, "Silky") / 1.0936)*12 + (SUMIFS(ledger!G:G, ledger!B:B, B9, ledger!E:E, "&lt;&gt;*RD*",ledger!D:D, "Chamki") / 1.0936)*10 +(SUMIFS(ledger!G:G, ledger!B:B, party, ledger!E:E, "&lt;&gt;*RD*", ledger!D:D, "Crinkle")/ 1.0936)*10</f>
        <v>750338.3321141185</v>
      </c>
      <c r="I9" s="4" t="s">
        <v>24</v>
      </c>
      <c r="J9" s="5">
        <v>318134.60131675203</v>
      </c>
      <c r="K9" s="18">
        <v>3469858.2662765183</v>
      </c>
      <c r="O9" s="25" t="str">
        <v>Sufi Nawaz Sahab</v>
      </c>
      <c r="P9" s="23" cm="1">
        <f t="array" ref="P9">_xlfn.BYROW(B30,_xlfn.LAMBDA(_xlpm.party,SUMIFS(ledger!G:G,ledger!B:B,_xlpm.party,ledger!E:E,"&lt;&gt;*RD*")))+_xlfn.IFNA(C48,0)</f>
        <v>979271</v>
      </c>
      <c r="Q9" s="23" cm="1">
        <f t="array" ref="Q9">_xlfn.BYROW(B30, _xlfn.LAMBDA(_xlpm.party, SUMIFS(ledger!G:G, ledger!B:B, _xlpm.party, ledger!E:E, "&lt;&gt;*RD*") / 1.0936 ))+_xlfn.IFNA(D48,0)</f>
        <v>895456.2911485004</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5041602.0482809078</v>
      </c>
      <c r="V9" s="44">
        <f t="shared" si="1"/>
        <v>9319507.1324067302</v>
      </c>
      <c r="W9" s="23">
        <f>(SUMIF(Table14[Party],O9,Table14[Credit]))+_xlfn.IFNA(J48,0)</f>
        <v>7629100</v>
      </c>
      <c r="X9" s="97">
        <f t="shared" si="2"/>
        <v>1690407.1324067302</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75033.833211411853</v>
      </c>
      <c r="K10" s="18">
        <v>750338.3321141185</v>
      </c>
      <c r="O10" s="25" t="str">
        <v>Sajad Khan</v>
      </c>
      <c r="P10" s="23" cm="1">
        <f t="array" ref="P10">_xlfn.BYROW(B31,_xlfn.LAMBDA(_xlpm.party,SUMIFS(ledger!G:G,ledger!B:B,_xlpm.party,ledger!E:E,"&lt;&gt;*RD*")))+_xlfn.IFNA(C49,0)</f>
        <v>356613</v>
      </c>
      <c r="Q10" s="23" cm="1">
        <f t="array" ref="Q10">_xlfn.BYROW(B31, _xlfn.LAMBDA(_xlpm.party, SUMIFS(ledger!G:G, ledger!B:B, _xlpm.party, ledger!E:E, "&lt;&gt;*RD*") / 1.0936 ))+_xlfn.IFNA(D49,0)</f>
        <v>326090.89246525237</v>
      </c>
      <c r="R10" s="23" cm="1">
        <f t="array" ref="R10">(_xlfn.BYROW(B31,_xlfn.LAMBDA(_xlpm.party,SUMIFS(ledger!G:G,ledger!B:B,_xlpm.party,ledger!E:E,"&lt;&gt;*RD*",ledger!D:D,"Chamki")+SUMIFS(ledger!G:G, ledger!B:B, _xlpm.party, ledger!E:E, "&lt;&gt;*RD*", ledger!D:D, "Crinkle")))/1.0936)+_xlfn.IFNA(E49,0)</f>
        <v>326090.89246525237</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3260908.9246525238</v>
      </c>
      <c r="U10" s="23" cm="1">
        <f t="array" ref="U10">(_xlfn.BYROW(B31,_xlfn.LAMBDA(_xlpm.party,SUMIFS(ledger!G:G,ledger!B:B,_xlpm.party,ledger!E:E,"&lt;&gt;*RD*",ledger!D:D, "Silky")/1.0936))* 12)+_xlfn.IFNA(H49,0)</f>
        <v>0</v>
      </c>
      <c r="V10" s="44">
        <f t="shared" si="1"/>
        <v>3260908.9246525238</v>
      </c>
      <c r="W10" s="23">
        <f>(SUMIF(Table14[Party],O10,Table14[Credit]))+_xlfn.IFNA(J49,0)</f>
        <v>2700000</v>
      </c>
      <c r="X10" s="97">
        <f t="shared" si="2"/>
        <v>560908.92465252383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1200000</v>
      </c>
      <c r="X12" s="97">
        <f t="shared" si="2"/>
        <v>21653.255303584505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863824.98171177763</v>
      </c>
      <c r="K17" s="14">
        <v>9021867.2275054865</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9021867.2275054865</v>
      </c>
      <c r="D20" t="s">
        <v>30</v>
      </c>
    </row>
    <row r="21" spans="1:26" x14ac:dyDescent="0.3">
      <c r="C21" s="18"/>
      <c r="O21" s="14"/>
    </row>
    <row r="22" spans="1:26" x14ac:dyDescent="0.3">
      <c r="B22" s="25" t="s">
        <v>31</v>
      </c>
      <c r="C22" s="42">
        <f ca="1">SUM(OFFSET(I26,0,0,COUNTA(I:I)-ROW(I26)+1))</f>
        <v>9021867.2275054865</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152471</v>
      </c>
      <c r="D26" s="23" cm="1">
        <f t="array" ref="D26:D37">_xlfn.BYROW(_xlfn.ANCHORARRAY(B26), _xlfn.LAMBDA(_xlpm.party, SUMIFS(ledger!G:G, ledger!B:B, _xlpm.party, ledger!E:E, "&lt;&gt;*RD*") / 1.0936 ))</f>
        <v>139421.1777615216</v>
      </c>
      <c r="E26" s="71" cm="1">
        <f t="array" ref="E26:E37">(_xlfn.BYROW(_xlfn.ANCHORARRAY(B26),_xlfn.LAMBDA(_xlpm.party,SUMIFS(ledger!G:G,ledger!B:B,_xlpm.party,ledger!E:E,"&lt;&gt;*RD*",ledger!D:D,"Chamki")+SUMIFS(ledger!G:G, ledger!B:B, _xlpm.party, ledger!E:E, "&lt;&gt;*RD*", ledger!D:D, "Crinkle")))/1.0936)</f>
        <v>139229.15142648134</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1392291.5142648134</v>
      </c>
      <c r="H26" s="23" cm="1">
        <f t="array" ref="H26">(_xlfn.BYROW(B26,_xlfn.LAMBDA(_xlpm.party,SUMIFS(ledger!G:G,ledger!B:B,_xlpm.party,ledger!E:E,"&lt;&gt;*RD*",ledger!D:D, "Silky")/1.0936))* M26)</f>
        <v>2304.3160204828091</v>
      </c>
      <c r="I26" s="44">
        <f t="shared" ref="I26:I34" si="7">G26+H26</f>
        <v>1394595.8302852963</v>
      </c>
      <c r="J26" s="23">
        <f>(SUMIF(Table14[Party],B26,Table14[Credit]))</f>
        <v>2366533</v>
      </c>
      <c r="K26" s="42">
        <f>I26-J26</f>
        <v>-971937.16971470369</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1079491</v>
      </c>
      <c r="K28" s="42">
        <f>I28-J28</f>
        <v>-609302.63130943663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347912</v>
      </c>
      <c r="D30" s="23">
        <v>318134.60131675203</v>
      </c>
      <c r="E30" s="71">
        <v>115918.98317483542</v>
      </c>
      <c r="F30" s="78">
        <v>202215.61814191661</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2426587.4177029994</v>
      </c>
      <c r="I30" s="44">
        <f t="shared" si="7"/>
        <v>3469858.2662765183</v>
      </c>
      <c r="J30" s="23">
        <f>(SUMIF(Table14[Party],B30,Table14[Credit]))</f>
        <v>3550000</v>
      </c>
      <c r="K30" s="42">
        <f t="shared" si="8"/>
        <v>-80141.733723481651</v>
      </c>
      <c r="L30" s="22">
        <v>9</v>
      </c>
      <c r="M30" s="22">
        <v>12</v>
      </c>
    </row>
    <row r="31" spans="1:26" x14ac:dyDescent="0.3">
      <c r="B31" s="25" t="str">
        <v>Sajad Khan</v>
      </c>
      <c r="C31" s="23">
        <v>82057</v>
      </c>
      <c r="D31" s="23">
        <v>75033.833211411853</v>
      </c>
      <c r="E31" s="71">
        <v>75033.833211411853</v>
      </c>
      <c r="F31" s="22">
        <v>0</v>
      </c>
      <c r="G31" s="23" cm="1">
        <f t="array" ref="G31">(_xlfn.BYROW(B31,_xlfn.LAMBDA(_xlpm.party,(SUMIFS(ledger!G:G,ledger!B:B,_xlpm.party,ledger!E:E,"&lt;&gt;*RD*",ledger!D:D, "Chamki")+SUMIFS(ledger!G:G, ledger!B:B, _xlpm.party, ledger!E:E, "&lt;&gt;*RD*", ledger!D:D, "Crinkle"))/1.0936))*L31)</f>
        <v>750338.3321141185</v>
      </c>
      <c r="H31" s="23" cm="1">
        <f t="array" ref="H31">(_xlfn.BYROW(B31,_xlfn.LAMBDA(_xlpm.party,SUMIFS(ledger!G:G,ledger!B:B,_xlpm.party,ledger!E:E,"&lt;&gt;*RD*",ledger!D:D, "Silky")/1.0936))* M31)</f>
        <v>0</v>
      </c>
      <c r="I31" s="44">
        <f t="shared" si="7"/>
        <v>750338.3321141185</v>
      </c>
      <c r="J31" s="23">
        <f>(SUMIF(Table14[Party],B31,Table14[Credit]))</f>
        <v>400000</v>
      </c>
      <c r="K31" s="42">
        <f t="shared" si="8"/>
        <v>350338.3321141185</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1000000</v>
      </c>
      <c r="K33" s="42">
        <f t="shared" ref="K33:K38" si="9">I33-J33</f>
        <v>-39401.975128017482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M16" sqref="M1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205292</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187721.2874908559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172927.02999268472</v>
      </c>
      <c r="E12" s="101">
        <f ca="1">Table21[[#This Row],[gazana]]*Table21[[#This Row],[Rate]]</f>
        <v>1729270.2999268472</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1906801.3899049014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1833701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73100.389904901385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4099850</v>
      </c>
      <c r="D4" t="s">
        <v>183</v>
      </c>
    </row>
    <row r="5" spans="1:4" x14ac:dyDescent="0.3">
      <c r="B5" t="s">
        <v>48</v>
      </c>
      <c r="C5" s="11">
        <f>SUM(Table8[Price])+Dyes!P41</f>
        <v>1313105</v>
      </c>
      <c r="D5" t="s">
        <v>189</v>
      </c>
    </row>
    <row r="6" spans="1:4" x14ac:dyDescent="0.3">
      <c r="B6" t="s">
        <v>49</v>
      </c>
      <c r="C6" s="11">
        <f>SUM(Table2[Price])+247000</f>
        <v>416100</v>
      </c>
      <c r="D6" t="s">
        <v>188</v>
      </c>
    </row>
    <row r="7" spans="1:4" x14ac:dyDescent="0.3">
      <c r="B7" t="s">
        <v>50</v>
      </c>
      <c r="C7" s="11">
        <f>SUMIFS(Table14[Debit], Table14[Party],Table12[[#This Row],[Type]])</f>
        <v>3720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49180</v>
      </c>
    </row>
    <row r="11" spans="1:4" x14ac:dyDescent="0.3">
      <c r="B11" t="s">
        <v>54</v>
      </c>
      <c r="C11" s="11">
        <f>Table13[[#Totals],[Debit]]</f>
        <v>202492</v>
      </c>
    </row>
    <row r="12" spans="1:4" x14ac:dyDescent="0.3">
      <c r="B12" t="s">
        <v>55</v>
      </c>
      <c r="C12" s="11">
        <f>Table15[[#Totals],[Amount]]</f>
        <v>164918</v>
      </c>
    </row>
    <row r="13" spans="1:4" x14ac:dyDescent="0.3">
      <c r="C13" s="11"/>
    </row>
    <row r="14" spans="1:4" x14ac:dyDescent="0.3">
      <c r="C14" s="14">
        <f>SUM(Table12[Amount])</f>
        <v>6316365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9021867.2275054865</v>
      </c>
      <c r="D3" t="s">
        <v>68</v>
      </c>
    </row>
    <row r="4" spans="1:4" x14ac:dyDescent="0.3">
      <c r="B4" s="11" t="s">
        <v>44</v>
      </c>
      <c r="C4" s="11">
        <f>Table12[[#Totals],[Amount]]</f>
        <v>6316365</v>
      </c>
    </row>
    <row r="5" spans="1:4" x14ac:dyDescent="0.3">
      <c r="A5" s="6"/>
      <c r="B5" s="15" t="s">
        <v>69</v>
      </c>
      <c r="C5" s="15">
        <f ca="1">C3-C4</f>
        <v>2705502.2275054865</v>
      </c>
    </row>
    <row r="10" spans="1:4" ht="15" thickBot="1" x14ac:dyDescent="0.35">
      <c r="B10" t="s">
        <v>66</v>
      </c>
      <c r="C10" s="14" t="s">
        <v>67</v>
      </c>
    </row>
    <row r="11" spans="1:4" x14ac:dyDescent="0.3">
      <c r="B11" s="64" t="s">
        <v>0</v>
      </c>
      <c r="C11" s="65">
        <f ca="1">C3</f>
        <v>9021867.2275054865</v>
      </c>
    </row>
    <row r="12" spans="1:4" x14ac:dyDescent="0.3">
      <c r="B12" s="66" t="s">
        <v>70</v>
      </c>
      <c r="C12" s="67">
        <f>SUM(Table14[Credit])</f>
        <v>9138977</v>
      </c>
    </row>
    <row r="13" spans="1:4" ht="15" thickBot="1" x14ac:dyDescent="0.35">
      <c r="B13" s="82" t="s">
        <v>97</v>
      </c>
      <c r="C13" s="81">
        <f ca="1">(C11-C12)</f>
        <v>-117109.77249451354</v>
      </c>
    </row>
    <row r="14" spans="1:4" ht="15" thickBot="1" x14ac:dyDescent="0.35">
      <c r="B14" s="66"/>
      <c r="C14" s="67"/>
    </row>
    <row r="15" spans="1:4" x14ac:dyDescent="0.3">
      <c r="B15" s="64" t="s">
        <v>44</v>
      </c>
      <c r="C15" s="65">
        <f>C4</f>
        <v>6316365</v>
      </c>
    </row>
    <row r="16" spans="1:4" x14ac:dyDescent="0.3">
      <c r="B16" s="66" t="s">
        <v>71</v>
      </c>
      <c r="C16" s="67">
        <f>SUM(Table14[Debit])</f>
        <v>9002226</v>
      </c>
    </row>
    <row r="17" spans="2:6" ht="15" thickBot="1" x14ac:dyDescent="0.35">
      <c r="B17" s="82" t="s">
        <v>72</v>
      </c>
      <c r="C17" s="81">
        <f>C15-C16</f>
        <v>-2685861</v>
      </c>
    </row>
    <row r="18" spans="2:6" ht="15" thickBot="1" x14ac:dyDescent="0.35">
      <c r="B18" s="66"/>
      <c r="C18" s="67"/>
    </row>
    <row r="19" spans="2:6" ht="15" thickBot="1" x14ac:dyDescent="0.35">
      <c r="B19" s="83" t="s">
        <v>73</v>
      </c>
      <c r="C19" s="84">
        <f>Table18[[#Totals],[amount]]</f>
        <v>136751</v>
      </c>
    </row>
    <row r="20" spans="2:6" ht="15" thickBot="1" x14ac:dyDescent="0.35">
      <c r="B20" s="79"/>
      <c r="C20" s="80"/>
    </row>
    <row r="21" spans="2:6" ht="15" thickBot="1" x14ac:dyDescent="0.35">
      <c r="B21" s="68" t="s">
        <v>74</v>
      </c>
      <c r="C21" s="69">
        <f ca="1">(C13-C17)+C19</f>
        <v>2705502.2275054865</v>
      </c>
      <c r="E21" s="87" t="s">
        <v>75</v>
      </c>
      <c r="F21" s="88">
        <f ca="1">C5*0.05</f>
        <v>135275.11137527434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202492</v>
      </c>
      <c r="E35">
        <f>SUBTOTAL(109,Table13[Credit])</f>
        <v>0</v>
      </c>
      <c r="F35">
        <f>Table13[[#Totals],[Debit]]-Table13[[#Totals],[Credit]]</f>
        <v>202492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63"/>
  <sheetViews>
    <sheetView zoomScale="108" workbookViewId="0">
      <selection activeCell="D18" sqref="D18"/>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hidden="1"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hidden="1"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hidden="1"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hidden="1"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hidden="1"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hidden="1"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hidden="1"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hidden="1"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hidden="1"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hidden="1"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hidden="1"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hidden="1"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hidden="1"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hidden="1"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hidden="1"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hidden="1"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hidden="1"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hidden="1"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hidden="1"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hidden="1"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hidden="1"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hidden="1"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hidden="1"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hidden="1"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hidden="1"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hidden="1"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hidden="1"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hidden="1"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hidden="1"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hidden="1"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hidden="1"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hidden="1"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hidden="1"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hidden="1"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hidden="1" x14ac:dyDescent="0.3">
      <c r="A51" s="28">
        <v>45925</v>
      </c>
      <c r="B51" s="29" t="s">
        <v>21</v>
      </c>
      <c r="C51" s="29">
        <v>871</v>
      </c>
      <c r="D51" s="29" t="s">
        <v>86</v>
      </c>
      <c r="E51" s="11" t="s">
        <v>255</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hidden="1"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hidden="1" x14ac:dyDescent="0.3">
      <c r="A53" s="28">
        <v>45926</v>
      </c>
      <c r="B53" s="29" t="s">
        <v>21</v>
      </c>
      <c r="C53" s="29">
        <v>873</v>
      </c>
      <c r="D53" s="29" t="s">
        <v>86</v>
      </c>
      <c r="E53" s="11" t="s">
        <v>255</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hidden="1"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hidden="1"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hidden="1"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hidden="1"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hidden="1"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hidden="1"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hidden="1"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hidden="1"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hidden="1"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hidden="1"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hidden="1"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hidden="1"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hidden="1"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hidden="1"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hidden="1"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hidden="1"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hidden="1"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hidden="1"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hidden="1"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295</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296</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297</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298</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299</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c r="B84"/>
      <c r="C84"/>
      <c r="D84"/>
      <c r="E84" s="14"/>
      <c r="F84" s="14"/>
      <c r="G84" s="14"/>
      <c r="H84" s="50"/>
      <c r="I84" s="117" cm="1">
        <f t="array" aca="1" ref="I84" ca="1">SUMPRODUCT( SUBTOTAL(109, OFFSET(Table1[tiyar/meters], ROW(Table1[tiyar/meters])-MIN(ROW(Table1[tiyar/meters])), 0, 1)), --(Table1[Bill Number]&lt;&gt;"August Closing CF") )</f>
        <v>318134.60131675203</v>
      </c>
      <c r="J84" s="50" cm="1">
        <f t="array" aca="1" ref="J84" ca="1">SUMPRODUCT( SUBTOTAL(109, OFFSET(Table1[billing], ROW(Table1[billing])-MIN(ROW(Table1[billing])), 0, 1)), --(Table1[Bill Number]&lt;&gt;"August Closing CF") )</f>
        <v>3469858.2662765183</v>
      </c>
      <c r="K84" s="14">
        <f>SUMIFS(Table1[billing], Table1[Bill Number], "&lt;&gt;August Closing CF")</f>
        <v>9021867.2275054902</v>
      </c>
      <c r="P84"/>
      <c r="Q84"/>
    </row>
    <row r="85" spans="1:17" x14ac:dyDescent="0.3">
      <c r="P85"/>
      <c r="Q85"/>
    </row>
    <row r="86" spans="1:17" x14ac:dyDescent="0.3">
      <c r="P86"/>
      <c r="Q86"/>
    </row>
    <row r="87" spans="1:17" x14ac:dyDescent="0.3">
      <c r="D87" s="3" t="s">
        <v>2</v>
      </c>
      <c r="E87" t="s">
        <v>89</v>
      </c>
      <c r="P87"/>
      <c r="Q87"/>
    </row>
    <row r="88" spans="1:17" x14ac:dyDescent="0.3">
      <c r="D88" s="3" t="s">
        <v>76</v>
      </c>
      <c r="E88" t="s">
        <v>89</v>
      </c>
      <c r="P88"/>
      <c r="Q88"/>
    </row>
    <row r="89" spans="1:17" x14ac:dyDescent="0.3">
      <c r="D89" s="3" t="s">
        <v>80</v>
      </c>
      <c r="E89" t="s">
        <v>89</v>
      </c>
      <c r="P89"/>
      <c r="Q89"/>
    </row>
    <row r="90" spans="1:17" x14ac:dyDescent="0.3">
      <c r="P90"/>
      <c r="Q90"/>
    </row>
    <row r="91" spans="1:17" x14ac:dyDescent="0.3">
      <c r="D91" s="3" t="s">
        <v>6</v>
      </c>
      <c r="E91" t="s">
        <v>90</v>
      </c>
      <c r="F91" t="s">
        <v>91</v>
      </c>
      <c r="G91" t="s">
        <v>92</v>
      </c>
      <c r="I91" s="3" t="s">
        <v>6</v>
      </c>
      <c r="J91" t="s">
        <v>91</v>
      </c>
      <c r="K91" t="s">
        <v>92</v>
      </c>
      <c r="P91"/>
      <c r="Q91"/>
    </row>
    <row r="92" spans="1:17" x14ac:dyDescent="0.3">
      <c r="D92" s="16" t="s">
        <v>164</v>
      </c>
      <c r="E92"/>
      <c r="F92" s="33">
        <v>2397934.3452816382</v>
      </c>
      <c r="G92">
        <v>24159091.119458668</v>
      </c>
      <c r="I92" s="27">
        <v>45888</v>
      </c>
      <c r="J92" s="50">
        <v>2002.56035113387</v>
      </c>
      <c r="K92" s="14">
        <v>20025.603511338701</v>
      </c>
      <c r="P92"/>
      <c r="Q92"/>
    </row>
    <row r="93" spans="1:17" x14ac:dyDescent="0.3">
      <c r="D93" s="16">
        <v>835</v>
      </c>
      <c r="E93">
        <v>19968</v>
      </c>
      <c r="F93" s="33">
        <v>18258.961228968546</v>
      </c>
      <c r="G93">
        <v>182589.61228968546</v>
      </c>
      <c r="I93" s="27">
        <v>45916</v>
      </c>
      <c r="J93" s="50">
        <v>2397934.3452816382</v>
      </c>
      <c r="K93" s="14">
        <v>24159091.119458668</v>
      </c>
      <c r="P93"/>
      <c r="Q93"/>
    </row>
    <row r="94" spans="1:17" x14ac:dyDescent="0.3">
      <c r="D94" s="16">
        <v>836</v>
      </c>
      <c r="E94">
        <v>28988</v>
      </c>
      <c r="F94" s="33">
        <v>26506.949524506221</v>
      </c>
      <c r="G94">
        <v>318083.39429407462</v>
      </c>
      <c r="I94" s="27">
        <v>45917</v>
      </c>
      <c r="J94" s="50">
        <v>82800.841258229702</v>
      </c>
      <c r="K94" s="14">
        <v>925892.46525237756</v>
      </c>
      <c r="P94"/>
      <c r="Q94"/>
    </row>
    <row r="95" spans="1:17" x14ac:dyDescent="0.3">
      <c r="D95" s="16">
        <v>837</v>
      </c>
      <c r="E95">
        <v>3979</v>
      </c>
      <c r="F95" s="33">
        <v>3638.4418434528166</v>
      </c>
      <c r="G95">
        <v>43661.3021214338</v>
      </c>
      <c r="I95" s="27">
        <v>45918</v>
      </c>
      <c r="J95" s="50">
        <v>34217.264081931236</v>
      </c>
      <c r="K95" s="14">
        <v>342172.64081931236</v>
      </c>
      <c r="O95"/>
      <c r="P95"/>
      <c r="Q95"/>
    </row>
    <row r="96" spans="1:17" x14ac:dyDescent="0.3">
      <c r="D96" s="16">
        <v>838</v>
      </c>
      <c r="E96">
        <v>6476</v>
      </c>
      <c r="F96" s="33">
        <v>5921.7264081931244</v>
      </c>
      <c r="G96">
        <v>71060.716898317492</v>
      </c>
      <c r="I96" s="27">
        <v>45919</v>
      </c>
      <c r="J96" s="50">
        <v>26449.341623994151</v>
      </c>
      <c r="K96" s="14">
        <v>264493.41623994149</v>
      </c>
      <c r="O96"/>
      <c r="P96"/>
      <c r="Q96"/>
    </row>
    <row r="97" spans="4:17" x14ac:dyDescent="0.3">
      <c r="D97" s="16">
        <v>839</v>
      </c>
      <c r="E97">
        <v>10952</v>
      </c>
      <c r="F97" s="33">
        <v>10014.630577907828</v>
      </c>
      <c r="G97">
        <v>120175.56693489394</v>
      </c>
      <c r="I97" s="27">
        <v>45920</v>
      </c>
      <c r="J97" s="50">
        <v>59877.468910021955</v>
      </c>
      <c r="K97" s="14">
        <v>598774.68910021952</v>
      </c>
      <c r="O97"/>
      <c r="P97"/>
      <c r="Q97"/>
    </row>
    <row r="98" spans="4:17" x14ac:dyDescent="0.3">
      <c r="D98" s="16">
        <v>840</v>
      </c>
      <c r="E98">
        <v>3128</v>
      </c>
      <c r="F98" s="33">
        <v>2860.2779809802491</v>
      </c>
      <c r="G98">
        <v>34323.335771762991</v>
      </c>
      <c r="I98" s="27">
        <v>45922</v>
      </c>
      <c r="J98" s="50">
        <v>129489.75859546452</v>
      </c>
      <c r="K98" s="14">
        <v>1188917.3372348209</v>
      </c>
      <c r="L98"/>
      <c r="M98"/>
      <c r="O98"/>
      <c r="P98"/>
      <c r="Q98"/>
    </row>
    <row r="99" spans="4:17" x14ac:dyDescent="0.3">
      <c r="D99" s="16">
        <v>841</v>
      </c>
      <c r="E99">
        <v>17060</v>
      </c>
      <c r="F99" s="33">
        <v>15599.853694220923</v>
      </c>
      <c r="G99">
        <v>155998.53694220923</v>
      </c>
      <c r="I99" s="27">
        <v>45923</v>
      </c>
      <c r="J99" s="50">
        <v>54385.515727871258</v>
      </c>
      <c r="K99" s="14">
        <v>533916.42282370164</v>
      </c>
      <c r="L99"/>
      <c r="M99"/>
      <c r="O99"/>
      <c r="P99"/>
      <c r="Q99"/>
    </row>
    <row r="100" spans="4:17" x14ac:dyDescent="0.3">
      <c r="D100" s="16">
        <v>842</v>
      </c>
      <c r="E100"/>
      <c r="F100" s="33">
        <v>0</v>
      </c>
      <c r="G100">
        <v>0</v>
      </c>
      <c r="I100" s="27">
        <v>45924</v>
      </c>
      <c r="J100" s="50">
        <v>100605.34016093636</v>
      </c>
      <c r="K100" s="14">
        <v>1207264.0819312364</v>
      </c>
      <c r="L100"/>
      <c r="M100"/>
      <c r="O100"/>
      <c r="P100"/>
      <c r="Q100"/>
    </row>
    <row r="101" spans="4:17" x14ac:dyDescent="0.3">
      <c r="D101" s="16">
        <v>843</v>
      </c>
      <c r="E101">
        <v>37420</v>
      </c>
      <c r="F101" s="33">
        <v>34217.264081931236</v>
      </c>
      <c r="G101">
        <v>342172.64081931236</v>
      </c>
      <c r="I101" s="27">
        <v>45925</v>
      </c>
      <c r="J101" s="50">
        <v>63347.659107534753</v>
      </c>
      <c r="K101" s="14">
        <v>698609.18068763718</v>
      </c>
      <c r="L101"/>
      <c r="M101"/>
      <c r="N101"/>
      <c r="O101"/>
      <c r="P101"/>
      <c r="Q101"/>
    </row>
    <row r="102" spans="4:17" x14ac:dyDescent="0.3">
      <c r="D102" s="16">
        <v>844</v>
      </c>
      <c r="E102">
        <v>2641</v>
      </c>
      <c r="F102" s="33">
        <v>2414.9597659107535</v>
      </c>
      <c r="G102">
        <v>24149.597659107534</v>
      </c>
      <c r="I102" s="27">
        <v>45926</v>
      </c>
      <c r="J102" s="50">
        <v>59556.510607168988</v>
      </c>
      <c r="K102" s="14">
        <v>595949.15874177043</v>
      </c>
      <c r="L102"/>
      <c r="M102"/>
      <c r="N102"/>
      <c r="O102"/>
      <c r="P102"/>
      <c r="Q102"/>
    </row>
    <row r="103" spans="4:17" x14ac:dyDescent="0.3">
      <c r="D103" s="16">
        <v>845</v>
      </c>
      <c r="E103"/>
      <c r="F103" s="33">
        <v>0</v>
      </c>
      <c r="G103">
        <v>0</v>
      </c>
      <c r="I103" s="27">
        <v>45927</v>
      </c>
      <c r="J103" s="50">
        <v>83154.718361375286</v>
      </c>
      <c r="K103" s="14">
        <v>831547.18361375283</v>
      </c>
      <c r="L103"/>
      <c r="M103"/>
      <c r="N103"/>
      <c r="O103"/>
      <c r="P103"/>
      <c r="Q103"/>
    </row>
    <row r="104" spans="4:17" x14ac:dyDescent="0.3">
      <c r="D104" s="16">
        <v>846</v>
      </c>
      <c r="E104">
        <v>2190</v>
      </c>
      <c r="F104" s="33">
        <v>2002.56035113387</v>
      </c>
      <c r="G104">
        <v>20025.603511338701</v>
      </c>
      <c r="I104" s="27">
        <v>45929</v>
      </c>
      <c r="J104" s="50">
        <v>100475.49378200439</v>
      </c>
      <c r="K104" s="14">
        <v>1004754.937820044</v>
      </c>
      <c r="L104"/>
      <c r="M104"/>
      <c r="N104"/>
      <c r="O104"/>
      <c r="P104"/>
      <c r="Q104"/>
    </row>
    <row r="105" spans="4:17" x14ac:dyDescent="0.3">
      <c r="D105" s="16">
        <v>847</v>
      </c>
      <c r="E105">
        <v>26284</v>
      </c>
      <c r="F105" s="33">
        <v>24034.381858083398</v>
      </c>
      <c r="G105">
        <v>240343.81858083396</v>
      </c>
      <c r="I105" s="27">
        <v>45930</v>
      </c>
      <c r="J105" s="50">
        <v>67462.509144111202</v>
      </c>
      <c r="K105" s="14">
        <v>809550.10972933436</v>
      </c>
      <c r="L105"/>
      <c r="M105"/>
      <c r="N105"/>
      <c r="O105"/>
    </row>
    <row r="106" spans="4:17" x14ac:dyDescent="0.3">
      <c r="D106" s="16">
        <v>848</v>
      </c>
      <c r="E106"/>
      <c r="F106" s="33">
        <v>0</v>
      </c>
      <c r="G106">
        <v>0</v>
      </c>
      <c r="I106" s="27" t="s">
        <v>28</v>
      </c>
      <c r="J106" s="50">
        <v>3261759.3269934161</v>
      </c>
      <c r="K106" s="14">
        <v>33180958.346964154</v>
      </c>
      <c r="L106"/>
      <c r="M106"/>
      <c r="N106"/>
      <c r="O106"/>
    </row>
    <row r="107" spans="4:17" x14ac:dyDescent="0.3">
      <c r="D107" s="16">
        <v>849</v>
      </c>
      <c r="E107">
        <v>6883</v>
      </c>
      <c r="F107" s="33">
        <v>6293.8917337234825</v>
      </c>
      <c r="G107">
        <v>62938.917337234823</v>
      </c>
      <c r="I107"/>
      <c r="J107"/>
      <c r="K107"/>
      <c r="L107"/>
      <c r="M107"/>
      <c r="N107"/>
      <c r="O107"/>
    </row>
    <row r="108" spans="4:17" x14ac:dyDescent="0.3">
      <c r="D108" s="16">
        <v>850</v>
      </c>
      <c r="E108"/>
      <c r="F108" s="33">
        <v>0</v>
      </c>
      <c r="G108">
        <v>0</v>
      </c>
      <c r="I108"/>
      <c r="J108"/>
      <c r="K108"/>
      <c r="L108"/>
      <c r="M108"/>
      <c r="N108"/>
      <c r="O108"/>
    </row>
    <row r="109" spans="4:17" x14ac:dyDescent="0.3">
      <c r="D109" s="16">
        <v>851</v>
      </c>
      <c r="E109"/>
      <c r="F109" s="33">
        <v>0</v>
      </c>
      <c r="G109">
        <v>0</v>
      </c>
      <c r="I109"/>
      <c r="J109"/>
      <c r="K109"/>
      <c r="L109"/>
      <c r="M109"/>
      <c r="N109"/>
      <c r="O109"/>
    </row>
    <row r="110" spans="4:17" x14ac:dyDescent="0.3">
      <c r="D110" s="16">
        <v>852</v>
      </c>
      <c r="E110">
        <v>10423</v>
      </c>
      <c r="F110" s="33">
        <v>9530.9070958302855</v>
      </c>
      <c r="G110">
        <v>95309.070958302851</v>
      </c>
      <c r="I110"/>
      <c r="J110"/>
      <c r="K110"/>
      <c r="L110"/>
      <c r="M110"/>
      <c r="N110"/>
      <c r="O110"/>
    </row>
    <row r="111" spans="4:17" x14ac:dyDescent="0.3">
      <c r="D111" s="16">
        <v>853</v>
      </c>
      <c r="E111">
        <v>22769</v>
      </c>
      <c r="F111" s="33">
        <v>20820.226773957573</v>
      </c>
      <c r="G111">
        <v>208202.26773957573</v>
      </c>
      <c r="I111"/>
      <c r="J111"/>
      <c r="K111"/>
      <c r="L111"/>
      <c r="M111"/>
      <c r="N111"/>
      <c r="O111"/>
    </row>
    <row r="112" spans="4:17" x14ac:dyDescent="0.3">
      <c r="D112" s="16">
        <v>854</v>
      </c>
      <c r="E112">
        <v>25407</v>
      </c>
      <c r="F112" s="33">
        <v>23232.44330651061</v>
      </c>
      <c r="G112">
        <v>232324.4330651061</v>
      </c>
      <c r="I112"/>
      <c r="J112"/>
      <c r="K112"/>
      <c r="L112"/>
      <c r="M112"/>
      <c r="N112"/>
      <c r="O112"/>
    </row>
    <row r="113" spans="4:15" x14ac:dyDescent="0.3">
      <c r="D113" s="16">
        <v>855</v>
      </c>
      <c r="E113"/>
      <c r="F113" s="33">
        <v>0</v>
      </c>
      <c r="G113">
        <v>0</v>
      </c>
      <c r="I113"/>
      <c r="J113"/>
      <c r="K113"/>
      <c r="L113"/>
      <c r="M113"/>
      <c r="N113"/>
      <c r="O113"/>
    </row>
    <row r="114" spans="4:15" x14ac:dyDescent="0.3">
      <c r="D114" s="16">
        <v>856</v>
      </c>
      <c r="E114">
        <v>25710</v>
      </c>
      <c r="F114" s="33">
        <v>23509.509875640091</v>
      </c>
      <c r="G114">
        <v>235095.09875640093</v>
      </c>
      <c r="I114"/>
      <c r="J114"/>
      <c r="K114"/>
      <c r="L114"/>
      <c r="M114"/>
      <c r="N114"/>
      <c r="O114"/>
    </row>
    <row r="115" spans="4:15" x14ac:dyDescent="0.3">
      <c r="D115" s="16">
        <v>857</v>
      </c>
      <c r="E115">
        <v>18018</v>
      </c>
      <c r="F115" s="33">
        <v>16475.859546452088</v>
      </c>
      <c r="G115">
        <v>148282.73591806879</v>
      </c>
      <c r="I115"/>
      <c r="J115"/>
      <c r="K115"/>
      <c r="L115"/>
      <c r="M115"/>
      <c r="N115"/>
      <c r="O115"/>
    </row>
    <row r="116" spans="4:15" x14ac:dyDescent="0.3">
      <c r="D116" s="16">
        <v>858</v>
      </c>
      <c r="E116">
        <v>52061</v>
      </c>
      <c r="F116" s="33">
        <v>47605.157278712511</v>
      </c>
      <c r="G116">
        <v>428446.41550841258</v>
      </c>
      <c r="I116"/>
      <c r="J116"/>
      <c r="K116"/>
      <c r="L116"/>
      <c r="M116"/>
      <c r="N116"/>
    </row>
    <row r="117" spans="4:15" x14ac:dyDescent="0.3">
      <c r="D117" s="16">
        <v>859</v>
      </c>
      <c r="E117">
        <v>45821</v>
      </c>
      <c r="F117" s="33">
        <v>41899.231894659846</v>
      </c>
      <c r="G117">
        <v>377093.08705193864</v>
      </c>
      <c r="I117"/>
      <c r="J117"/>
      <c r="K117"/>
      <c r="L117"/>
      <c r="M117"/>
      <c r="N117"/>
    </row>
    <row r="118" spans="4:15" x14ac:dyDescent="0.3">
      <c r="D118" s="16">
        <v>860</v>
      </c>
      <c r="E118">
        <v>41491</v>
      </c>
      <c r="F118" s="33">
        <v>37939.831748354067</v>
      </c>
      <c r="G118">
        <v>379398.31748354068</v>
      </c>
      <c r="L118"/>
      <c r="M118"/>
      <c r="N118"/>
    </row>
    <row r="119" spans="4:15" x14ac:dyDescent="0.3">
      <c r="D119" s="16">
        <v>861</v>
      </c>
      <c r="E119">
        <v>7116</v>
      </c>
      <c r="F119" s="33">
        <v>6506.9495245062189</v>
      </c>
      <c r="G119">
        <v>65069.495245062193</v>
      </c>
      <c r="L119"/>
      <c r="M119"/>
      <c r="N119"/>
    </row>
    <row r="120" spans="4:15" x14ac:dyDescent="0.3">
      <c r="D120" s="16">
        <v>862</v>
      </c>
      <c r="E120"/>
      <c r="F120" s="33">
        <v>0</v>
      </c>
      <c r="G120">
        <v>0</v>
      </c>
      <c r="L120"/>
      <c r="M120"/>
      <c r="N120"/>
    </row>
    <row r="121" spans="4:15" x14ac:dyDescent="0.3">
      <c r="D121" s="16">
        <v>863</v>
      </c>
      <c r="E121">
        <v>10869</v>
      </c>
      <c r="F121" s="33">
        <v>9938.7344550109738</v>
      </c>
      <c r="G121">
        <v>89448.61009509876</v>
      </c>
      <c r="L121"/>
      <c r="M121"/>
      <c r="N121"/>
    </row>
    <row r="122" spans="4:15" x14ac:dyDescent="0.3">
      <c r="D122" s="16">
        <v>864</v>
      </c>
      <c r="E122">
        <v>35692</v>
      </c>
      <c r="F122" s="33">
        <v>32637.161667885885</v>
      </c>
      <c r="G122">
        <v>391645.94001463061</v>
      </c>
      <c r="L122"/>
      <c r="M122"/>
      <c r="N122"/>
    </row>
    <row r="123" spans="4:15" x14ac:dyDescent="0.3">
      <c r="D123" s="16">
        <v>865</v>
      </c>
      <c r="E123">
        <v>28089</v>
      </c>
      <c r="F123" s="33">
        <v>25684.893928310172</v>
      </c>
      <c r="G123">
        <v>308218.72713972209</v>
      </c>
      <c r="L123"/>
      <c r="M123"/>
      <c r="N123"/>
    </row>
    <row r="124" spans="4:15" x14ac:dyDescent="0.3">
      <c r="D124" s="16">
        <v>866</v>
      </c>
      <c r="E124">
        <v>14996</v>
      </c>
      <c r="F124" s="33">
        <v>13712.509144111194</v>
      </c>
      <c r="G124">
        <v>164550.10972933433</v>
      </c>
      <c r="L124"/>
      <c r="M124"/>
      <c r="N124"/>
    </row>
    <row r="125" spans="4:15" x14ac:dyDescent="0.3">
      <c r="D125" s="16">
        <v>867</v>
      </c>
      <c r="E125">
        <v>13485</v>
      </c>
      <c r="F125" s="33">
        <v>12330.833942940748</v>
      </c>
      <c r="G125">
        <v>147970.00731528897</v>
      </c>
      <c r="L125"/>
      <c r="M125"/>
      <c r="N125"/>
    </row>
    <row r="126" spans="4:15" x14ac:dyDescent="0.3">
      <c r="D126" s="16">
        <v>868</v>
      </c>
      <c r="E126">
        <v>15066</v>
      </c>
      <c r="F126" s="33">
        <v>13776.517922457939</v>
      </c>
      <c r="G126">
        <v>165318.21506949526</v>
      </c>
      <c r="L126"/>
      <c r="M126"/>
      <c r="N126"/>
    </row>
    <row r="127" spans="4:15" x14ac:dyDescent="0.3">
      <c r="D127" s="16">
        <v>869</v>
      </c>
      <c r="E127">
        <v>2694</v>
      </c>
      <c r="F127" s="33">
        <v>2463.4235552304317</v>
      </c>
      <c r="G127">
        <v>29561.08266276518</v>
      </c>
      <c r="L127"/>
      <c r="M127"/>
      <c r="N127"/>
    </row>
    <row r="128" spans="4:15" x14ac:dyDescent="0.3">
      <c r="D128" s="16">
        <v>870</v>
      </c>
      <c r="E128">
        <v>32937</v>
      </c>
      <c r="F128" s="33">
        <v>30117.95903438186</v>
      </c>
      <c r="G128">
        <v>361415.50841258233</v>
      </c>
      <c r="L128"/>
      <c r="M128"/>
      <c r="N128"/>
    </row>
    <row r="129" spans="4:14" x14ac:dyDescent="0.3">
      <c r="D129" s="16">
        <v>871</v>
      </c>
      <c r="E129">
        <v>25630</v>
      </c>
      <c r="F129" s="33">
        <v>23436.356986100953</v>
      </c>
      <c r="G129">
        <v>234363.56986100954</v>
      </c>
      <c r="L129"/>
      <c r="M129"/>
      <c r="N129"/>
    </row>
    <row r="130" spans="4:14" x14ac:dyDescent="0.3">
      <c r="D130" s="16">
        <v>872</v>
      </c>
      <c r="E130">
        <v>10710</v>
      </c>
      <c r="F130" s="33">
        <v>9793.3430870519387</v>
      </c>
      <c r="G130">
        <v>102830.10241404535</v>
      </c>
      <c r="L130"/>
      <c r="M130"/>
      <c r="N130"/>
    </row>
    <row r="131" spans="4:14" x14ac:dyDescent="0.3">
      <c r="D131" s="16">
        <v>873</v>
      </c>
      <c r="E131">
        <v>10710</v>
      </c>
      <c r="F131" s="33">
        <v>9793.3430870519387</v>
      </c>
      <c r="G131">
        <v>97933.430870519383</v>
      </c>
      <c r="L131"/>
      <c r="M131"/>
      <c r="N131"/>
    </row>
    <row r="132" spans="4:14" x14ac:dyDescent="0.3">
      <c r="D132" s="16">
        <v>874</v>
      </c>
      <c r="E132">
        <v>20984</v>
      </c>
      <c r="F132" s="33">
        <v>19188.002926115583</v>
      </c>
      <c r="G132">
        <v>191880.02926115584</v>
      </c>
      <c r="L132"/>
      <c r="M132"/>
      <c r="N132"/>
    </row>
    <row r="133" spans="4:14" x14ac:dyDescent="0.3">
      <c r="D133" s="16">
        <v>875</v>
      </c>
      <c r="E133">
        <v>13939</v>
      </c>
      <c r="F133" s="33">
        <v>12745.976591075349</v>
      </c>
      <c r="G133">
        <v>127459.76591075349</v>
      </c>
    </row>
    <row r="134" spans="4:14" x14ac:dyDescent="0.3">
      <c r="D134" s="16">
        <v>876</v>
      </c>
      <c r="E134">
        <v>210</v>
      </c>
      <c r="F134" s="33">
        <v>192.0263350402341</v>
      </c>
      <c r="G134">
        <v>2304.3160204828091</v>
      </c>
    </row>
    <row r="135" spans="4:14" x14ac:dyDescent="0.3">
      <c r="D135" s="16">
        <v>877</v>
      </c>
      <c r="E135">
        <v>19288</v>
      </c>
      <c r="F135" s="33">
        <v>17637.161667885885</v>
      </c>
      <c r="G135">
        <v>176371.61667885885</v>
      </c>
    </row>
    <row r="136" spans="4:14" x14ac:dyDescent="0.3">
      <c r="D136" s="16">
        <v>878</v>
      </c>
      <c r="E136">
        <v>12510</v>
      </c>
      <c r="F136" s="33">
        <v>11439.283101682517</v>
      </c>
      <c r="G136">
        <v>114392.83101682516</v>
      </c>
    </row>
    <row r="137" spans="4:14" x14ac:dyDescent="0.3">
      <c r="D137" s="16">
        <v>879</v>
      </c>
      <c r="E137">
        <v>16471</v>
      </c>
      <c r="F137" s="33">
        <v>15061.265544989028</v>
      </c>
      <c r="G137">
        <v>150612.65544989027</v>
      </c>
    </row>
    <row r="138" spans="4:14" x14ac:dyDescent="0.3">
      <c r="D138" s="16">
        <v>880</v>
      </c>
      <c r="E138">
        <v>11222</v>
      </c>
      <c r="F138" s="33">
        <v>10261.521580102415</v>
      </c>
      <c r="G138">
        <v>102615.21580102415</v>
      </c>
    </row>
    <row r="139" spans="4:14" x14ac:dyDescent="0.3">
      <c r="D139" s="16">
        <v>881</v>
      </c>
      <c r="E139">
        <v>15796</v>
      </c>
      <c r="F139" s="33">
        <v>14444.038039502562</v>
      </c>
      <c r="G139">
        <v>144440.38039502563</v>
      </c>
    </row>
    <row r="140" spans="4:14" x14ac:dyDescent="0.3">
      <c r="D140" s="16">
        <v>882</v>
      </c>
      <c r="E140">
        <v>17234</v>
      </c>
      <c r="F140" s="33">
        <v>15758.961228968546</v>
      </c>
      <c r="G140">
        <v>157589.61228968546</v>
      </c>
    </row>
    <row r="141" spans="4:14" x14ac:dyDescent="0.3">
      <c r="D141" s="16">
        <v>883</v>
      </c>
      <c r="E141">
        <v>13257</v>
      </c>
      <c r="F141" s="33">
        <v>12122.348207754207</v>
      </c>
      <c r="G141">
        <v>121223.48207754207</v>
      </c>
    </row>
    <row r="142" spans="4:14" x14ac:dyDescent="0.3">
      <c r="D142" s="16">
        <v>884</v>
      </c>
      <c r="E142">
        <v>4448</v>
      </c>
      <c r="F142" s="33">
        <v>4067.3006583760061</v>
      </c>
      <c r="G142">
        <v>40673.006583760063</v>
      </c>
    </row>
    <row r="143" spans="4:14" x14ac:dyDescent="0.3">
      <c r="D143" s="16">
        <v>885</v>
      </c>
      <c r="E143">
        <v>1850</v>
      </c>
      <c r="F143" s="33">
        <v>1691.6605705925385</v>
      </c>
      <c r="G143">
        <v>16916.605705925387</v>
      </c>
    </row>
    <row r="144" spans="4:14" x14ac:dyDescent="0.3">
      <c r="D144" s="16">
        <v>886</v>
      </c>
      <c r="E144">
        <v>12863</v>
      </c>
      <c r="F144" s="33">
        <v>11762.070226773958</v>
      </c>
      <c r="G144">
        <v>117620.70226773957</v>
      </c>
    </row>
    <row r="145" spans="4:7" x14ac:dyDescent="0.3">
      <c r="D145" s="16">
        <v>887</v>
      </c>
      <c r="E145">
        <v>4262</v>
      </c>
      <c r="F145" s="33">
        <v>3897.2201901975131</v>
      </c>
      <c r="G145">
        <v>38972.201901975131</v>
      </c>
    </row>
    <row r="146" spans="4:7" x14ac:dyDescent="0.3">
      <c r="D146" s="16">
        <v>888</v>
      </c>
      <c r="E146">
        <v>4440</v>
      </c>
      <c r="F146" s="33">
        <v>4059.9853694220924</v>
      </c>
      <c r="G146">
        <v>40599.853694220925</v>
      </c>
    </row>
    <row r="147" spans="4:7" x14ac:dyDescent="0.3">
      <c r="D147" s="16">
        <v>889</v>
      </c>
      <c r="E147">
        <v>16998</v>
      </c>
      <c r="F147" s="33">
        <v>15543.160204828093</v>
      </c>
      <c r="G147">
        <v>155431.60204828094</v>
      </c>
    </row>
    <row r="148" spans="4:7" x14ac:dyDescent="0.3">
      <c r="D148" s="16">
        <v>890</v>
      </c>
      <c r="E148">
        <v>15007</v>
      </c>
      <c r="F148" s="33">
        <v>13722.567666422825</v>
      </c>
      <c r="G148">
        <v>137225.67666422826</v>
      </c>
    </row>
    <row r="149" spans="4:7" x14ac:dyDescent="0.3">
      <c r="D149" s="16">
        <v>891</v>
      </c>
      <c r="E149">
        <v>36453</v>
      </c>
      <c r="F149" s="33">
        <v>33333.028529626921</v>
      </c>
      <c r="G149">
        <v>333330.28529626923</v>
      </c>
    </row>
    <row r="150" spans="4:7" x14ac:dyDescent="0.3">
      <c r="D150" s="16">
        <v>892</v>
      </c>
      <c r="E150">
        <v>18007</v>
      </c>
      <c r="F150" s="33">
        <v>16465.801024140455</v>
      </c>
      <c r="G150">
        <v>164658.01024140455</v>
      </c>
    </row>
    <row r="151" spans="4:7" x14ac:dyDescent="0.3">
      <c r="D151" s="16">
        <v>893</v>
      </c>
      <c r="E151">
        <v>19462</v>
      </c>
      <c r="F151" s="33">
        <v>17796.269202633506</v>
      </c>
      <c r="G151">
        <v>213555.23043160207</v>
      </c>
    </row>
    <row r="152" spans="4:7" x14ac:dyDescent="0.3">
      <c r="D152" s="16">
        <v>894</v>
      </c>
      <c r="E152">
        <v>2846</v>
      </c>
      <c r="F152" s="33">
        <v>2602.4140453547916</v>
      </c>
      <c r="G152">
        <v>31228.968544257499</v>
      </c>
    </row>
    <row r="153" spans="4:7" x14ac:dyDescent="0.3">
      <c r="D153" s="16">
        <v>895</v>
      </c>
      <c r="E153">
        <v>8529</v>
      </c>
      <c r="F153" s="33">
        <v>7799.0124359912224</v>
      </c>
      <c r="G153">
        <v>93588.149231894669</v>
      </c>
    </row>
    <row r="154" spans="4:7" x14ac:dyDescent="0.3">
      <c r="D154" s="16">
        <v>896</v>
      </c>
      <c r="E154">
        <v>13770</v>
      </c>
      <c r="F154" s="33">
        <v>12591.441111923921</v>
      </c>
      <c r="G154">
        <v>151097.29334308705</v>
      </c>
    </row>
    <row r="155" spans="4:7" x14ac:dyDescent="0.3">
      <c r="D155" s="16">
        <v>897</v>
      </c>
      <c r="E155">
        <v>9238</v>
      </c>
      <c r="F155" s="33">
        <v>8447.3299195318214</v>
      </c>
      <c r="G155">
        <v>101367.95903438186</v>
      </c>
    </row>
    <row r="156" spans="4:7" x14ac:dyDescent="0.3">
      <c r="D156" s="16">
        <v>898</v>
      </c>
      <c r="E156">
        <v>6756</v>
      </c>
      <c r="F156" s="33">
        <v>6177.7615215801034</v>
      </c>
      <c r="G156">
        <v>74133.138258961233</v>
      </c>
    </row>
    <row r="157" spans="4:7" x14ac:dyDescent="0.3">
      <c r="D157" s="16" t="s">
        <v>295</v>
      </c>
      <c r="E157">
        <v>3124</v>
      </c>
      <c r="F157" s="33">
        <v>2856.620336503292</v>
      </c>
      <c r="G157">
        <v>34279.444038039503</v>
      </c>
    </row>
    <row r="158" spans="4:7" x14ac:dyDescent="0.3">
      <c r="D158" s="16" t="s">
        <v>296</v>
      </c>
      <c r="E158">
        <v>1928</v>
      </c>
      <c r="F158" s="33">
        <v>1762.984637893197</v>
      </c>
      <c r="G158">
        <v>21155.815654718364</v>
      </c>
    </row>
    <row r="159" spans="4:7" x14ac:dyDescent="0.3">
      <c r="D159" s="16" t="s">
        <v>297</v>
      </c>
      <c r="E159">
        <v>2578</v>
      </c>
      <c r="F159" s="33">
        <v>2357.3518653986835</v>
      </c>
      <c r="G159">
        <v>28288.222384784203</v>
      </c>
    </row>
    <row r="160" spans="4:7" x14ac:dyDescent="0.3">
      <c r="D160" s="16" t="s">
        <v>298</v>
      </c>
      <c r="E160">
        <v>4162</v>
      </c>
      <c r="F160" s="33">
        <v>3805.7790782735919</v>
      </c>
      <c r="G160">
        <v>45669.348939283103</v>
      </c>
    </row>
    <row r="161" spans="4:7" x14ac:dyDescent="0.3">
      <c r="D161" s="16" t="s">
        <v>299</v>
      </c>
      <c r="E161">
        <v>1384</v>
      </c>
      <c r="F161" s="33">
        <v>1265.5449890270668</v>
      </c>
      <c r="G161">
        <v>15186.539868324802</v>
      </c>
    </row>
    <row r="162" spans="4:7" x14ac:dyDescent="0.3">
      <c r="D162" s="16" t="s">
        <v>28</v>
      </c>
      <c r="E162">
        <v>944679</v>
      </c>
      <c r="F162" s="33">
        <v>3261759.326993417</v>
      </c>
      <c r="G162">
        <v>33180958.346964147</v>
      </c>
    </row>
    <row r="163" spans="4:7" x14ac:dyDescent="0.3">
      <c r="D163"/>
      <c r="E163"/>
      <c r="F163"/>
      <c r="G163"/>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98"/>
  <sheetViews>
    <sheetView topLeftCell="A36" zoomScale="152" workbookViewId="0">
      <selection activeCell="E44" sqref="E4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3856850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71995</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294</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t="s">
        <v>102</v>
      </c>
      <c r="D47" s="14"/>
      <c r="E47" s="14"/>
      <c r="F47" s="14"/>
      <c r="G47" s="14">
        <f>SUBTOTAL(109,Table3[Total])</f>
        <v>3856850</v>
      </c>
      <c r="H47" s="14">
        <f>SUBTOTAL(109,Table3[Paid])</f>
        <v>4035575</v>
      </c>
      <c r="I47" s="14">
        <f>SUBTOTAL(109,Table3[balance])</f>
        <v>2376152</v>
      </c>
    </row>
    <row r="52" spans="5:9" x14ac:dyDescent="0.3">
      <c r="E52" s="3" t="s">
        <v>2</v>
      </c>
      <c r="F52" t="s">
        <v>89</v>
      </c>
    </row>
    <row r="54" spans="5:9" x14ac:dyDescent="0.3">
      <c r="E54" s="3" t="s">
        <v>103</v>
      </c>
      <c r="F54" t="s">
        <v>104</v>
      </c>
      <c r="G54" t="s">
        <v>105</v>
      </c>
      <c r="H54" t="s">
        <v>106</v>
      </c>
      <c r="I54" t="s">
        <v>107</v>
      </c>
    </row>
    <row r="55" spans="5:9" x14ac:dyDescent="0.3">
      <c r="E55" s="27">
        <v>45916</v>
      </c>
      <c r="F55" s="14">
        <v>579</v>
      </c>
      <c r="G55" s="14">
        <v>448190</v>
      </c>
      <c r="H55" s="14">
        <v>361826</v>
      </c>
      <c r="I55" s="14">
        <v>2641241</v>
      </c>
    </row>
    <row r="56" spans="5:9" x14ac:dyDescent="0.3">
      <c r="E56" s="49" t="s">
        <v>108</v>
      </c>
      <c r="F56" s="14">
        <v>80</v>
      </c>
      <c r="G56" s="14">
        <v>44000</v>
      </c>
      <c r="H56" s="14">
        <v>0</v>
      </c>
      <c r="I56" s="14">
        <v>44000</v>
      </c>
    </row>
    <row r="57" spans="5:9" x14ac:dyDescent="0.3">
      <c r="E57" s="49" t="s">
        <v>99</v>
      </c>
      <c r="F57" s="14"/>
      <c r="G57" s="14">
        <v>0</v>
      </c>
      <c r="H57" s="14">
        <v>0</v>
      </c>
      <c r="I57" s="14">
        <v>2554877</v>
      </c>
    </row>
    <row r="58" spans="5:9" x14ac:dyDescent="0.3">
      <c r="E58" s="49">
        <v>112</v>
      </c>
      <c r="F58" s="14">
        <v>237</v>
      </c>
      <c r="G58" s="14">
        <v>191970</v>
      </c>
      <c r="H58" s="14">
        <v>361826</v>
      </c>
      <c r="I58" s="14">
        <v>-169856</v>
      </c>
    </row>
    <row r="59" spans="5:9" x14ac:dyDescent="0.3">
      <c r="E59" s="49">
        <v>1435</v>
      </c>
      <c r="F59" s="14">
        <v>262</v>
      </c>
      <c r="G59" s="14">
        <v>212220</v>
      </c>
      <c r="H59" s="14"/>
      <c r="I59" s="14">
        <v>212220</v>
      </c>
    </row>
    <row r="60" spans="5:9" x14ac:dyDescent="0.3">
      <c r="E60" s="27">
        <v>45917</v>
      </c>
      <c r="F60" s="14">
        <v>261</v>
      </c>
      <c r="G60" s="14">
        <v>143550</v>
      </c>
      <c r="H60" s="14">
        <v>120000</v>
      </c>
      <c r="I60" s="14">
        <v>23550</v>
      </c>
    </row>
    <row r="61" spans="5:9" x14ac:dyDescent="0.3">
      <c r="E61" s="49" t="s">
        <v>108</v>
      </c>
      <c r="F61" s="14">
        <v>261</v>
      </c>
      <c r="G61" s="14">
        <v>143550</v>
      </c>
      <c r="H61" s="14">
        <v>120000</v>
      </c>
      <c r="I61" s="14">
        <v>23550</v>
      </c>
    </row>
    <row r="62" spans="5:9" x14ac:dyDescent="0.3">
      <c r="E62" s="27">
        <v>45918</v>
      </c>
      <c r="F62" s="14">
        <v>291</v>
      </c>
      <c r="G62" s="14">
        <v>227390</v>
      </c>
      <c r="H62" s="14">
        <v>361760</v>
      </c>
      <c r="I62" s="14">
        <v>-134370</v>
      </c>
    </row>
    <row r="63" spans="5:9" x14ac:dyDescent="0.3">
      <c r="E63" s="49" t="s">
        <v>108</v>
      </c>
      <c r="F63" s="14">
        <v>32</v>
      </c>
      <c r="G63" s="14">
        <v>17600</v>
      </c>
      <c r="H63" s="14">
        <v>120000</v>
      </c>
      <c r="I63" s="14">
        <v>-102400</v>
      </c>
    </row>
    <row r="64" spans="5:9" x14ac:dyDescent="0.3">
      <c r="E64" s="49">
        <v>4646</v>
      </c>
      <c r="F64" s="14">
        <v>259</v>
      </c>
      <c r="G64" s="14">
        <v>209790</v>
      </c>
      <c r="H64" s="14">
        <v>241760</v>
      </c>
      <c r="I64" s="14">
        <v>-31970</v>
      </c>
    </row>
    <row r="65" spans="5:9" x14ac:dyDescent="0.3">
      <c r="E65" s="27">
        <v>45919</v>
      </c>
      <c r="F65" s="14">
        <v>206</v>
      </c>
      <c r="G65" s="14">
        <v>165285</v>
      </c>
      <c r="H65" s="14">
        <v>234300</v>
      </c>
      <c r="I65" s="14">
        <v>-69015</v>
      </c>
    </row>
    <row r="66" spans="5:9" x14ac:dyDescent="0.3">
      <c r="E66" s="49">
        <v>1196</v>
      </c>
      <c r="F66" s="14">
        <v>206</v>
      </c>
      <c r="G66" s="14">
        <v>165285</v>
      </c>
      <c r="H66" s="14">
        <v>234300</v>
      </c>
      <c r="I66" s="14">
        <v>-69015</v>
      </c>
    </row>
    <row r="67" spans="5:9" x14ac:dyDescent="0.3">
      <c r="E67" s="27">
        <v>45920</v>
      </c>
      <c r="F67" s="14">
        <v>633</v>
      </c>
      <c r="G67" s="14">
        <v>477975</v>
      </c>
      <c r="H67" s="14">
        <v>223385</v>
      </c>
      <c r="I67" s="14">
        <v>254590</v>
      </c>
    </row>
    <row r="68" spans="5:9" x14ac:dyDescent="0.3">
      <c r="E68" s="49" t="s">
        <v>108</v>
      </c>
      <c r="F68" s="14">
        <v>84</v>
      </c>
      <c r="G68" s="14">
        <v>46200</v>
      </c>
      <c r="H68" s="14">
        <v>0</v>
      </c>
      <c r="I68" s="14">
        <v>46200</v>
      </c>
    </row>
    <row r="69" spans="5:9" x14ac:dyDescent="0.3">
      <c r="E69" s="49">
        <v>4366</v>
      </c>
      <c r="F69" s="14">
        <v>262</v>
      </c>
      <c r="G69" s="14">
        <v>212220</v>
      </c>
      <c r="H69" s="14">
        <v>223385</v>
      </c>
      <c r="I69" s="14">
        <v>-11165</v>
      </c>
    </row>
    <row r="70" spans="5:9" x14ac:dyDescent="0.3">
      <c r="E70" s="49">
        <v>442</v>
      </c>
      <c r="F70" s="14">
        <v>287</v>
      </c>
      <c r="G70" s="14">
        <v>219555</v>
      </c>
      <c r="H70" s="14"/>
      <c r="I70" s="14">
        <v>219555</v>
      </c>
    </row>
    <row r="71" spans="5:9" x14ac:dyDescent="0.3">
      <c r="E71" s="27">
        <v>45921</v>
      </c>
      <c r="F71" s="14">
        <v>298</v>
      </c>
      <c r="G71" s="14">
        <v>216425</v>
      </c>
      <c r="H71" s="14">
        <v>36000</v>
      </c>
      <c r="I71" s="14">
        <v>180425</v>
      </c>
    </row>
    <row r="72" spans="5:9" x14ac:dyDescent="0.3">
      <c r="E72" s="49" t="s">
        <v>108</v>
      </c>
      <c r="F72" s="14">
        <v>83</v>
      </c>
      <c r="G72" s="14">
        <v>45650</v>
      </c>
      <c r="H72" s="14">
        <v>0</v>
      </c>
      <c r="I72" s="14">
        <v>45650</v>
      </c>
    </row>
    <row r="73" spans="5:9" x14ac:dyDescent="0.3">
      <c r="E73" s="49">
        <v>6613</v>
      </c>
      <c r="F73" s="14">
        <v>215</v>
      </c>
      <c r="G73" s="14">
        <v>170775</v>
      </c>
      <c r="H73" s="14">
        <v>36000</v>
      </c>
      <c r="I73" s="14">
        <v>134775</v>
      </c>
    </row>
    <row r="74" spans="5:9" x14ac:dyDescent="0.3">
      <c r="E74" s="27">
        <v>45922</v>
      </c>
      <c r="F74" s="14">
        <v>217</v>
      </c>
      <c r="G74" s="14">
        <v>175770</v>
      </c>
      <c r="H74" s="14">
        <v>399402</v>
      </c>
      <c r="I74" s="14">
        <v>-223632</v>
      </c>
    </row>
    <row r="75" spans="5:9" x14ac:dyDescent="0.3">
      <c r="E75" s="49" t="s">
        <v>108</v>
      </c>
      <c r="F75" s="14"/>
      <c r="G75" s="14">
        <v>0</v>
      </c>
      <c r="H75" s="14">
        <v>150000</v>
      </c>
      <c r="I75" s="14">
        <v>-150000</v>
      </c>
    </row>
    <row r="76" spans="5:9" x14ac:dyDescent="0.3">
      <c r="E76" s="49">
        <v>4095</v>
      </c>
      <c r="F76" s="14">
        <v>217</v>
      </c>
      <c r="G76" s="14">
        <v>175770</v>
      </c>
      <c r="H76" s="14">
        <v>249402</v>
      </c>
      <c r="I76" s="14">
        <v>-73632</v>
      </c>
    </row>
    <row r="77" spans="5:9" x14ac:dyDescent="0.3">
      <c r="E77" s="27">
        <v>45923</v>
      </c>
      <c r="F77" s="14">
        <v>526</v>
      </c>
      <c r="G77" s="14">
        <v>398160</v>
      </c>
      <c r="H77" s="14">
        <v>362400</v>
      </c>
      <c r="I77" s="14">
        <v>35760</v>
      </c>
    </row>
    <row r="78" spans="5:9" x14ac:dyDescent="0.3">
      <c r="E78" s="49">
        <v>3229</v>
      </c>
      <c r="F78" s="14">
        <v>204</v>
      </c>
      <c r="G78" s="14">
        <v>160740</v>
      </c>
      <c r="H78" s="14">
        <v>362400</v>
      </c>
      <c r="I78" s="14">
        <v>-201660</v>
      </c>
    </row>
    <row r="79" spans="5:9" x14ac:dyDescent="0.3">
      <c r="E79" s="49" t="s">
        <v>108</v>
      </c>
      <c r="F79" s="14">
        <v>90</v>
      </c>
      <c r="G79" s="14">
        <v>49500</v>
      </c>
      <c r="H79" s="14">
        <v>0</v>
      </c>
      <c r="I79" s="14">
        <v>49500</v>
      </c>
    </row>
    <row r="80" spans="5:9" x14ac:dyDescent="0.3">
      <c r="E80" s="49">
        <v>162</v>
      </c>
      <c r="F80" s="14">
        <v>232</v>
      </c>
      <c r="G80" s="14">
        <v>187920</v>
      </c>
      <c r="H80" s="14"/>
      <c r="I80" s="14">
        <v>187920</v>
      </c>
    </row>
    <row r="81" spans="5:9" x14ac:dyDescent="0.3">
      <c r="E81" s="27">
        <v>45925</v>
      </c>
      <c r="F81" s="14">
        <v>90</v>
      </c>
      <c r="G81" s="14">
        <v>52200</v>
      </c>
      <c r="H81" s="14">
        <v>300010</v>
      </c>
      <c r="I81" s="14">
        <v>-247810</v>
      </c>
    </row>
    <row r="82" spans="5:9" x14ac:dyDescent="0.3">
      <c r="E82" s="49" t="s">
        <v>108</v>
      </c>
      <c r="F82" s="14">
        <v>90</v>
      </c>
      <c r="G82" s="14">
        <v>52200</v>
      </c>
      <c r="H82" s="14">
        <v>300010</v>
      </c>
      <c r="I82" s="14">
        <v>-247810</v>
      </c>
    </row>
    <row r="83" spans="5:9" x14ac:dyDescent="0.3">
      <c r="E83" s="27">
        <v>45926</v>
      </c>
      <c r="F83" s="14">
        <v>558</v>
      </c>
      <c r="G83" s="14">
        <v>451980</v>
      </c>
      <c r="H83" s="14">
        <v>395600</v>
      </c>
      <c r="I83" s="14">
        <v>56380</v>
      </c>
    </row>
    <row r="84" spans="5:9" x14ac:dyDescent="0.3">
      <c r="E84" s="49">
        <v>8141</v>
      </c>
      <c r="F84" s="14">
        <v>253</v>
      </c>
      <c r="G84" s="14">
        <v>204930</v>
      </c>
      <c r="H84" s="14">
        <v>395600</v>
      </c>
      <c r="I84" s="14">
        <v>-190670</v>
      </c>
    </row>
    <row r="85" spans="5:9" x14ac:dyDescent="0.3">
      <c r="E85" s="49">
        <v>5560</v>
      </c>
      <c r="F85" s="14">
        <v>305</v>
      </c>
      <c r="G85" s="14">
        <v>247050</v>
      </c>
      <c r="H85" s="14"/>
      <c r="I85" s="14">
        <v>247050</v>
      </c>
    </row>
    <row r="86" spans="5:9" x14ac:dyDescent="0.3">
      <c r="E86" s="27">
        <v>45927</v>
      </c>
      <c r="F86" s="14">
        <v>197</v>
      </c>
      <c r="G86" s="14">
        <v>157320</v>
      </c>
      <c r="H86" s="14">
        <v>334500</v>
      </c>
      <c r="I86" s="14">
        <v>-177180</v>
      </c>
    </row>
    <row r="87" spans="5:9" x14ac:dyDescent="0.3">
      <c r="E87" s="49">
        <v>685</v>
      </c>
      <c r="F87" s="14">
        <v>197</v>
      </c>
      <c r="G87" s="14">
        <v>157320</v>
      </c>
      <c r="H87" s="14">
        <v>334500</v>
      </c>
      <c r="I87" s="14">
        <v>-177180</v>
      </c>
    </row>
    <row r="88" spans="5:9" x14ac:dyDescent="0.3">
      <c r="E88" s="27">
        <v>45924</v>
      </c>
      <c r="F88" s="14"/>
      <c r="G88" s="14">
        <v>0</v>
      </c>
      <c r="H88" s="14">
        <v>155000</v>
      </c>
      <c r="I88" s="14">
        <v>-155000</v>
      </c>
    </row>
    <row r="89" spans="5:9" x14ac:dyDescent="0.3">
      <c r="E89" s="49" t="s">
        <v>108</v>
      </c>
      <c r="F89" s="14"/>
      <c r="G89" s="14">
        <v>0</v>
      </c>
      <c r="H89" s="14">
        <v>155000</v>
      </c>
      <c r="I89" s="14">
        <v>-155000</v>
      </c>
    </row>
    <row r="90" spans="5:9" x14ac:dyDescent="0.3">
      <c r="E90" s="27">
        <v>45928</v>
      </c>
      <c r="F90" s="14">
        <v>803</v>
      </c>
      <c r="G90" s="14">
        <v>581660</v>
      </c>
      <c r="H90" s="14">
        <v>67300</v>
      </c>
      <c r="I90" s="14">
        <v>514360</v>
      </c>
    </row>
    <row r="91" spans="5:9" x14ac:dyDescent="0.3">
      <c r="E91" s="49" t="s">
        <v>108</v>
      </c>
      <c r="F91" s="14">
        <v>299</v>
      </c>
      <c r="G91" s="14">
        <v>173420</v>
      </c>
      <c r="H91" s="14"/>
      <c r="I91" s="14">
        <v>173420</v>
      </c>
    </row>
    <row r="92" spans="5:9" x14ac:dyDescent="0.3">
      <c r="E92" s="49">
        <v>160</v>
      </c>
      <c r="F92" s="14">
        <v>241</v>
      </c>
      <c r="G92" s="14">
        <v>195210</v>
      </c>
      <c r="H92" s="14"/>
      <c r="I92" s="14">
        <v>195210</v>
      </c>
    </row>
    <row r="93" spans="5:9" x14ac:dyDescent="0.3">
      <c r="E93" s="49">
        <v>571</v>
      </c>
      <c r="F93" s="14">
        <v>263</v>
      </c>
      <c r="G93" s="14">
        <v>213030</v>
      </c>
      <c r="H93" s="14">
        <v>67300</v>
      </c>
      <c r="I93" s="14">
        <v>145730</v>
      </c>
    </row>
    <row r="94" spans="5:9" x14ac:dyDescent="0.3">
      <c r="E94" s="27">
        <v>45929</v>
      </c>
      <c r="F94" s="14">
        <v>205</v>
      </c>
      <c r="G94" s="14">
        <v>156825</v>
      </c>
      <c r="H94" s="14">
        <v>342702</v>
      </c>
      <c r="I94" s="14">
        <v>-185877</v>
      </c>
    </row>
    <row r="95" spans="5:9" x14ac:dyDescent="0.3">
      <c r="E95" s="49" t="s">
        <v>282</v>
      </c>
      <c r="F95" s="14">
        <v>205</v>
      </c>
      <c r="G95" s="14">
        <v>156825</v>
      </c>
      <c r="H95" s="14">
        <v>342702</v>
      </c>
      <c r="I95" s="14">
        <v>-185877</v>
      </c>
    </row>
    <row r="96" spans="5:9" x14ac:dyDescent="0.3">
      <c r="E96" s="27">
        <v>45930</v>
      </c>
      <c r="F96" s="14">
        <v>252</v>
      </c>
      <c r="G96" s="14">
        <v>204120</v>
      </c>
      <c r="H96" s="14">
        <v>341390</v>
      </c>
      <c r="I96" s="14">
        <v>-137270</v>
      </c>
    </row>
    <row r="97" spans="5:9" x14ac:dyDescent="0.3">
      <c r="E97" s="49" t="s">
        <v>294</v>
      </c>
      <c r="F97" s="14">
        <v>252</v>
      </c>
      <c r="G97" s="14">
        <v>204120</v>
      </c>
      <c r="H97" s="14">
        <v>341390</v>
      </c>
      <c r="I97" s="14">
        <v>-137270</v>
      </c>
    </row>
    <row r="98" spans="5:9" x14ac:dyDescent="0.3">
      <c r="E98" s="27" t="s">
        <v>28</v>
      </c>
      <c r="F98" s="14">
        <v>5116</v>
      </c>
      <c r="G98" s="14">
        <v>3856850</v>
      </c>
      <c r="H98" s="14">
        <v>4035575</v>
      </c>
      <c r="I98" s="14">
        <v>2376152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16"/>
  <sheetViews>
    <sheetView zoomScale="132" workbookViewId="0">
      <selection activeCell="B216" sqref="B21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hidden="1" x14ac:dyDescent="0.3">
      <c r="A2" s="94">
        <v>45916</v>
      </c>
      <c r="B2" s="89" t="s">
        <v>167</v>
      </c>
      <c r="C2" s="11"/>
      <c r="D2" s="95">
        <f>[1]Cashbook!$R$10</f>
        <v>-421502</v>
      </c>
      <c r="E2" s="89"/>
      <c r="F2" s="96" t="s">
        <v>113</v>
      </c>
    </row>
    <row r="3" spans="1:16" hidden="1" x14ac:dyDescent="0.3">
      <c r="A3" s="94">
        <v>45916</v>
      </c>
      <c r="B3" s="89" t="s">
        <v>167</v>
      </c>
      <c r="C3" s="11"/>
      <c r="D3" s="95">
        <f>[1]Cashbook!$R$11</f>
        <v>-781867</v>
      </c>
      <c r="E3" s="89"/>
      <c r="F3" s="96" t="s">
        <v>114</v>
      </c>
      <c r="J3" s="55" t="s">
        <v>45</v>
      </c>
      <c r="K3" s="40" t="s">
        <v>46</v>
      </c>
      <c r="M3" s="55" t="s">
        <v>45</v>
      </c>
      <c r="N3" s="58" t="s">
        <v>109</v>
      </c>
      <c r="O3" s="98" t="s">
        <v>110</v>
      </c>
      <c r="P3" t="s">
        <v>111</v>
      </c>
    </row>
    <row r="4" spans="1:16" hidden="1" x14ac:dyDescent="0.3">
      <c r="A4" s="104">
        <v>45916</v>
      </c>
      <c r="B4" t="s">
        <v>22</v>
      </c>
      <c r="C4" s="11"/>
      <c r="D4" s="11">
        <v>125000</v>
      </c>
      <c r="F4" s="52" t="s">
        <v>113</v>
      </c>
      <c r="J4" s="53" t="s">
        <v>71</v>
      </c>
      <c r="K4" s="54">
        <f>Table14[[#Totals],[Debit]]</f>
        <v>0</v>
      </c>
      <c r="M4" s="53" t="s">
        <v>112</v>
      </c>
      <c r="N4" s="59">
        <f>SUMIFS(Table14[Withdrawal],Table14[Party],"Cash",Table14[Mode],"Transfer")</f>
        <v>33000</v>
      </c>
    </row>
    <row r="5" spans="1:16" hidden="1" x14ac:dyDescent="0.3">
      <c r="A5" s="104">
        <v>45916</v>
      </c>
      <c r="B5" t="s">
        <v>98</v>
      </c>
      <c r="C5" s="112">
        <v>38800</v>
      </c>
      <c r="D5" s="11"/>
      <c r="E5" t="s">
        <v>168</v>
      </c>
      <c r="F5" s="52" t="s">
        <v>113</v>
      </c>
      <c r="J5" s="53" t="s">
        <v>70</v>
      </c>
      <c r="K5" s="54">
        <f>Table14[[#Totals],[Credit]]</f>
        <v>3550000</v>
      </c>
      <c r="M5" s="53" t="s">
        <v>113</v>
      </c>
      <c r="N5" s="54">
        <f>(SUMIFS(Table14[Credit],Table14[Mode],"Bank")-SUMIFS(Table14[Debit],Table14[Mode],"Bank")-SUMIFS(Table14[Withdrawal],Table14[Mode],"Transfer"))</f>
        <v>178803</v>
      </c>
      <c r="O5">
        <v>320</v>
      </c>
    </row>
    <row r="6" spans="1:16" hidden="1" x14ac:dyDescent="0.3">
      <c r="A6" s="104">
        <v>45916</v>
      </c>
      <c r="B6" t="s">
        <v>27</v>
      </c>
      <c r="C6" s="11"/>
      <c r="D6" s="11">
        <v>100000</v>
      </c>
      <c r="F6" s="52" t="s">
        <v>114</v>
      </c>
      <c r="J6" s="60" t="s">
        <v>43</v>
      </c>
      <c r="K6" s="61">
        <f>(K5-K4)</f>
        <v>3550000</v>
      </c>
      <c r="M6" s="53" t="s">
        <v>114</v>
      </c>
      <c r="N6" s="54">
        <f>((SUMIFS(Table14[Credit],Table14[Mode],"Cash")-SUMIFS(Table14[Debit],Table14[Mode],"Cash"))+SUMIFS(Table14[Withdrawal],Table14[Party],"Cash",Table14[Mode],"Transfer"))</f>
        <v>-42052</v>
      </c>
      <c r="O6">
        <v>1520</v>
      </c>
    </row>
    <row r="7" spans="1:16" hidden="1" x14ac:dyDescent="0.3">
      <c r="A7" s="104">
        <v>45916</v>
      </c>
      <c r="B7" t="s">
        <v>9</v>
      </c>
      <c r="C7" s="11"/>
      <c r="D7" s="11">
        <v>100000</v>
      </c>
      <c r="F7" s="52" t="s">
        <v>114</v>
      </c>
      <c r="M7" s="56" t="s">
        <v>5</v>
      </c>
      <c r="N7" s="57">
        <f>SUM(N5:N6)</f>
        <v>136751</v>
      </c>
      <c r="O7" s="99">
        <f>SUM(O5,O6)</f>
        <v>1840</v>
      </c>
      <c r="P7" s="14">
        <f>Table18[[#Totals],[amount]]-Table18[[#Totals],[Actual]]</f>
        <v>134911</v>
      </c>
    </row>
    <row r="8" spans="1:16" hidden="1" x14ac:dyDescent="0.3">
      <c r="A8" s="104">
        <v>45916</v>
      </c>
      <c r="B8" t="s">
        <v>9</v>
      </c>
      <c r="C8" s="47"/>
      <c r="D8" s="47">
        <v>280516</v>
      </c>
      <c r="F8" s="52" t="s">
        <v>113</v>
      </c>
    </row>
    <row r="9" spans="1:16" hidden="1" x14ac:dyDescent="0.3">
      <c r="A9" s="104">
        <v>45916</v>
      </c>
      <c r="B9" t="s">
        <v>98</v>
      </c>
      <c r="C9" s="112">
        <v>280516</v>
      </c>
      <c r="D9" s="11"/>
      <c r="F9" s="52" t="s">
        <v>113</v>
      </c>
    </row>
    <row r="10" spans="1:16" hidden="1" x14ac:dyDescent="0.3">
      <c r="A10" s="104">
        <v>45916</v>
      </c>
      <c r="B10" t="s">
        <v>50</v>
      </c>
      <c r="C10" s="11">
        <v>200</v>
      </c>
      <c r="D10" s="11"/>
      <c r="E10" t="s">
        <v>169</v>
      </c>
      <c r="F10" s="52" t="s">
        <v>113</v>
      </c>
    </row>
    <row r="11" spans="1:16" hidden="1" x14ac:dyDescent="0.3">
      <c r="A11" s="104">
        <v>45916</v>
      </c>
      <c r="B11" t="s">
        <v>118</v>
      </c>
      <c r="C11" s="11"/>
      <c r="D11" s="11">
        <v>200</v>
      </c>
      <c r="F11" s="52" t="s">
        <v>113</v>
      </c>
    </row>
    <row r="12" spans="1:16" hidden="1" x14ac:dyDescent="0.3">
      <c r="A12" s="104">
        <v>45916</v>
      </c>
      <c r="B12" t="s">
        <v>98</v>
      </c>
      <c r="C12" s="112">
        <v>42510</v>
      </c>
      <c r="D12" s="11"/>
      <c r="E12" t="s">
        <v>170</v>
      </c>
      <c r="F12" s="52" t="s">
        <v>114</v>
      </c>
    </row>
    <row r="13" spans="1:16" hidden="1" x14ac:dyDescent="0.3">
      <c r="A13" s="104">
        <v>45916</v>
      </c>
      <c r="B13" t="s">
        <v>123</v>
      </c>
      <c r="C13" s="11"/>
      <c r="D13" s="11"/>
      <c r="E13" t="s">
        <v>172</v>
      </c>
      <c r="F13" s="52" t="s">
        <v>113</v>
      </c>
    </row>
    <row r="14" spans="1:16" hidden="1" x14ac:dyDescent="0.3">
      <c r="A14" s="104">
        <v>45916</v>
      </c>
      <c r="B14" t="s">
        <v>21</v>
      </c>
      <c r="C14" s="11"/>
      <c r="D14" s="11">
        <v>20000</v>
      </c>
      <c r="E14" t="s">
        <v>158</v>
      </c>
      <c r="F14" s="52" t="s">
        <v>113</v>
      </c>
    </row>
    <row r="15" spans="1:16" hidden="1" x14ac:dyDescent="0.3">
      <c r="A15" s="104">
        <v>45916</v>
      </c>
      <c r="B15" t="s">
        <v>54</v>
      </c>
      <c r="C15" s="11">
        <v>20000</v>
      </c>
      <c r="D15" s="11"/>
      <c r="E15" t="s">
        <v>158</v>
      </c>
      <c r="F15" s="52" t="s">
        <v>113</v>
      </c>
    </row>
    <row r="16" spans="1:16" hidden="1" x14ac:dyDescent="0.3">
      <c r="A16" s="104">
        <v>45916</v>
      </c>
      <c r="B16" t="s">
        <v>121</v>
      </c>
      <c r="C16" s="11">
        <v>3300</v>
      </c>
      <c r="D16" s="11"/>
      <c r="E16" t="s">
        <v>171</v>
      </c>
      <c r="F16" s="52" t="s">
        <v>114</v>
      </c>
    </row>
    <row r="17" spans="1:6" hidden="1" x14ac:dyDescent="0.3">
      <c r="A17" s="104">
        <v>45916</v>
      </c>
      <c r="B17" t="s">
        <v>118</v>
      </c>
      <c r="C17" s="47"/>
      <c r="D17" s="47">
        <v>13000</v>
      </c>
      <c r="F17" s="52" t="s">
        <v>113</v>
      </c>
    </row>
    <row r="18" spans="1:6" hidden="1" x14ac:dyDescent="0.3">
      <c r="A18" s="104">
        <v>45916</v>
      </c>
      <c r="B18" t="s">
        <v>55</v>
      </c>
      <c r="C18" s="11">
        <v>5800</v>
      </c>
      <c r="D18" s="11"/>
      <c r="F18" s="52" t="s">
        <v>113</v>
      </c>
    </row>
    <row r="19" spans="1:6" hidden="1" x14ac:dyDescent="0.3">
      <c r="A19" s="104">
        <v>45916</v>
      </c>
      <c r="B19" t="s">
        <v>52</v>
      </c>
      <c r="C19" s="11"/>
      <c r="D19" s="11"/>
      <c r="E19" t="s">
        <v>173</v>
      </c>
      <c r="F19" s="52" t="s">
        <v>113</v>
      </c>
    </row>
    <row r="20" spans="1:6" hidden="1" x14ac:dyDescent="0.3">
      <c r="A20" s="104">
        <v>45916</v>
      </c>
      <c r="B20" t="s">
        <v>21</v>
      </c>
      <c r="C20" s="11"/>
      <c r="D20" s="11">
        <v>4000</v>
      </c>
      <c r="E20" t="s">
        <v>184</v>
      </c>
      <c r="F20" s="52" t="s">
        <v>113</v>
      </c>
    </row>
    <row r="21" spans="1:6" hidden="1" x14ac:dyDescent="0.3">
      <c r="A21" s="104">
        <v>45916</v>
      </c>
      <c r="B21" t="s">
        <v>123</v>
      </c>
      <c r="C21" s="11">
        <v>4000</v>
      </c>
      <c r="D21" s="11"/>
      <c r="E21" t="s">
        <v>184</v>
      </c>
      <c r="F21" s="52" t="s">
        <v>113</v>
      </c>
    </row>
    <row r="22" spans="1:6" hidden="1" x14ac:dyDescent="0.3">
      <c r="A22" s="104">
        <v>45917</v>
      </c>
      <c r="B22" t="s">
        <v>9</v>
      </c>
      <c r="C22" s="11"/>
      <c r="D22" s="11">
        <v>100000</v>
      </c>
      <c r="F22" s="52" t="s">
        <v>113</v>
      </c>
    </row>
    <row r="23" spans="1:6" hidden="1" x14ac:dyDescent="0.3">
      <c r="A23" s="43">
        <v>45917</v>
      </c>
      <c r="B23" t="s">
        <v>98</v>
      </c>
      <c r="C23" s="113">
        <v>120000</v>
      </c>
      <c r="D23" s="47"/>
      <c r="F23" s="52" t="s">
        <v>113</v>
      </c>
    </row>
    <row r="24" spans="1:6" hidden="1" x14ac:dyDescent="0.3">
      <c r="A24" s="104">
        <v>45917</v>
      </c>
      <c r="B24" t="s">
        <v>21</v>
      </c>
      <c r="C24" s="11"/>
      <c r="D24" s="11">
        <v>47000</v>
      </c>
      <c r="F24" s="52" t="s">
        <v>113</v>
      </c>
    </row>
    <row r="25" spans="1:6" hidden="1" x14ac:dyDescent="0.3">
      <c r="A25" s="104">
        <v>45917</v>
      </c>
      <c r="B25" t="s">
        <v>64</v>
      </c>
      <c r="C25" s="11">
        <v>47000</v>
      </c>
      <c r="D25" s="11"/>
      <c r="F25" s="52" t="s">
        <v>113</v>
      </c>
    </row>
    <row r="26" spans="1:6" hidden="1" x14ac:dyDescent="0.3">
      <c r="A26" s="104">
        <v>45917</v>
      </c>
      <c r="B26" t="s">
        <v>55</v>
      </c>
      <c r="C26" s="11">
        <v>1200</v>
      </c>
      <c r="D26" s="11"/>
      <c r="F26" s="52" t="s">
        <v>114</v>
      </c>
    </row>
    <row r="27" spans="1:6" hidden="1" x14ac:dyDescent="0.3">
      <c r="A27" s="104">
        <v>45917</v>
      </c>
      <c r="B27" t="s">
        <v>121</v>
      </c>
      <c r="C27" s="11">
        <v>3300</v>
      </c>
      <c r="D27" s="11"/>
      <c r="E27" t="s">
        <v>171</v>
      </c>
      <c r="F27" s="52" t="s">
        <v>114</v>
      </c>
    </row>
    <row r="28" spans="1:6" hidden="1" x14ac:dyDescent="0.3">
      <c r="A28" s="43">
        <v>45917</v>
      </c>
      <c r="B28" t="s">
        <v>123</v>
      </c>
      <c r="C28" s="47">
        <v>10000</v>
      </c>
      <c r="D28" s="47"/>
      <c r="E28" t="s">
        <v>185</v>
      </c>
      <c r="F28" s="52" t="s">
        <v>113</v>
      </c>
    </row>
    <row r="29" spans="1:6" hidden="1" x14ac:dyDescent="0.3">
      <c r="A29" s="104">
        <v>45917</v>
      </c>
      <c r="B29" t="s">
        <v>22</v>
      </c>
      <c r="C29" s="11"/>
      <c r="D29" s="11">
        <v>122550</v>
      </c>
      <c r="F29" s="52" t="s">
        <v>114</v>
      </c>
    </row>
    <row r="30" spans="1:6" hidden="1" x14ac:dyDescent="0.3">
      <c r="A30" s="104">
        <v>45917</v>
      </c>
      <c r="B30" t="s">
        <v>118</v>
      </c>
      <c r="C30" s="11">
        <v>6500</v>
      </c>
      <c r="D30" s="11"/>
      <c r="E30" t="s">
        <v>187</v>
      </c>
      <c r="F30" s="52" t="s">
        <v>114</v>
      </c>
    </row>
    <row r="31" spans="1:6" hidden="1" x14ac:dyDescent="0.3">
      <c r="A31" s="104">
        <v>45917</v>
      </c>
      <c r="B31" t="s">
        <v>121</v>
      </c>
      <c r="C31" s="11">
        <v>1700</v>
      </c>
      <c r="D31" s="11"/>
      <c r="E31" t="s">
        <v>186</v>
      </c>
      <c r="F31" s="52" t="s">
        <v>114</v>
      </c>
    </row>
    <row r="32" spans="1:6" hidden="1" x14ac:dyDescent="0.3">
      <c r="A32" s="104">
        <v>45917</v>
      </c>
      <c r="B32" t="s">
        <v>121</v>
      </c>
      <c r="C32" s="11"/>
      <c r="D32" s="11">
        <v>1500</v>
      </c>
      <c r="F32" s="52" t="s">
        <v>113</v>
      </c>
    </row>
    <row r="33" spans="1:6" hidden="1" x14ac:dyDescent="0.3">
      <c r="A33" s="43">
        <v>45918</v>
      </c>
      <c r="B33" t="s">
        <v>54</v>
      </c>
      <c r="C33" s="47">
        <v>1500</v>
      </c>
      <c r="D33" s="47"/>
      <c r="E33" t="s">
        <v>190</v>
      </c>
      <c r="F33" s="52" t="s">
        <v>113</v>
      </c>
    </row>
    <row r="34" spans="1:6" hidden="1" x14ac:dyDescent="0.3">
      <c r="A34" s="104">
        <v>45918</v>
      </c>
      <c r="B34" t="s">
        <v>98</v>
      </c>
      <c r="C34" s="114">
        <v>201010</v>
      </c>
      <c r="D34" s="11"/>
      <c r="E34" t="s">
        <v>191</v>
      </c>
      <c r="F34" s="52" t="s">
        <v>113</v>
      </c>
    </row>
    <row r="35" spans="1:6" hidden="1" x14ac:dyDescent="0.3">
      <c r="A35" s="43">
        <v>45918</v>
      </c>
      <c r="B35" t="s">
        <v>159</v>
      </c>
      <c r="C35" s="11">
        <v>120000</v>
      </c>
      <c r="D35" s="11"/>
      <c r="E35" t="s">
        <v>191</v>
      </c>
      <c r="F35" s="52" t="s">
        <v>113</v>
      </c>
    </row>
    <row r="36" spans="1:6" hidden="1" x14ac:dyDescent="0.3">
      <c r="A36" s="104">
        <v>45918</v>
      </c>
      <c r="B36" t="s">
        <v>21</v>
      </c>
      <c r="C36" s="11"/>
      <c r="D36" s="11">
        <v>315000</v>
      </c>
      <c r="F36" s="52" t="s">
        <v>113</v>
      </c>
    </row>
    <row r="37" spans="1:6" hidden="1" x14ac:dyDescent="0.3">
      <c r="A37" s="43">
        <v>45918</v>
      </c>
      <c r="B37" t="s">
        <v>55</v>
      </c>
      <c r="C37" s="11">
        <v>5350</v>
      </c>
      <c r="D37" s="11"/>
      <c r="F37" s="52" t="s">
        <v>114</v>
      </c>
    </row>
    <row r="38" spans="1:6" hidden="1" x14ac:dyDescent="0.3">
      <c r="A38" s="104">
        <v>45918</v>
      </c>
      <c r="B38" t="s">
        <v>98</v>
      </c>
      <c r="C38" s="113">
        <v>40750</v>
      </c>
      <c r="D38" s="47"/>
      <c r="E38" t="s">
        <v>192</v>
      </c>
      <c r="F38" s="52" t="s">
        <v>114</v>
      </c>
    </row>
    <row r="39" spans="1:6" hidden="1" x14ac:dyDescent="0.3">
      <c r="A39" s="43">
        <v>45918</v>
      </c>
      <c r="B39" t="s">
        <v>54</v>
      </c>
      <c r="C39" s="11">
        <v>3000</v>
      </c>
      <c r="D39" s="11"/>
      <c r="E39" t="s">
        <v>193</v>
      </c>
      <c r="F39" s="52" t="s">
        <v>114</v>
      </c>
    </row>
    <row r="40" spans="1:6" hidden="1" x14ac:dyDescent="0.3">
      <c r="A40" s="104">
        <v>45918</v>
      </c>
      <c r="B40" t="s">
        <v>121</v>
      </c>
      <c r="C40" s="11">
        <v>3300</v>
      </c>
      <c r="D40" s="11"/>
      <c r="E40" t="s">
        <v>171</v>
      </c>
      <c r="F40" s="52" t="s">
        <v>114</v>
      </c>
    </row>
    <row r="41" spans="1:6" hidden="1" x14ac:dyDescent="0.3">
      <c r="A41" s="43">
        <v>45919</v>
      </c>
      <c r="B41" t="s">
        <v>162</v>
      </c>
      <c r="C41" s="11"/>
      <c r="D41" s="11">
        <v>300000</v>
      </c>
      <c r="F41" s="52" t="s">
        <v>113</v>
      </c>
    </row>
    <row r="42" spans="1:6" hidden="1" x14ac:dyDescent="0.3">
      <c r="A42" s="104">
        <v>45919</v>
      </c>
      <c r="B42" t="s">
        <v>98</v>
      </c>
      <c r="C42" s="107">
        <v>34300</v>
      </c>
      <c r="D42" s="11"/>
      <c r="E42" t="s">
        <v>194</v>
      </c>
      <c r="F42" s="52" t="s">
        <v>114</v>
      </c>
    </row>
    <row r="43" spans="1:6" hidden="1" x14ac:dyDescent="0.3">
      <c r="A43" s="43">
        <v>45919</v>
      </c>
      <c r="B43" t="s">
        <v>98</v>
      </c>
      <c r="C43" s="114">
        <v>200000</v>
      </c>
      <c r="D43" s="11"/>
      <c r="E43" t="s">
        <v>191</v>
      </c>
      <c r="F43" s="52" t="s">
        <v>113</v>
      </c>
    </row>
    <row r="44" spans="1:6" hidden="1"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hidden="1" x14ac:dyDescent="0.3">
      <c r="A46" s="104">
        <v>45919</v>
      </c>
      <c r="B46" t="s">
        <v>64</v>
      </c>
      <c r="C46" s="11">
        <v>121000</v>
      </c>
      <c r="D46" s="11"/>
      <c r="E46" t="s">
        <v>197</v>
      </c>
      <c r="F46" s="52" t="s">
        <v>113</v>
      </c>
    </row>
    <row r="47" spans="1:6" hidden="1" x14ac:dyDescent="0.3">
      <c r="A47" s="43">
        <v>45919</v>
      </c>
      <c r="B47" t="s">
        <v>55</v>
      </c>
      <c r="C47" s="11">
        <v>1371</v>
      </c>
      <c r="D47" s="11"/>
      <c r="E47" t="s">
        <v>198</v>
      </c>
      <c r="F47" s="52" t="s">
        <v>113</v>
      </c>
    </row>
    <row r="48" spans="1:6" hidden="1" x14ac:dyDescent="0.3">
      <c r="A48" s="104">
        <v>45919</v>
      </c>
      <c r="B48" t="s">
        <v>50</v>
      </c>
      <c r="C48" s="11">
        <v>780</v>
      </c>
      <c r="D48" s="11"/>
      <c r="E48" t="s">
        <v>199</v>
      </c>
      <c r="F48" s="52" t="s">
        <v>114</v>
      </c>
    </row>
    <row r="49" spans="1:6" hidden="1" x14ac:dyDescent="0.3">
      <c r="A49" s="43">
        <v>45919</v>
      </c>
      <c r="B49" t="s">
        <v>119</v>
      </c>
      <c r="C49" s="11">
        <v>11185</v>
      </c>
      <c r="D49" s="11"/>
      <c r="E49" t="s">
        <v>200</v>
      </c>
      <c r="F49" s="52" t="s">
        <v>114</v>
      </c>
    </row>
    <row r="50" spans="1:6" hidden="1" x14ac:dyDescent="0.3">
      <c r="A50" s="104">
        <v>45919</v>
      </c>
      <c r="B50" t="s">
        <v>9</v>
      </c>
      <c r="C50" s="11"/>
      <c r="D50" s="11">
        <v>84190</v>
      </c>
      <c r="E50" t="s">
        <v>201</v>
      </c>
      <c r="F50" s="52" t="s">
        <v>113</v>
      </c>
    </row>
    <row r="51" spans="1:6" hidden="1" x14ac:dyDescent="0.3">
      <c r="A51" s="104">
        <v>45919</v>
      </c>
      <c r="B51" t="s">
        <v>55</v>
      </c>
      <c r="C51" s="11">
        <v>8230</v>
      </c>
      <c r="D51" s="11"/>
      <c r="E51" t="s">
        <v>198</v>
      </c>
      <c r="F51" s="52" t="s">
        <v>113</v>
      </c>
    </row>
    <row r="52" spans="1:6" hidden="1" x14ac:dyDescent="0.3">
      <c r="A52" s="43">
        <v>45919</v>
      </c>
      <c r="B52" t="s">
        <v>54</v>
      </c>
      <c r="C52" s="47">
        <v>2500</v>
      </c>
      <c r="D52" s="47"/>
      <c r="E52" t="s">
        <v>202</v>
      </c>
      <c r="F52" s="52" t="s">
        <v>114</v>
      </c>
    </row>
    <row r="53" spans="1:6" hidden="1" x14ac:dyDescent="0.3">
      <c r="A53" s="104">
        <v>45919</v>
      </c>
      <c r="B53" t="s">
        <v>54</v>
      </c>
      <c r="C53" s="11">
        <v>5330</v>
      </c>
      <c r="D53" s="11"/>
      <c r="E53" t="s">
        <v>203</v>
      </c>
      <c r="F53" s="52" t="s">
        <v>114</v>
      </c>
    </row>
    <row r="54" spans="1:6" hidden="1" x14ac:dyDescent="0.3">
      <c r="A54" s="43">
        <v>45919</v>
      </c>
      <c r="B54" t="s">
        <v>21</v>
      </c>
      <c r="C54" s="11"/>
      <c r="D54" s="47">
        <f>20000+4480</f>
        <v>24480</v>
      </c>
      <c r="F54" s="52" t="s">
        <v>113</v>
      </c>
    </row>
    <row r="55" spans="1:6" hidden="1" x14ac:dyDescent="0.3">
      <c r="A55" s="104">
        <v>45919</v>
      </c>
      <c r="B55" t="s">
        <v>54</v>
      </c>
      <c r="C55" s="11">
        <v>20000</v>
      </c>
      <c r="D55" s="11"/>
      <c r="E55" t="s">
        <v>158</v>
      </c>
      <c r="F55" s="52" t="s">
        <v>113</v>
      </c>
    </row>
    <row r="56" spans="1:6" hidden="1" x14ac:dyDescent="0.3">
      <c r="A56" s="43">
        <v>45919</v>
      </c>
      <c r="B56" t="s">
        <v>54</v>
      </c>
      <c r="C56" s="47">
        <v>4480</v>
      </c>
      <c r="D56" s="47"/>
      <c r="E56" t="s">
        <v>206</v>
      </c>
      <c r="F56" s="52" t="s">
        <v>113</v>
      </c>
    </row>
    <row r="57" spans="1:6" hidden="1" x14ac:dyDescent="0.3">
      <c r="A57" s="104">
        <v>45920</v>
      </c>
      <c r="B57" t="s">
        <v>121</v>
      </c>
      <c r="C57" s="11">
        <v>2000</v>
      </c>
      <c r="D57" s="11"/>
      <c r="E57" t="s">
        <v>207</v>
      </c>
      <c r="F57" s="52" t="s">
        <v>114</v>
      </c>
    </row>
    <row r="58" spans="1:6" hidden="1" x14ac:dyDescent="0.3">
      <c r="A58" s="104">
        <v>45920</v>
      </c>
      <c r="B58" t="s">
        <v>98</v>
      </c>
      <c r="C58" s="114">
        <v>43000</v>
      </c>
      <c r="D58" s="11"/>
      <c r="E58" t="s">
        <v>208</v>
      </c>
      <c r="F58" s="52" t="s">
        <v>114</v>
      </c>
    </row>
    <row r="59" spans="1:6" hidden="1" x14ac:dyDescent="0.3">
      <c r="A59" s="104">
        <v>45920</v>
      </c>
      <c r="B59" t="s">
        <v>98</v>
      </c>
      <c r="C59" s="114">
        <v>150000</v>
      </c>
      <c r="D59" s="11"/>
      <c r="E59" t="s">
        <v>201</v>
      </c>
      <c r="F59" s="52" t="s">
        <v>113</v>
      </c>
    </row>
    <row r="60" spans="1:6" hidden="1" x14ac:dyDescent="0.3">
      <c r="A60" s="104">
        <v>45920</v>
      </c>
      <c r="B60" t="s">
        <v>9</v>
      </c>
      <c r="C60" s="11"/>
      <c r="D60" s="11">
        <v>65000</v>
      </c>
      <c r="E60" t="s">
        <v>201</v>
      </c>
      <c r="F60" s="52" t="s">
        <v>113</v>
      </c>
    </row>
    <row r="61" spans="1:6" hidden="1" x14ac:dyDescent="0.3">
      <c r="A61" s="104">
        <v>45920</v>
      </c>
      <c r="B61" t="s">
        <v>21</v>
      </c>
      <c r="C61" s="11"/>
      <c r="D61" s="11">
        <f>1680+6460</f>
        <v>8140</v>
      </c>
      <c r="F61" s="52" t="s">
        <v>113</v>
      </c>
    </row>
    <row r="62" spans="1:6" hidden="1" x14ac:dyDescent="0.3">
      <c r="A62" s="104">
        <v>45920</v>
      </c>
      <c r="B62" t="s">
        <v>55</v>
      </c>
      <c r="C62" s="11">
        <v>8140</v>
      </c>
      <c r="D62" s="11"/>
      <c r="E62" t="s">
        <v>158</v>
      </c>
      <c r="F62" s="52" t="s">
        <v>113</v>
      </c>
    </row>
    <row r="63" spans="1:6" hidden="1" x14ac:dyDescent="0.3">
      <c r="A63" s="104">
        <v>45920</v>
      </c>
      <c r="B63" t="s">
        <v>123</v>
      </c>
      <c r="C63" s="11">
        <v>10000</v>
      </c>
      <c r="D63" s="11"/>
      <c r="E63" t="s">
        <v>209</v>
      </c>
      <c r="F63" s="52" t="s">
        <v>114</v>
      </c>
    </row>
    <row r="64" spans="1:6" hidden="1" x14ac:dyDescent="0.3">
      <c r="A64" s="104">
        <v>45920</v>
      </c>
      <c r="B64" t="s">
        <v>121</v>
      </c>
      <c r="C64" s="47">
        <v>3300</v>
      </c>
      <c r="D64" s="47"/>
      <c r="E64" t="s">
        <v>171</v>
      </c>
      <c r="F64" s="52" t="s">
        <v>114</v>
      </c>
    </row>
    <row r="65" spans="1:6" hidden="1" x14ac:dyDescent="0.3">
      <c r="A65" s="104">
        <v>45920</v>
      </c>
      <c r="B65" t="s">
        <v>98</v>
      </c>
      <c r="C65" s="114">
        <v>30385</v>
      </c>
      <c r="D65" s="11"/>
      <c r="E65" t="s">
        <v>210</v>
      </c>
      <c r="F65" s="52" t="s">
        <v>114</v>
      </c>
    </row>
    <row r="66" spans="1:6" hidden="1" x14ac:dyDescent="0.3">
      <c r="A66" s="104">
        <v>45920</v>
      </c>
      <c r="B66" t="s">
        <v>54</v>
      </c>
      <c r="C66" s="11">
        <v>13000</v>
      </c>
      <c r="D66" s="11"/>
      <c r="E66" t="s">
        <v>211</v>
      </c>
      <c r="F66" s="52" t="s">
        <v>114</v>
      </c>
    </row>
    <row r="67" spans="1:6" hidden="1" x14ac:dyDescent="0.3">
      <c r="A67" s="104">
        <v>45920</v>
      </c>
      <c r="B67" t="s">
        <v>121</v>
      </c>
      <c r="C67" s="11"/>
      <c r="D67" s="11">
        <v>6000</v>
      </c>
      <c r="E67" t="s">
        <v>212</v>
      </c>
      <c r="F67" s="52" t="s">
        <v>113</v>
      </c>
    </row>
    <row r="68" spans="1:6" hidden="1" x14ac:dyDescent="0.3">
      <c r="A68" s="104">
        <v>45920</v>
      </c>
      <c r="B68" t="s">
        <v>123</v>
      </c>
      <c r="C68" s="11">
        <v>6000</v>
      </c>
      <c r="D68" s="11"/>
      <c r="E68" t="s">
        <v>213</v>
      </c>
      <c r="F68" s="52" t="s">
        <v>113</v>
      </c>
    </row>
    <row r="69" spans="1:6" hidden="1" x14ac:dyDescent="0.3">
      <c r="A69" s="104">
        <v>45920</v>
      </c>
      <c r="B69" t="s">
        <v>54</v>
      </c>
      <c r="C69" s="11">
        <v>1300</v>
      </c>
      <c r="D69" s="11"/>
      <c r="E69" t="s">
        <v>214</v>
      </c>
      <c r="F69" s="52" t="s">
        <v>113</v>
      </c>
    </row>
    <row r="70" spans="1:6" hidden="1" x14ac:dyDescent="0.3">
      <c r="A70" s="104">
        <v>45920</v>
      </c>
      <c r="B70" t="s">
        <v>121</v>
      </c>
      <c r="C70" s="11"/>
      <c r="D70" s="11">
        <v>1300</v>
      </c>
      <c r="E70" t="s">
        <v>214</v>
      </c>
      <c r="F70" s="52" t="s">
        <v>113</v>
      </c>
    </row>
    <row r="71" spans="1:6" hidden="1" x14ac:dyDescent="0.3">
      <c r="A71" s="104">
        <v>45921</v>
      </c>
      <c r="B71" t="s">
        <v>21</v>
      </c>
      <c r="C71" s="11"/>
      <c r="D71" s="11">
        <f>12030+2750</f>
        <v>14780</v>
      </c>
      <c r="E71" t="s">
        <v>217</v>
      </c>
      <c r="F71" s="52" t="s">
        <v>113</v>
      </c>
    </row>
    <row r="72" spans="1:6" hidden="1" x14ac:dyDescent="0.3">
      <c r="A72" s="43">
        <v>45921</v>
      </c>
      <c r="B72" t="s">
        <v>55</v>
      </c>
      <c r="C72" s="47">
        <v>14780</v>
      </c>
      <c r="D72" s="47"/>
      <c r="E72" t="s">
        <v>217</v>
      </c>
      <c r="F72" s="52" t="s">
        <v>113</v>
      </c>
    </row>
    <row r="73" spans="1:6" hidden="1" x14ac:dyDescent="0.3">
      <c r="A73" s="43">
        <v>45921</v>
      </c>
      <c r="B73" t="s">
        <v>121</v>
      </c>
      <c r="C73" s="47"/>
      <c r="D73" s="47">
        <v>1200</v>
      </c>
      <c r="F73" s="52" t="s">
        <v>114</v>
      </c>
    </row>
    <row r="74" spans="1:6" hidden="1" x14ac:dyDescent="0.3">
      <c r="A74" s="43">
        <v>45921</v>
      </c>
      <c r="B74" t="s">
        <v>98</v>
      </c>
      <c r="C74" s="115">
        <v>36000</v>
      </c>
      <c r="D74" s="47"/>
      <c r="E74" t="s">
        <v>218</v>
      </c>
      <c r="F74" s="52" t="s">
        <v>114</v>
      </c>
    </row>
    <row r="75" spans="1:6" hidden="1" x14ac:dyDescent="0.3">
      <c r="A75" s="104">
        <v>45922</v>
      </c>
      <c r="B75" t="s">
        <v>9</v>
      </c>
      <c r="C75" s="11"/>
      <c r="D75" s="11">
        <v>52800</v>
      </c>
      <c r="E75" t="s">
        <v>219</v>
      </c>
      <c r="F75" s="52" t="s">
        <v>113</v>
      </c>
    </row>
    <row r="76" spans="1:6" hidden="1" x14ac:dyDescent="0.3">
      <c r="A76" s="104">
        <v>45922</v>
      </c>
      <c r="B76" t="s">
        <v>125</v>
      </c>
      <c r="C76" s="11">
        <v>310500</v>
      </c>
      <c r="D76" s="11"/>
      <c r="E76" t="s">
        <v>61</v>
      </c>
      <c r="F76" s="52" t="s">
        <v>113</v>
      </c>
    </row>
    <row r="77" spans="1:6" hidden="1" x14ac:dyDescent="0.3">
      <c r="A77" s="104">
        <v>45922</v>
      </c>
      <c r="B77" t="s">
        <v>118</v>
      </c>
      <c r="C77" s="11"/>
      <c r="D77" s="11">
        <v>200</v>
      </c>
      <c r="E77" t="s">
        <v>220</v>
      </c>
      <c r="F77" s="52" t="s">
        <v>113</v>
      </c>
    </row>
    <row r="78" spans="1:6" hidden="1" x14ac:dyDescent="0.3">
      <c r="A78" s="104">
        <v>45922</v>
      </c>
      <c r="B78" t="s">
        <v>50</v>
      </c>
      <c r="C78" s="11">
        <v>200</v>
      </c>
      <c r="D78" s="11"/>
      <c r="E78" t="s">
        <v>221</v>
      </c>
      <c r="F78" s="52" t="s">
        <v>113</v>
      </c>
    </row>
    <row r="79" spans="1:6" hidden="1" x14ac:dyDescent="0.3">
      <c r="A79" s="104">
        <v>45922</v>
      </c>
      <c r="B79" t="s">
        <v>55</v>
      </c>
      <c r="C79" s="11">
        <v>5600</v>
      </c>
      <c r="D79" s="11"/>
      <c r="F79" s="52" t="s">
        <v>113</v>
      </c>
    </row>
    <row r="80" spans="1:6" hidden="1" x14ac:dyDescent="0.3">
      <c r="A80" s="104">
        <v>45922</v>
      </c>
      <c r="B80" t="s">
        <v>98</v>
      </c>
      <c r="C80" s="114">
        <v>37400</v>
      </c>
      <c r="D80" s="11"/>
      <c r="E80" t="s">
        <v>222</v>
      </c>
      <c r="F80" s="52" t="s">
        <v>113</v>
      </c>
    </row>
    <row r="81" spans="1:6" hidden="1" x14ac:dyDescent="0.3">
      <c r="A81" s="104">
        <v>45922</v>
      </c>
      <c r="B81" t="s">
        <v>223</v>
      </c>
      <c r="C81" s="47">
        <v>1895031</v>
      </c>
      <c r="D81" s="47"/>
      <c r="E81" t="s">
        <v>224</v>
      </c>
      <c r="F81" s="52" t="s">
        <v>113</v>
      </c>
    </row>
    <row r="82" spans="1:6" hidden="1" x14ac:dyDescent="0.3">
      <c r="A82" s="104">
        <v>45922</v>
      </c>
      <c r="B82" t="s">
        <v>55</v>
      </c>
      <c r="C82" s="11">
        <v>5000</v>
      </c>
      <c r="D82" s="11"/>
      <c r="F82" s="52" t="s">
        <v>113</v>
      </c>
    </row>
    <row r="83" spans="1:6" hidden="1" x14ac:dyDescent="0.3">
      <c r="A83" s="104">
        <v>45922</v>
      </c>
      <c r="B83" t="s">
        <v>98</v>
      </c>
      <c r="C83" s="107">
        <v>12000</v>
      </c>
      <c r="D83" s="11"/>
      <c r="E83" t="s">
        <v>225</v>
      </c>
      <c r="F83" s="52" t="s">
        <v>114</v>
      </c>
    </row>
    <row r="84" spans="1:6" hidden="1" x14ac:dyDescent="0.3">
      <c r="A84" s="104">
        <v>45922</v>
      </c>
      <c r="B84" t="s">
        <v>159</v>
      </c>
      <c r="C84" s="11">
        <v>150000</v>
      </c>
      <c r="D84" s="11"/>
      <c r="F84" s="52" t="s">
        <v>114</v>
      </c>
    </row>
    <row r="85" spans="1:6" hidden="1" x14ac:dyDescent="0.3">
      <c r="A85" s="104">
        <v>45922</v>
      </c>
      <c r="B85" t="s">
        <v>121</v>
      </c>
      <c r="C85" s="11">
        <v>9200</v>
      </c>
      <c r="D85" s="11"/>
      <c r="E85" t="s">
        <v>171</v>
      </c>
      <c r="F85" s="52" t="s">
        <v>114</v>
      </c>
    </row>
    <row r="86" spans="1:6" hidden="1" x14ac:dyDescent="0.3">
      <c r="A86" s="104">
        <v>45922</v>
      </c>
      <c r="B86" t="s">
        <v>54</v>
      </c>
      <c r="C86" s="11">
        <v>3000</v>
      </c>
      <c r="D86" s="11"/>
      <c r="E86" t="s">
        <v>226</v>
      </c>
      <c r="F86" s="52" t="s">
        <v>114</v>
      </c>
    </row>
    <row r="87" spans="1:6" hidden="1" x14ac:dyDescent="0.3">
      <c r="A87" s="104">
        <v>45922</v>
      </c>
      <c r="B87" t="s">
        <v>64</v>
      </c>
      <c r="C87" s="11">
        <v>138000</v>
      </c>
      <c r="D87" s="11"/>
      <c r="E87" t="s">
        <v>227</v>
      </c>
      <c r="F87" s="52" t="s">
        <v>113</v>
      </c>
    </row>
    <row r="88" spans="1:6" hidden="1" x14ac:dyDescent="0.3">
      <c r="A88" s="104">
        <v>45922</v>
      </c>
      <c r="B88" t="s">
        <v>55</v>
      </c>
      <c r="C88" s="11">
        <v>1000</v>
      </c>
      <c r="D88" s="11"/>
      <c r="E88" t="s">
        <v>228</v>
      </c>
      <c r="F88" s="52" t="s">
        <v>113</v>
      </c>
    </row>
    <row r="89" spans="1:6" hidden="1" x14ac:dyDescent="0.3">
      <c r="A89" s="104">
        <v>45922</v>
      </c>
      <c r="B89" t="s">
        <v>21</v>
      </c>
      <c r="C89" s="11"/>
      <c r="D89" s="11">
        <v>140000</v>
      </c>
      <c r="F89" s="52" t="s">
        <v>113</v>
      </c>
    </row>
    <row r="90" spans="1:6" hidden="1" x14ac:dyDescent="0.3">
      <c r="A90" s="104">
        <v>45922</v>
      </c>
      <c r="B90" t="s">
        <v>52</v>
      </c>
      <c r="C90" s="11">
        <v>10000</v>
      </c>
      <c r="D90" s="11"/>
      <c r="E90" t="s">
        <v>229</v>
      </c>
      <c r="F90" s="52" t="s">
        <v>114</v>
      </c>
    </row>
    <row r="91" spans="1:6" hidden="1" x14ac:dyDescent="0.3">
      <c r="A91" s="104">
        <v>45922</v>
      </c>
      <c r="B91" t="s">
        <v>98</v>
      </c>
      <c r="C91" s="114">
        <v>200002</v>
      </c>
      <c r="D91" s="11"/>
      <c r="F91" s="52" t="s">
        <v>113</v>
      </c>
    </row>
    <row r="92" spans="1:6" hidden="1" x14ac:dyDescent="0.3">
      <c r="A92" s="104">
        <v>45922</v>
      </c>
      <c r="B92" t="s">
        <v>162</v>
      </c>
      <c r="C92" s="11"/>
      <c r="D92" s="11">
        <v>250000</v>
      </c>
      <c r="F92" s="52" t="s">
        <v>113</v>
      </c>
    </row>
    <row r="93" spans="1:6" hidden="1" x14ac:dyDescent="0.3">
      <c r="A93" s="104">
        <v>45922</v>
      </c>
      <c r="B93" t="s">
        <v>25</v>
      </c>
      <c r="C93" s="11"/>
      <c r="D93" s="11">
        <v>400000</v>
      </c>
      <c r="F93" s="52" t="s">
        <v>113</v>
      </c>
    </row>
    <row r="94" spans="1:6" hidden="1" x14ac:dyDescent="0.3">
      <c r="A94" s="104">
        <v>45922</v>
      </c>
      <c r="B94" t="s">
        <v>21</v>
      </c>
      <c r="C94" s="11"/>
      <c r="D94" s="11">
        <v>1116533</v>
      </c>
      <c r="F94" s="52" t="s">
        <v>113</v>
      </c>
    </row>
    <row r="95" spans="1:6" hidden="1" x14ac:dyDescent="0.3">
      <c r="A95" s="104">
        <v>45922</v>
      </c>
      <c r="B95" t="s">
        <v>123</v>
      </c>
      <c r="C95" s="11">
        <v>2000</v>
      </c>
      <c r="D95" s="11"/>
      <c r="E95" t="s">
        <v>230</v>
      </c>
      <c r="F95" s="52" t="s">
        <v>114</v>
      </c>
    </row>
    <row r="96" spans="1:6" hidden="1" x14ac:dyDescent="0.3">
      <c r="A96" s="104">
        <v>45922</v>
      </c>
      <c r="B96" t="s">
        <v>119</v>
      </c>
      <c r="C96" s="11">
        <v>18000</v>
      </c>
      <c r="D96" s="11"/>
      <c r="E96" t="s">
        <v>231</v>
      </c>
      <c r="F96" s="52" t="s">
        <v>114</v>
      </c>
    </row>
    <row r="97" spans="1:6" hidden="1" x14ac:dyDescent="0.3">
      <c r="A97" s="104">
        <v>45923</v>
      </c>
      <c r="B97" t="s">
        <v>55</v>
      </c>
      <c r="C97" s="11">
        <v>91000</v>
      </c>
      <c r="D97" s="11"/>
      <c r="E97" t="s">
        <v>233</v>
      </c>
      <c r="F97" s="52" t="s">
        <v>114</v>
      </c>
    </row>
    <row r="98" spans="1:6" hidden="1" x14ac:dyDescent="0.3">
      <c r="A98" s="104">
        <v>45923</v>
      </c>
      <c r="B98" t="s">
        <v>121</v>
      </c>
      <c r="C98" s="47"/>
      <c r="D98" s="47">
        <f>65000-41028</f>
        <v>23972</v>
      </c>
      <c r="E98" t="s">
        <v>244</v>
      </c>
      <c r="F98" s="52" t="s">
        <v>113</v>
      </c>
    </row>
    <row r="99" spans="1:6" hidden="1" x14ac:dyDescent="0.3">
      <c r="A99" s="104">
        <v>45923</v>
      </c>
      <c r="B99" t="s">
        <v>98</v>
      </c>
      <c r="C99" s="114">
        <v>34500</v>
      </c>
      <c r="D99" s="11"/>
      <c r="E99" t="s">
        <v>234</v>
      </c>
      <c r="F99" s="52" t="s">
        <v>113</v>
      </c>
    </row>
    <row r="100" spans="1:6" hidden="1" x14ac:dyDescent="0.3">
      <c r="A100" s="104">
        <v>45923</v>
      </c>
      <c r="B100" t="s">
        <v>54</v>
      </c>
      <c r="C100" s="11">
        <v>10000</v>
      </c>
      <c r="D100" s="11"/>
      <c r="E100" t="s">
        <v>158</v>
      </c>
      <c r="F100" s="52" t="s">
        <v>114</v>
      </c>
    </row>
    <row r="101" spans="1:6" hidden="1" x14ac:dyDescent="0.3">
      <c r="A101" s="104">
        <v>45923</v>
      </c>
      <c r="B101" t="s">
        <v>21</v>
      </c>
      <c r="C101" s="11"/>
      <c r="D101" s="11">
        <v>9000</v>
      </c>
      <c r="E101" t="s">
        <v>158</v>
      </c>
      <c r="F101" s="52" t="s">
        <v>114</v>
      </c>
    </row>
    <row r="102" spans="1:6" hidden="1" x14ac:dyDescent="0.3">
      <c r="A102" s="104">
        <v>45923</v>
      </c>
      <c r="B102" t="s">
        <v>118</v>
      </c>
      <c r="C102" s="11"/>
      <c r="D102" s="11">
        <v>8700</v>
      </c>
      <c r="F102" s="52" t="s">
        <v>113</v>
      </c>
    </row>
    <row r="103" spans="1:6" hidden="1" x14ac:dyDescent="0.3">
      <c r="A103" s="104">
        <v>45923</v>
      </c>
      <c r="B103" t="s">
        <v>50</v>
      </c>
      <c r="C103" s="11">
        <v>200</v>
      </c>
      <c r="D103" s="11"/>
      <c r="E103" t="s">
        <v>169</v>
      </c>
      <c r="F103" s="52" t="s">
        <v>113</v>
      </c>
    </row>
    <row r="104" spans="1:6" hidden="1" x14ac:dyDescent="0.3">
      <c r="A104" s="104">
        <v>45923</v>
      </c>
      <c r="B104" t="s">
        <v>21</v>
      </c>
      <c r="C104" s="11"/>
      <c r="D104" s="11">
        <v>250000</v>
      </c>
      <c r="E104" t="s">
        <v>235</v>
      </c>
      <c r="F104" s="52" t="s">
        <v>114</v>
      </c>
    </row>
    <row r="105" spans="1:6" hidden="1" x14ac:dyDescent="0.3">
      <c r="A105" s="104">
        <v>45923</v>
      </c>
      <c r="B105" t="s">
        <v>237</v>
      </c>
      <c r="C105" s="11">
        <v>250000</v>
      </c>
      <c r="D105" s="11"/>
      <c r="E105" t="s">
        <v>236</v>
      </c>
      <c r="F105" s="52" t="s">
        <v>113</v>
      </c>
    </row>
    <row r="106" spans="1:6" hidden="1" x14ac:dyDescent="0.3">
      <c r="A106" s="104">
        <v>45923</v>
      </c>
      <c r="B106" t="s">
        <v>55</v>
      </c>
      <c r="C106" s="11">
        <v>2530</v>
      </c>
      <c r="D106" s="11"/>
      <c r="F106" s="52" t="s">
        <v>114</v>
      </c>
    </row>
    <row r="107" spans="1:6" hidden="1" x14ac:dyDescent="0.3">
      <c r="A107" s="104">
        <v>45923</v>
      </c>
      <c r="B107" t="s">
        <v>98</v>
      </c>
      <c r="C107" s="115">
        <v>37900</v>
      </c>
      <c r="D107" s="47"/>
      <c r="E107" t="s">
        <v>238</v>
      </c>
      <c r="F107" s="52" t="s">
        <v>114</v>
      </c>
    </row>
    <row r="108" spans="1:6" hidden="1" x14ac:dyDescent="0.3">
      <c r="A108" s="104">
        <v>45923</v>
      </c>
      <c r="B108" t="s">
        <v>54</v>
      </c>
      <c r="C108" s="11">
        <v>3000</v>
      </c>
      <c r="D108" s="11"/>
      <c r="E108" t="s">
        <v>211</v>
      </c>
      <c r="F108" s="52" t="s">
        <v>114</v>
      </c>
    </row>
    <row r="109" spans="1:6" hidden="1" x14ac:dyDescent="0.3">
      <c r="A109" s="104">
        <v>45923</v>
      </c>
      <c r="B109" t="s">
        <v>54</v>
      </c>
      <c r="C109" s="11">
        <v>6500</v>
      </c>
      <c r="D109" s="11"/>
      <c r="E109" t="s">
        <v>239</v>
      </c>
      <c r="F109" s="52" t="s">
        <v>114</v>
      </c>
    </row>
    <row r="110" spans="1:6" hidden="1" x14ac:dyDescent="0.3">
      <c r="A110" s="104">
        <v>45923</v>
      </c>
      <c r="B110" t="s">
        <v>52</v>
      </c>
      <c r="C110" s="11">
        <v>10000</v>
      </c>
      <c r="D110" s="11"/>
      <c r="E110" t="s">
        <v>240</v>
      </c>
      <c r="F110" s="52" t="s">
        <v>114</v>
      </c>
    </row>
    <row r="111" spans="1:6" hidden="1" x14ac:dyDescent="0.3">
      <c r="A111" s="104">
        <v>45923</v>
      </c>
      <c r="B111" t="s">
        <v>52</v>
      </c>
      <c r="C111" s="11">
        <v>4000</v>
      </c>
      <c r="D111" s="11"/>
      <c r="E111" t="s">
        <v>240</v>
      </c>
      <c r="F111" s="52" t="s">
        <v>113</v>
      </c>
    </row>
    <row r="112" spans="1:6" hidden="1" x14ac:dyDescent="0.3">
      <c r="A112" s="104">
        <v>45923</v>
      </c>
      <c r="B112" t="s">
        <v>123</v>
      </c>
      <c r="C112" s="11">
        <v>1000</v>
      </c>
      <c r="D112" s="11"/>
      <c r="E112" t="s">
        <v>241</v>
      </c>
      <c r="F112" s="52" t="s">
        <v>114</v>
      </c>
    </row>
    <row r="113" spans="1:6" hidden="1" x14ac:dyDescent="0.3">
      <c r="A113" s="104">
        <v>45923</v>
      </c>
      <c r="B113" t="s">
        <v>121</v>
      </c>
      <c r="C113" s="11">
        <v>11000</v>
      </c>
      <c r="D113" s="11"/>
      <c r="E113" t="s">
        <v>211</v>
      </c>
      <c r="F113" s="52" t="s">
        <v>114</v>
      </c>
    </row>
    <row r="114" spans="1:6" hidden="1" x14ac:dyDescent="0.3">
      <c r="A114" s="104">
        <v>45923</v>
      </c>
      <c r="B114" t="s">
        <v>54</v>
      </c>
      <c r="C114" s="11">
        <v>5700</v>
      </c>
      <c r="D114" s="11"/>
      <c r="E114" t="s">
        <v>206</v>
      </c>
      <c r="F114" s="52" t="s">
        <v>113</v>
      </c>
    </row>
    <row r="115" spans="1:6" hidden="1" x14ac:dyDescent="0.3">
      <c r="A115" s="104">
        <v>45923</v>
      </c>
      <c r="B115" t="s">
        <v>243</v>
      </c>
      <c r="C115" s="11"/>
      <c r="D115" s="11">
        <v>290000</v>
      </c>
      <c r="F115" s="52" t="s">
        <v>113</v>
      </c>
    </row>
    <row r="116" spans="1:6" hidden="1" x14ac:dyDescent="0.3">
      <c r="A116" s="104">
        <v>45923</v>
      </c>
      <c r="B116" t="s">
        <v>98</v>
      </c>
      <c r="C116" s="114">
        <v>290000</v>
      </c>
      <c r="D116" s="11"/>
      <c r="E116" t="s">
        <v>242</v>
      </c>
      <c r="F116" s="52" t="s">
        <v>113</v>
      </c>
    </row>
    <row r="117" spans="1:6" hidden="1" x14ac:dyDescent="0.3">
      <c r="A117" s="43">
        <v>45923</v>
      </c>
      <c r="B117" t="s">
        <v>54</v>
      </c>
      <c r="C117" s="47">
        <v>14000</v>
      </c>
      <c r="D117" s="47"/>
      <c r="E117" t="s">
        <v>158</v>
      </c>
      <c r="F117" s="52" t="s">
        <v>113</v>
      </c>
    </row>
    <row r="118" spans="1:6" hidden="1" x14ac:dyDescent="0.3">
      <c r="A118" s="43">
        <v>45923</v>
      </c>
      <c r="B118" t="s">
        <v>21</v>
      </c>
      <c r="C118" s="47"/>
      <c r="D118" s="47">
        <v>14000</v>
      </c>
      <c r="F118" s="52" t="s">
        <v>113</v>
      </c>
    </row>
    <row r="119" spans="1:6" hidden="1" x14ac:dyDescent="0.3">
      <c r="A119" s="104">
        <v>45923</v>
      </c>
      <c r="B119" t="s">
        <v>54</v>
      </c>
      <c r="C119" s="11">
        <v>5000</v>
      </c>
      <c r="D119" s="11"/>
      <c r="E119" t="s">
        <v>203</v>
      </c>
      <c r="F119" s="52" t="s">
        <v>113</v>
      </c>
    </row>
    <row r="120" spans="1:6" hidden="1" x14ac:dyDescent="0.3">
      <c r="A120" s="43">
        <v>45924</v>
      </c>
      <c r="B120" t="s">
        <v>54</v>
      </c>
      <c r="C120" s="47">
        <v>1000</v>
      </c>
      <c r="D120" s="47"/>
      <c r="E120" t="s">
        <v>245</v>
      </c>
      <c r="F120" s="52" t="s">
        <v>114</v>
      </c>
    </row>
    <row r="121" spans="1:6" hidden="1" x14ac:dyDescent="0.3">
      <c r="A121" s="104">
        <v>45924</v>
      </c>
      <c r="B121" t="s">
        <v>35</v>
      </c>
      <c r="C121" s="11"/>
      <c r="D121" s="11">
        <v>155000</v>
      </c>
      <c r="F121" s="52" t="s">
        <v>113</v>
      </c>
    </row>
    <row r="122" spans="1:6" hidden="1" x14ac:dyDescent="0.3">
      <c r="A122" s="104">
        <v>45924</v>
      </c>
      <c r="B122" t="s">
        <v>98</v>
      </c>
      <c r="C122" s="114">
        <v>155000</v>
      </c>
      <c r="D122" s="11"/>
      <c r="E122" t="s">
        <v>246</v>
      </c>
      <c r="F122" s="52" t="s">
        <v>113</v>
      </c>
    </row>
    <row r="123" spans="1:6" hidden="1" x14ac:dyDescent="0.3">
      <c r="A123" s="104">
        <v>45924</v>
      </c>
      <c r="B123" t="s">
        <v>243</v>
      </c>
      <c r="C123" s="11"/>
      <c r="D123" s="11">
        <v>100000</v>
      </c>
      <c r="F123" s="52" t="s">
        <v>113</v>
      </c>
    </row>
    <row r="124" spans="1:6" hidden="1" x14ac:dyDescent="0.3">
      <c r="A124" s="104">
        <v>45924</v>
      </c>
      <c r="B124" t="s">
        <v>159</v>
      </c>
      <c r="C124" s="11">
        <v>50000</v>
      </c>
      <c r="D124" s="11"/>
      <c r="F124" s="52" t="s">
        <v>113</v>
      </c>
    </row>
    <row r="125" spans="1:6" hidden="1" x14ac:dyDescent="0.3">
      <c r="A125" s="104">
        <v>45924</v>
      </c>
      <c r="B125" t="s">
        <v>55</v>
      </c>
      <c r="C125" s="11">
        <v>4500</v>
      </c>
      <c r="D125" s="11"/>
      <c r="E125" t="s">
        <v>247</v>
      </c>
      <c r="F125" s="52" t="s">
        <v>113</v>
      </c>
    </row>
    <row r="126" spans="1:6" hidden="1" x14ac:dyDescent="0.3">
      <c r="A126" s="104">
        <v>45924</v>
      </c>
      <c r="B126" t="s">
        <v>50</v>
      </c>
      <c r="C126" s="11">
        <v>1140</v>
      </c>
      <c r="D126" s="11"/>
      <c r="E126" t="s">
        <v>248</v>
      </c>
      <c r="F126" s="52" t="s">
        <v>113</v>
      </c>
    </row>
    <row r="127" spans="1:6" hidden="1" x14ac:dyDescent="0.3">
      <c r="A127" s="104">
        <v>45924</v>
      </c>
      <c r="B127" t="s">
        <v>55</v>
      </c>
      <c r="C127" s="11">
        <v>940</v>
      </c>
      <c r="D127" s="11"/>
      <c r="F127" s="52" t="s">
        <v>113</v>
      </c>
    </row>
    <row r="128" spans="1:6" hidden="1" x14ac:dyDescent="0.3">
      <c r="A128" s="104">
        <v>45924</v>
      </c>
      <c r="B128" t="s">
        <v>54</v>
      </c>
      <c r="C128" s="11">
        <v>5000</v>
      </c>
      <c r="D128" s="11"/>
      <c r="E128" t="s">
        <v>203</v>
      </c>
      <c r="F128" s="52" t="s">
        <v>113</v>
      </c>
    </row>
    <row r="129" spans="1:6" hidden="1" x14ac:dyDescent="0.3">
      <c r="A129" s="104">
        <v>45925</v>
      </c>
      <c r="B129" t="s">
        <v>243</v>
      </c>
      <c r="C129" s="11"/>
      <c r="D129" s="11">
        <v>200000</v>
      </c>
      <c r="F129" s="52" t="s">
        <v>113</v>
      </c>
    </row>
    <row r="130" spans="1:6" hidden="1" x14ac:dyDescent="0.3">
      <c r="A130" s="43">
        <v>45925</v>
      </c>
      <c r="B130" t="s">
        <v>98</v>
      </c>
      <c r="C130" s="115">
        <v>200000</v>
      </c>
      <c r="D130" s="47"/>
      <c r="E130" t="s">
        <v>249</v>
      </c>
      <c r="F130" s="52" t="s">
        <v>113</v>
      </c>
    </row>
    <row r="131" spans="1:6" hidden="1" x14ac:dyDescent="0.3">
      <c r="A131" s="104">
        <v>45925</v>
      </c>
      <c r="B131" t="s">
        <v>118</v>
      </c>
      <c r="C131" s="11"/>
      <c r="D131" s="11">
        <v>650</v>
      </c>
      <c r="F131" s="52" t="s">
        <v>113</v>
      </c>
    </row>
    <row r="132" spans="1:6" hidden="1" x14ac:dyDescent="0.3">
      <c r="A132" s="43">
        <v>45925</v>
      </c>
      <c r="B132" t="s">
        <v>159</v>
      </c>
      <c r="C132" s="11">
        <v>100010</v>
      </c>
      <c r="D132" s="11"/>
      <c r="E132" t="s">
        <v>250</v>
      </c>
      <c r="F132" s="52" t="s">
        <v>113</v>
      </c>
    </row>
    <row r="133" spans="1:6" hidden="1" x14ac:dyDescent="0.3">
      <c r="A133" s="104">
        <v>45925</v>
      </c>
      <c r="B133" t="s">
        <v>54</v>
      </c>
      <c r="C133" s="11">
        <v>600</v>
      </c>
      <c r="D133" s="11"/>
      <c r="E133" t="s">
        <v>211</v>
      </c>
      <c r="F133" s="52" t="s">
        <v>113</v>
      </c>
    </row>
    <row r="134" spans="1:6" hidden="1" x14ac:dyDescent="0.3">
      <c r="A134" s="43">
        <v>45925</v>
      </c>
      <c r="B134" t="s">
        <v>50</v>
      </c>
      <c r="C134" s="11">
        <v>100</v>
      </c>
      <c r="D134" s="11"/>
      <c r="E134" t="s">
        <v>251</v>
      </c>
      <c r="F134" s="52" t="s">
        <v>114</v>
      </c>
    </row>
    <row r="135" spans="1:6" hidden="1" x14ac:dyDescent="0.3">
      <c r="A135" s="104">
        <v>45925</v>
      </c>
      <c r="B135" t="s">
        <v>64</v>
      </c>
      <c r="C135" s="11">
        <v>69000</v>
      </c>
      <c r="D135" s="11"/>
      <c r="F135" s="52" t="s">
        <v>113</v>
      </c>
    </row>
    <row r="136" spans="1:6" hidden="1" x14ac:dyDescent="0.3">
      <c r="A136" s="104">
        <v>45925</v>
      </c>
      <c r="B136" t="s">
        <v>125</v>
      </c>
      <c r="C136" s="11">
        <v>24600</v>
      </c>
      <c r="D136" s="11"/>
      <c r="E136" t="s">
        <v>61</v>
      </c>
      <c r="F136" s="52" t="s">
        <v>114</v>
      </c>
    </row>
    <row r="137" spans="1:6" hidden="1" x14ac:dyDescent="0.3">
      <c r="A137" s="43">
        <v>45925</v>
      </c>
      <c r="B137" t="s">
        <v>21</v>
      </c>
      <c r="C137" s="11"/>
      <c r="D137" s="11">
        <v>69000</v>
      </c>
      <c r="E137" t="s">
        <v>64</v>
      </c>
      <c r="F137" s="52" t="s">
        <v>113</v>
      </c>
    </row>
    <row r="138" spans="1:6" hidden="1" x14ac:dyDescent="0.3">
      <c r="A138" s="104">
        <v>45925</v>
      </c>
      <c r="B138" t="s">
        <v>21</v>
      </c>
      <c r="C138" s="47"/>
      <c r="D138" s="47">
        <v>24600</v>
      </c>
      <c r="F138" s="52" t="s">
        <v>113</v>
      </c>
    </row>
    <row r="139" spans="1:6" hidden="1" x14ac:dyDescent="0.3">
      <c r="A139" s="104">
        <v>45925</v>
      </c>
      <c r="B139" t="s">
        <v>119</v>
      </c>
      <c r="C139" s="11">
        <v>15995</v>
      </c>
      <c r="D139" s="11"/>
      <c r="E139" t="s">
        <v>119</v>
      </c>
      <c r="F139" s="52" t="s">
        <v>114</v>
      </c>
    </row>
    <row r="140" spans="1:6" hidden="1" x14ac:dyDescent="0.3">
      <c r="A140" s="43">
        <v>45925</v>
      </c>
      <c r="B140" t="s">
        <v>54</v>
      </c>
      <c r="C140" s="47">
        <v>6708</v>
      </c>
      <c r="D140" s="47"/>
      <c r="E140" t="s">
        <v>206</v>
      </c>
      <c r="F140" s="52" t="s">
        <v>113</v>
      </c>
    </row>
    <row r="141" spans="1:6" hidden="1" x14ac:dyDescent="0.3">
      <c r="A141" s="104">
        <v>45925</v>
      </c>
      <c r="B141" t="s">
        <v>9</v>
      </c>
      <c r="C141" s="11"/>
      <c r="D141" s="11">
        <v>176985</v>
      </c>
      <c r="E141" t="s">
        <v>88</v>
      </c>
      <c r="F141" s="52" t="s">
        <v>113</v>
      </c>
    </row>
    <row r="142" spans="1:6" hidden="1"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hidden="1" x14ac:dyDescent="0.3">
      <c r="A145" s="104">
        <v>45926</v>
      </c>
      <c r="B145" t="s">
        <v>23</v>
      </c>
      <c r="C145" s="47"/>
      <c r="D145" s="47">
        <f>101000+1500</f>
        <v>102500</v>
      </c>
      <c r="F145" s="52" t="s">
        <v>113</v>
      </c>
    </row>
    <row r="146" spans="1:6" hidden="1" x14ac:dyDescent="0.3">
      <c r="A146" s="104">
        <v>45926</v>
      </c>
      <c r="B146" t="s">
        <v>54</v>
      </c>
      <c r="C146" s="11">
        <v>1500</v>
      </c>
      <c r="D146" s="11"/>
      <c r="E146" t="s">
        <v>257</v>
      </c>
      <c r="F146" s="52" t="s">
        <v>113</v>
      </c>
    </row>
    <row r="147" spans="1:6" hidden="1" x14ac:dyDescent="0.3">
      <c r="A147" s="104">
        <v>45926</v>
      </c>
      <c r="B147" t="s">
        <v>98</v>
      </c>
      <c r="C147" s="114">
        <v>49400</v>
      </c>
      <c r="D147" s="11"/>
      <c r="E147" t="s">
        <v>258</v>
      </c>
      <c r="F147" s="52" t="s">
        <v>113</v>
      </c>
    </row>
    <row r="148" spans="1:6" hidden="1" x14ac:dyDescent="0.3">
      <c r="A148" s="104">
        <v>45926</v>
      </c>
      <c r="B148" t="s">
        <v>98</v>
      </c>
      <c r="C148" s="114">
        <v>41200</v>
      </c>
      <c r="D148" s="11"/>
      <c r="E148" t="s">
        <v>259</v>
      </c>
      <c r="F148" s="52" t="s">
        <v>113</v>
      </c>
    </row>
    <row r="149" spans="1:6" hidden="1" x14ac:dyDescent="0.3">
      <c r="A149" s="104">
        <v>45926</v>
      </c>
      <c r="B149" t="s">
        <v>54</v>
      </c>
      <c r="C149" s="11">
        <v>5324</v>
      </c>
      <c r="D149" s="11"/>
      <c r="E149" t="s">
        <v>203</v>
      </c>
      <c r="F149" s="52" t="s">
        <v>113</v>
      </c>
    </row>
    <row r="150" spans="1:6" hidden="1" x14ac:dyDescent="0.3">
      <c r="A150" s="104">
        <v>45926</v>
      </c>
      <c r="B150" t="s">
        <v>50</v>
      </c>
      <c r="C150" s="11">
        <v>600</v>
      </c>
      <c r="D150" s="11"/>
      <c r="E150" t="s">
        <v>260</v>
      </c>
      <c r="F150" s="52" t="s">
        <v>114</v>
      </c>
    </row>
    <row r="151" spans="1:6" hidden="1" x14ac:dyDescent="0.3">
      <c r="A151" s="104">
        <v>45926</v>
      </c>
      <c r="B151" t="s">
        <v>54</v>
      </c>
      <c r="C151" s="11">
        <v>500</v>
      </c>
      <c r="D151" s="11"/>
      <c r="E151" t="s">
        <v>245</v>
      </c>
      <c r="F151" s="52" t="s">
        <v>114</v>
      </c>
    </row>
    <row r="152" spans="1:6" hidden="1" x14ac:dyDescent="0.3">
      <c r="A152" s="104">
        <v>45926</v>
      </c>
      <c r="B152" t="s">
        <v>54</v>
      </c>
      <c r="C152" s="11">
        <v>700</v>
      </c>
      <c r="D152" s="11"/>
      <c r="E152" t="s">
        <v>260</v>
      </c>
      <c r="F152" s="52" t="s">
        <v>114</v>
      </c>
    </row>
    <row r="153" spans="1:6" hidden="1" x14ac:dyDescent="0.3">
      <c r="A153" s="104">
        <v>45926</v>
      </c>
      <c r="B153" t="s">
        <v>52</v>
      </c>
      <c r="C153" s="11"/>
      <c r="D153" s="11"/>
      <c r="E153" t="s">
        <v>261</v>
      </c>
      <c r="F153" s="52" t="s">
        <v>114</v>
      </c>
    </row>
    <row r="154" spans="1:6" hidden="1" x14ac:dyDescent="0.3">
      <c r="A154" s="104">
        <v>45926</v>
      </c>
      <c r="B154" t="s">
        <v>21</v>
      </c>
      <c r="C154" s="11"/>
      <c r="D154" s="11">
        <v>20000</v>
      </c>
      <c r="F154" s="52" t="s">
        <v>114</v>
      </c>
    </row>
    <row r="155" spans="1:6" hidden="1" x14ac:dyDescent="0.3">
      <c r="A155" s="104">
        <v>45926</v>
      </c>
      <c r="B155" t="s">
        <v>52</v>
      </c>
      <c r="C155" s="11"/>
      <c r="D155" s="11"/>
      <c r="E155" t="s">
        <v>213</v>
      </c>
      <c r="F155" s="52" t="s">
        <v>114</v>
      </c>
    </row>
    <row r="156" spans="1:6" hidden="1" x14ac:dyDescent="0.3">
      <c r="A156" s="104">
        <v>45926</v>
      </c>
      <c r="B156" t="s">
        <v>52</v>
      </c>
      <c r="C156" s="11"/>
      <c r="D156" s="11"/>
      <c r="E156" t="s">
        <v>262</v>
      </c>
      <c r="F156" s="52" t="s">
        <v>114</v>
      </c>
    </row>
    <row r="157" spans="1:6" hidden="1" x14ac:dyDescent="0.3">
      <c r="A157" s="104">
        <v>45926</v>
      </c>
      <c r="B157" t="s">
        <v>123</v>
      </c>
      <c r="C157" s="11">
        <v>10000</v>
      </c>
      <c r="D157" s="11"/>
      <c r="E157" t="s">
        <v>184</v>
      </c>
      <c r="F157" s="52" t="s">
        <v>114</v>
      </c>
    </row>
    <row r="158" spans="1:6" hidden="1" x14ac:dyDescent="0.3">
      <c r="A158" s="104">
        <v>45926</v>
      </c>
      <c r="B158" t="s">
        <v>98</v>
      </c>
      <c r="C158" s="114">
        <v>305000</v>
      </c>
      <c r="D158" s="11"/>
      <c r="E158" t="s">
        <v>263</v>
      </c>
      <c r="F158" s="52" t="s">
        <v>113</v>
      </c>
    </row>
    <row r="159" spans="1:6" hidden="1" x14ac:dyDescent="0.3">
      <c r="A159" s="43">
        <v>45926</v>
      </c>
      <c r="B159" t="s">
        <v>52</v>
      </c>
      <c r="C159" s="47"/>
      <c r="D159" s="47"/>
      <c r="E159" t="s">
        <v>264</v>
      </c>
      <c r="F159" s="52" t="s">
        <v>114</v>
      </c>
    </row>
    <row r="160" spans="1:6" hidden="1" x14ac:dyDescent="0.3">
      <c r="A160" s="43">
        <v>45926</v>
      </c>
      <c r="B160" t="s">
        <v>21</v>
      </c>
      <c r="C160" s="47"/>
      <c r="D160" s="47">
        <v>82250</v>
      </c>
      <c r="F160" s="52" t="s">
        <v>113</v>
      </c>
    </row>
    <row r="161" spans="1:12" hidden="1" x14ac:dyDescent="0.3">
      <c r="A161" s="104">
        <v>45926</v>
      </c>
      <c r="B161" t="s">
        <v>122</v>
      </c>
      <c r="C161" s="11">
        <v>500000</v>
      </c>
      <c r="D161" s="11"/>
      <c r="E161" t="s">
        <v>64</v>
      </c>
      <c r="F161" s="52" t="s">
        <v>114</v>
      </c>
    </row>
    <row r="162" spans="1:12" hidden="1" x14ac:dyDescent="0.3">
      <c r="A162" s="43">
        <v>45926</v>
      </c>
      <c r="B162" t="s">
        <v>54</v>
      </c>
      <c r="C162" s="47">
        <v>6550</v>
      </c>
      <c r="D162" s="47"/>
      <c r="E162" t="s">
        <v>206</v>
      </c>
      <c r="F162" s="52" t="s">
        <v>113</v>
      </c>
    </row>
    <row r="163" spans="1:12" hidden="1" x14ac:dyDescent="0.3">
      <c r="A163" s="43">
        <v>45926</v>
      </c>
      <c r="B163" t="s">
        <v>223</v>
      </c>
      <c r="C163" s="47">
        <v>5000</v>
      </c>
      <c r="D163" s="47"/>
      <c r="E163" t="s">
        <v>265</v>
      </c>
      <c r="F163" s="52" t="s">
        <v>114</v>
      </c>
      <c r="J163" s="3" t="s">
        <v>6</v>
      </c>
      <c r="K163" t="s">
        <v>126</v>
      </c>
      <c r="L163" t="s">
        <v>127</v>
      </c>
    </row>
    <row r="164" spans="1:12" hidden="1" x14ac:dyDescent="0.3">
      <c r="A164" s="104">
        <v>45926</v>
      </c>
      <c r="B164" t="s">
        <v>64</v>
      </c>
      <c r="C164" s="11">
        <v>87750</v>
      </c>
      <c r="D164" s="11"/>
      <c r="F164" s="52" t="s">
        <v>114</v>
      </c>
      <c r="J164" s="4" t="s">
        <v>123</v>
      </c>
      <c r="K164" s="14"/>
      <c r="L164" s="14">
        <v>63000</v>
      </c>
    </row>
    <row r="165" spans="1:12" hidden="1" x14ac:dyDescent="0.3">
      <c r="A165" s="43">
        <v>45926</v>
      </c>
      <c r="B165" t="s">
        <v>21</v>
      </c>
      <c r="C165" s="47"/>
      <c r="D165" s="47">
        <v>87750</v>
      </c>
      <c r="E165" t="s">
        <v>64</v>
      </c>
      <c r="F165" s="52" t="s">
        <v>114</v>
      </c>
      <c r="J165" s="4" t="s">
        <v>9</v>
      </c>
      <c r="K165" s="14">
        <v>1079491</v>
      </c>
      <c r="L165" s="14"/>
    </row>
    <row r="166" spans="1:12" hidden="1" x14ac:dyDescent="0.3">
      <c r="A166" s="43">
        <v>45926</v>
      </c>
      <c r="B166" t="s">
        <v>121</v>
      </c>
      <c r="C166" s="47">
        <v>940</v>
      </c>
      <c r="D166" s="47"/>
      <c r="E166" t="s">
        <v>220</v>
      </c>
      <c r="F166" s="52" t="s">
        <v>114</v>
      </c>
      <c r="J166" s="4" t="s">
        <v>21</v>
      </c>
      <c r="K166" s="14">
        <v>2366533</v>
      </c>
      <c r="L166" s="14"/>
    </row>
    <row r="167" spans="1:12" hidden="1" x14ac:dyDescent="0.3">
      <c r="A167" s="104">
        <v>45927</v>
      </c>
      <c r="B167" t="s">
        <v>21</v>
      </c>
      <c r="C167" s="11"/>
      <c r="D167" s="11">
        <v>100000</v>
      </c>
      <c r="F167" s="52" t="s">
        <v>113</v>
      </c>
      <c r="J167" s="4" t="s">
        <v>114</v>
      </c>
      <c r="K167" s="14"/>
      <c r="L167" s="14"/>
    </row>
    <row r="168" spans="1:12" hidden="1" x14ac:dyDescent="0.3">
      <c r="A168" s="104">
        <v>45927</v>
      </c>
      <c r="B168" t="s">
        <v>54</v>
      </c>
      <c r="C168" s="11">
        <v>2000</v>
      </c>
      <c r="D168" s="11"/>
      <c r="F168" s="52" t="s">
        <v>113</v>
      </c>
      <c r="J168" s="4" t="s">
        <v>125</v>
      </c>
      <c r="K168" s="14"/>
      <c r="L168" s="14">
        <v>417100</v>
      </c>
    </row>
    <row r="169" spans="1:12" hidden="1" x14ac:dyDescent="0.3">
      <c r="A169" s="104">
        <v>45927</v>
      </c>
      <c r="B169" t="s">
        <v>54</v>
      </c>
      <c r="C169" s="11">
        <v>19200</v>
      </c>
      <c r="D169" s="11"/>
      <c r="E169" t="s">
        <v>268</v>
      </c>
      <c r="F169" s="52" t="s">
        <v>113</v>
      </c>
      <c r="J169" s="4" t="s">
        <v>98</v>
      </c>
      <c r="K169" s="14"/>
      <c r="L169" s="14">
        <v>3665565</v>
      </c>
    </row>
    <row r="170" spans="1:12" hidden="1" x14ac:dyDescent="0.3">
      <c r="A170" s="104">
        <v>45927</v>
      </c>
      <c r="B170" t="s">
        <v>162</v>
      </c>
      <c r="C170" s="11"/>
      <c r="D170" s="11">
        <v>250000</v>
      </c>
      <c r="F170" s="52" t="s">
        <v>113</v>
      </c>
      <c r="J170" s="4" t="s">
        <v>50</v>
      </c>
      <c r="K170" s="14"/>
      <c r="L170" s="14">
        <v>3720</v>
      </c>
    </row>
    <row r="171" spans="1:12" hidden="1" x14ac:dyDescent="0.3">
      <c r="A171" s="104">
        <v>45927</v>
      </c>
      <c r="B171" t="s">
        <v>98</v>
      </c>
      <c r="C171" s="114">
        <v>301000</v>
      </c>
      <c r="D171" s="11"/>
      <c r="E171" t="s">
        <v>269</v>
      </c>
      <c r="F171" s="52" t="s">
        <v>113</v>
      </c>
      <c r="J171" s="4" t="s">
        <v>55</v>
      </c>
      <c r="K171" s="14"/>
      <c r="L171" s="14">
        <v>164918</v>
      </c>
    </row>
    <row r="172" spans="1:12" hidden="1" x14ac:dyDescent="0.3">
      <c r="A172" s="104">
        <v>45927</v>
      </c>
      <c r="B172" t="s">
        <v>98</v>
      </c>
      <c r="C172" s="114">
        <v>33500</v>
      </c>
      <c r="D172" s="11"/>
      <c r="E172" t="s">
        <v>270</v>
      </c>
      <c r="F172" s="52" t="s">
        <v>114</v>
      </c>
      <c r="J172" s="4" t="s">
        <v>119</v>
      </c>
      <c r="K172" s="14"/>
      <c r="L172" s="14">
        <v>49180</v>
      </c>
    </row>
    <row r="173" spans="1:12" hidden="1" x14ac:dyDescent="0.3">
      <c r="A173" s="104">
        <v>45927</v>
      </c>
      <c r="B173" t="s">
        <v>54</v>
      </c>
      <c r="C173" s="11">
        <v>3000</v>
      </c>
      <c r="D173" s="11"/>
      <c r="E173" t="s">
        <v>271</v>
      </c>
      <c r="F173" s="52" t="s">
        <v>114</v>
      </c>
      <c r="J173" s="4" t="s">
        <v>52</v>
      </c>
      <c r="K173" s="14"/>
      <c r="L173" s="14">
        <v>44000</v>
      </c>
    </row>
    <row r="174" spans="1:12" hidden="1" x14ac:dyDescent="0.3">
      <c r="A174" s="104">
        <v>45927</v>
      </c>
      <c r="B174" t="s">
        <v>55</v>
      </c>
      <c r="C174" s="11">
        <v>1250</v>
      </c>
      <c r="D174" s="11"/>
      <c r="F174" s="52" t="s">
        <v>114</v>
      </c>
      <c r="J174" s="4" t="s">
        <v>23</v>
      </c>
      <c r="K174" s="14">
        <v>102500</v>
      </c>
      <c r="L174" s="14"/>
    </row>
    <row r="175" spans="1:12" hidden="1" x14ac:dyDescent="0.3">
      <c r="A175" s="104">
        <v>45927</v>
      </c>
      <c r="B175" t="s">
        <v>114</v>
      </c>
      <c r="C175" s="11"/>
      <c r="D175" s="11"/>
      <c r="F175" s="52" t="s">
        <v>272</v>
      </c>
      <c r="G175">
        <v>30000</v>
      </c>
      <c r="J175" s="4" t="s">
        <v>54</v>
      </c>
      <c r="K175" s="14"/>
      <c r="L175" s="14">
        <v>202492</v>
      </c>
    </row>
    <row r="176" spans="1:12" hidden="1" x14ac:dyDescent="0.3">
      <c r="A176" s="104">
        <v>45927</v>
      </c>
      <c r="B176" t="s">
        <v>123</v>
      </c>
      <c r="C176" s="11">
        <v>20000</v>
      </c>
      <c r="D176" s="11"/>
      <c r="E176" t="s">
        <v>184</v>
      </c>
      <c r="F176" s="52" t="s">
        <v>114</v>
      </c>
      <c r="J176" s="4" t="s">
        <v>121</v>
      </c>
      <c r="K176" s="14">
        <v>48522</v>
      </c>
      <c r="L176" s="14">
        <v>51960</v>
      </c>
    </row>
    <row r="177" spans="1:12" hidden="1" x14ac:dyDescent="0.3">
      <c r="A177" s="104">
        <v>45927</v>
      </c>
      <c r="B177" t="s">
        <v>243</v>
      </c>
      <c r="C177" s="11"/>
      <c r="D177" s="11">
        <v>280000</v>
      </c>
      <c r="F177" s="52" t="s">
        <v>113</v>
      </c>
      <c r="J177" s="4" t="s">
        <v>223</v>
      </c>
      <c r="K177" s="14"/>
      <c r="L177" s="14">
        <v>2700031</v>
      </c>
    </row>
    <row r="178" spans="1:12" hidden="1" x14ac:dyDescent="0.3">
      <c r="A178" s="104">
        <v>45927</v>
      </c>
      <c r="B178" t="s">
        <v>52</v>
      </c>
      <c r="C178" s="11"/>
      <c r="D178" s="11"/>
      <c r="E178" t="s">
        <v>273</v>
      </c>
      <c r="F178" s="52" t="s">
        <v>113</v>
      </c>
      <c r="J178" s="4" t="s">
        <v>118</v>
      </c>
      <c r="K178" s="14">
        <v>22750</v>
      </c>
      <c r="L178" s="14">
        <v>7500</v>
      </c>
    </row>
    <row r="179" spans="1:12" hidden="1" x14ac:dyDescent="0.3">
      <c r="A179" s="104">
        <v>45928</v>
      </c>
      <c r="B179" t="s">
        <v>98</v>
      </c>
      <c r="C179" s="114">
        <v>27300</v>
      </c>
      <c r="D179" s="11"/>
      <c r="E179" t="s">
        <v>275</v>
      </c>
      <c r="F179" s="52" t="s">
        <v>113</v>
      </c>
      <c r="J179" s="4" t="s">
        <v>22</v>
      </c>
      <c r="K179" s="14">
        <v>247550</v>
      </c>
      <c r="L179" s="14"/>
    </row>
    <row r="180" spans="1:12" hidden="1" x14ac:dyDescent="0.3">
      <c r="A180" s="104">
        <v>45928</v>
      </c>
      <c r="B180" t="s">
        <v>98</v>
      </c>
      <c r="C180" s="114">
        <v>40000</v>
      </c>
      <c r="D180" s="11"/>
      <c r="E180" t="s">
        <v>276</v>
      </c>
      <c r="F180" s="52" t="s">
        <v>113</v>
      </c>
      <c r="J180" s="4" t="s">
        <v>25</v>
      </c>
      <c r="K180" s="14">
        <v>400000</v>
      </c>
      <c r="L180" s="14"/>
    </row>
    <row r="181" spans="1:12" hidden="1" x14ac:dyDescent="0.3">
      <c r="A181" s="104">
        <v>45928</v>
      </c>
      <c r="B181" t="s">
        <v>26</v>
      </c>
      <c r="C181" s="11"/>
      <c r="D181" s="11">
        <v>200000</v>
      </c>
      <c r="F181" s="52" t="s">
        <v>113</v>
      </c>
      <c r="J181" s="4" t="s">
        <v>24</v>
      </c>
      <c r="K181" s="14">
        <v>3550000</v>
      </c>
      <c r="L181" s="14"/>
    </row>
    <row r="182" spans="1:12" hidden="1" x14ac:dyDescent="0.3">
      <c r="A182" s="104">
        <v>45928</v>
      </c>
      <c r="B182" t="s">
        <v>52</v>
      </c>
      <c r="C182" s="11"/>
      <c r="D182" s="11"/>
      <c r="E182" t="s">
        <v>277</v>
      </c>
      <c r="F182" s="52" t="s">
        <v>113</v>
      </c>
      <c r="J182" s="4" t="s">
        <v>27</v>
      </c>
      <c r="K182" s="14">
        <v>100000</v>
      </c>
      <c r="L182" s="14"/>
    </row>
    <row r="183" spans="1:12" hidden="1" x14ac:dyDescent="0.3">
      <c r="A183" s="104">
        <v>45928</v>
      </c>
      <c r="B183" t="s">
        <v>52</v>
      </c>
      <c r="C183" s="11">
        <v>20000</v>
      </c>
      <c r="D183" s="11"/>
      <c r="E183" t="s">
        <v>230</v>
      </c>
      <c r="F183" s="52" t="s">
        <v>113</v>
      </c>
      <c r="J183" s="4" t="s">
        <v>122</v>
      </c>
      <c r="K183" s="14"/>
      <c r="L183" s="14">
        <v>500000</v>
      </c>
    </row>
    <row r="184" spans="1:12" hidden="1" x14ac:dyDescent="0.3">
      <c r="A184" s="104">
        <v>45928</v>
      </c>
      <c r="B184" t="s">
        <v>21</v>
      </c>
      <c r="C184" s="47"/>
      <c r="D184" s="47">
        <v>20000</v>
      </c>
      <c r="F184" s="52" t="s">
        <v>113</v>
      </c>
      <c r="J184" s="4" t="s">
        <v>35</v>
      </c>
      <c r="K184" s="14">
        <v>155000</v>
      </c>
      <c r="L184" s="14"/>
    </row>
    <row r="185" spans="1:12" hidden="1" x14ac:dyDescent="0.3">
      <c r="A185" s="104">
        <v>45928</v>
      </c>
      <c r="B185" t="s">
        <v>54</v>
      </c>
      <c r="C185" s="11">
        <v>7050</v>
      </c>
      <c r="D185" s="11"/>
      <c r="E185" t="s">
        <v>206</v>
      </c>
      <c r="F185" s="52" t="s">
        <v>113</v>
      </c>
      <c r="J185" s="4" t="s">
        <v>26</v>
      </c>
      <c r="K185" s="14">
        <v>400000</v>
      </c>
      <c r="L185" s="14"/>
    </row>
    <row r="186" spans="1:12" hidden="1" x14ac:dyDescent="0.3">
      <c r="A186" s="104">
        <v>45928</v>
      </c>
      <c r="B186" t="s">
        <v>54</v>
      </c>
      <c r="C186" s="11">
        <v>1000</v>
      </c>
      <c r="D186" s="11"/>
      <c r="E186" t="s">
        <v>278</v>
      </c>
      <c r="F186" s="52" t="s">
        <v>113</v>
      </c>
      <c r="J186" s="4" t="s">
        <v>159</v>
      </c>
      <c r="K186" s="14"/>
      <c r="L186" s="14">
        <v>420010</v>
      </c>
    </row>
    <row r="187" spans="1:12" hidden="1" x14ac:dyDescent="0.3">
      <c r="A187" s="104">
        <v>45928</v>
      </c>
      <c r="B187" t="s">
        <v>118</v>
      </c>
      <c r="C187" s="11">
        <v>1000</v>
      </c>
      <c r="D187" s="11"/>
      <c r="E187" t="s">
        <v>114</v>
      </c>
      <c r="F187" s="52" t="s">
        <v>114</v>
      </c>
      <c r="J187" s="4" t="s">
        <v>64</v>
      </c>
      <c r="K187" s="14"/>
      <c r="L187" s="14">
        <v>462750</v>
      </c>
    </row>
    <row r="188" spans="1:12" hidden="1" x14ac:dyDescent="0.3">
      <c r="A188" s="104">
        <v>45928</v>
      </c>
      <c r="B188" t="s">
        <v>121</v>
      </c>
      <c r="C188" s="11">
        <v>5000</v>
      </c>
      <c r="D188" s="11"/>
      <c r="E188" t="s">
        <v>279</v>
      </c>
      <c r="F188" s="52" t="s">
        <v>114</v>
      </c>
      <c r="J188" s="4" t="s">
        <v>162</v>
      </c>
      <c r="K188" s="14">
        <v>1000000</v>
      </c>
      <c r="L188" s="14"/>
    </row>
    <row r="189" spans="1:12" hidden="1" x14ac:dyDescent="0.3">
      <c r="A189" s="104">
        <v>45928</v>
      </c>
      <c r="B189" t="s">
        <v>121</v>
      </c>
      <c r="C189" s="11">
        <v>2320</v>
      </c>
      <c r="D189" s="11"/>
      <c r="E189" t="s">
        <v>280</v>
      </c>
      <c r="F189" s="52" t="s">
        <v>114</v>
      </c>
      <c r="J189" s="4" t="s">
        <v>167</v>
      </c>
      <c r="K189" s="14">
        <v>-1203369</v>
      </c>
      <c r="L189" s="14"/>
    </row>
    <row r="190" spans="1:12" hidden="1" x14ac:dyDescent="0.3">
      <c r="A190" s="43">
        <v>45929</v>
      </c>
      <c r="B190" t="s">
        <v>162</v>
      </c>
      <c r="C190" s="47"/>
      <c r="D190" s="47">
        <v>200000</v>
      </c>
      <c r="F190" s="52" t="s">
        <v>113</v>
      </c>
      <c r="J190" s="4" t="s">
        <v>237</v>
      </c>
      <c r="K190" s="14"/>
      <c r="L190" s="14">
        <v>250000</v>
      </c>
    </row>
    <row r="191" spans="1:12" hidden="1" x14ac:dyDescent="0.3">
      <c r="A191" s="104">
        <v>45929</v>
      </c>
      <c r="B191" t="s">
        <v>98</v>
      </c>
      <c r="C191" s="11">
        <v>300002</v>
      </c>
      <c r="D191" s="11"/>
      <c r="E191" t="s">
        <v>281</v>
      </c>
      <c r="F191" s="52" t="s">
        <v>113</v>
      </c>
      <c r="J191" s="4" t="s">
        <v>243</v>
      </c>
      <c r="K191" s="14">
        <v>870000</v>
      </c>
      <c r="L191" s="14"/>
    </row>
    <row r="192" spans="1:12" hidden="1" x14ac:dyDescent="0.3">
      <c r="A192" s="43">
        <v>45929</v>
      </c>
      <c r="B192" t="s">
        <v>98</v>
      </c>
      <c r="C192" s="11">
        <v>34700</v>
      </c>
      <c r="D192" s="11"/>
      <c r="E192" t="s">
        <v>282</v>
      </c>
      <c r="F192" s="52" t="s">
        <v>113</v>
      </c>
      <c r="J192" s="4" t="s">
        <v>28</v>
      </c>
      <c r="K192" s="14">
        <v>9138977</v>
      </c>
      <c r="L192" s="14">
        <v>9002226</v>
      </c>
    </row>
    <row r="193" spans="1:7" hidden="1" x14ac:dyDescent="0.3">
      <c r="A193" s="104">
        <v>45929</v>
      </c>
      <c r="B193" t="s">
        <v>52</v>
      </c>
      <c r="C193" s="11"/>
      <c r="D193" s="11"/>
      <c r="E193" t="s">
        <v>283</v>
      </c>
      <c r="F193" s="52" t="s">
        <v>113</v>
      </c>
    </row>
    <row r="194" spans="1:7" hidden="1" x14ac:dyDescent="0.3">
      <c r="A194" s="43">
        <v>45929</v>
      </c>
      <c r="B194" t="s">
        <v>121</v>
      </c>
      <c r="C194" s="11">
        <v>3300</v>
      </c>
      <c r="D194" s="11"/>
      <c r="E194" t="s">
        <v>171</v>
      </c>
      <c r="F194" s="52" t="s">
        <v>114</v>
      </c>
    </row>
    <row r="195" spans="1:7" hidden="1" x14ac:dyDescent="0.3">
      <c r="A195" s="104">
        <v>45928</v>
      </c>
      <c r="B195" t="s">
        <v>121</v>
      </c>
      <c r="C195" s="47">
        <v>3300</v>
      </c>
      <c r="D195" s="47"/>
      <c r="E195" t="s">
        <v>171</v>
      </c>
      <c r="F195" s="52" t="s">
        <v>114</v>
      </c>
    </row>
    <row r="196" spans="1:7" hidden="1" x14ac:dyDescent="0.3">
      <c r="A196" s="43">
        <v>45929</v>
      </c>
      <c r="B196" t="s">
        <v>55</v>
      </c>
      <c r="C196" s="11">
        <v>8227</v>
      </c>
      <c r="D196" s="11"/>
      <c r="E196" t="s">
        <v>198</v>
      </c>
      <c r="F196" s="52" t="s">
        <v>113</v>
      </c>
    </row>
    <row r="197" spans="1:7" hidden="1" x14ac:dyDescent="0.3">
      <c r="A197" s="104">
        <v>45929</v>
      </c>
      <c r="B197" t="s">
        <v>98</v>
      </c>
      <c r="C197" s="11">
        <v>8000</v>
      </c>
      <c r="D197" s="11"/>
      <c r="E197" t="s">
        <v>225</v>
      </c>
      <c r="F197" s="52" t="s">
        <v>113</v>
      </c>
    </row>
    <row r="198" spans="1:7" hidden="1" x14ac:dyDescent="0.3">
      <c r="A198" s="43">
        <v>45929</v>
      </c>
      <c r="B198" t="s">
        <v>114</v>
      </c>
      <c r="C198" s="11"/>
      <c r="D198" s="11"/>
      <c r="F198" s="52" t="s">
        <v>272</v>
      </c>
      <c r="G198">
        <v>3000</v>
      </c>
    </row>
    <row r="199" spans="1:7" hidden="1" x14ac:dyDescent="0.3">
      <c r="A199" s="104">
        <v>45929</v>
      </c>
      <c r="B199" t="s">
        <v>54</v>
      </c>
      <c r="C199" s="11">
        <v>2000</v>
      </c>
      <c r="D199" s="11"/>
      <c r="E199" t="s">
        <v>285</v>
      </c>
      <c r="F199" s="52" t="s">
        <v>113</v>
      </c>
    </row>
    <row r="200" spans="1:7" hidden="1" x14ac:dyDescent="0.3">
      <c r="A200" s="43">
        <v>45929</v>
      </c>
      <c r="B200" t="s">
        <v>9</v>
      </c>
      <c r="C200" s="47"/>
      <c r="D200" s="47">
        <v>150000</v>
      </c>
      <c r="E200" t="s">
        <v>286</v>
      </c>
      <c r="F200" s="52" t="s">
        <v>113</v>
      </c>
    </row>
    <row r="201" spans="1:7" hidden="1" x14ac:dyDescent="0.3">
      <c r="A201" s="104">
        <v>45929</v>
      </c>
      <c r="B201" t="s">
        <v>54</v>
      </c>
      <c r="C201" s="11">
        <v>3000</v>
      </c>
      <c r="D201" s="11"/>
      <c r="E201" t="s">
        <v>203</v>
      </c>
      <c r="F201" s="52" t="s">
        <v>287</v>
      </c>
    </row>
    <row r="202" spans="1:7" hidden="1" x14ac:dyDescent="0.3">
      <c r="A202" s="43">
        <v>45929</v>
      </c>
      <c r="B202" t="s">
        <v>288</v>
      </c>
      <c r="C202" s="47">
        <v>10000</v>
      </c>
      <c r="D202" s="47"/>
      <c r="E202" t="s">
        <v>158</v>
      </c>
      <c r="F202" s="52" t="s">
        <v>289</v>
      </c>
    </row>
    <row r="203" spans="1:7" hidden="1" x14ac:dyDescent="0.3">
      <c r="A203" s="104">
        <v>45929</v>
      </c>
      <c r="B203" t="s">
        <v>54</v>
      </c>
      <c r="C203" s="11">
        <v>5700</v>
      </c>
      <c r="D203" s="11"/>
      <c r="E203" t="s">
        <v>206</v>
      </c>
      <c r="F203" s="52" t="s">
        <v>113</v>
      </c>
    </row>
    <row r="204" spans="1:7" hidden="1" x14ac:dyDescent="0.3">
      <c r="A204" s="43">
        <v>45929</v>
      </c>
      <c r="B204" t="s">
        <v>26</v>
      </c>
      <c r="C204" s="47"/>
      <c r="D204" s="47">
        <v>200000</v>
      </c>
      <c r="F204" s="52" t="s">
        <v>289</v>
      </c>
    </row>
    <row r="205" spans="1:7" hidden="1" x14ac:dyDescent="0.3">
      <c r="A205" s="104">
        <v>45930</v>
      </c>
      <c r="B205" t="s">
        <v>98</v>
      </c>
      <c r="C205" s="11">
        <v>41060</v>
      </c>
      <c r="D205" s="11"/>
      <c r="F205" s="52" t="s">
        <v>114</v>
      </c>
    </row>
    <row r="206" spans="1:7" hidden="1" x14ac:dyDescent="0.3">
      <c r="A206" s="104">
        <v>45930</v>
      </c>
      <c r="B206" t="s">
        <v>125</v>
      </c>
      <c r="C206" s="11">
        <v>82000</v>
      </c>
      <c r="D206" s="11"/>
      <c r="E206" t="s">
        <v>197</v>
      </c>
      <c r="F206" s="52" t="s">
        <v>113</v>
      </c>
    </row>
    <row r="207" spans="1:7" x14ac:dyDescent="0.3">
      <c r="A207" s="104">
        <v>45930</v>
      </c>
      <c r="B207" t="s">
        <v>24</v>
      </c>
      <c r="C207" s="11"/>
      <c r="D207" s="11">
        <v>650000</v>
      </c>
      <c r="F207" s="52" t="s">
        <v>113</v>
      </c>
    </row>
    <row r="208" spans="1:7" x14ac:dyDescent="0.3">
      <c r="A208" s="104">
        <v>45930</v>
      </c>
      <c r="B208" t="s">
        <v>24</v>
      </c>
      <c r="C208" s="11"/>
      <c r="D208" s="11">
        <v>400000</v>
      </c>
      <c r="F208" s="52" t="s">
        <v>113</v>
      </c>
    </row>
    <row r="209" spans="1:6" hidden="1" x14ac:dyDescent="0.3">
      <c r="A209" s="104">
        <v>45930</v>
      </c>
      <c r="B209" t="s">
        <v>223</v>
      </c>
      <c r="C209" s="11">
        <v>800000</v>
      </c>
      <c r="D209" s="11"/>
      <c r="E209" t="s">
        <v>290</v>
      </c>
      <c r="F209" s="52" t="s">
        <v>113</v>
      </c>
    </row>
    <row r="210" spans="1:6" hidden="1" x14ac:dyDescent="0.3">
      <c r="A210" s="104">
        <v>45930</v>
      </c>
      <c r="B210" t="s">
        <v>98</v>
      </c>
      <c r="C210" s="11">
        <v>300330</v>
      </c>
      <c r="D210" s="11"/>
      <c r="E210" t="s">
        <v>291</v>
      </c>
      <c r="F210" s="52" t="s">
        <v>113</v>
      </c>
    </row>
    <row r="211" spans="1:6" hidden="1" x14ac:dyDescent="0.3">
      <c r="A211" s="104">
        <v>45930</v>
      </c>
      <c r="B211" t="s">
        <v>9</v>
      </c>
      <c r="C211" s="11"/>
      <c r="D211" s="11">
        <v>70000</v>
      </c>
      <c r="F211" s="52" t="s">
        <v>113</v>
      </c>
    </row>
    <row r="212" spans="1:6" hidden="1" x14ac:dyDescent="0.3">
      <c r="A212" s="104">
        <v>45930</v>
      </c>
      <c r="B212" t="s">
        <v>119</v>
      </c>
      <c r="C212" s="11">
        <v>4000</v>
      </c>
      <c r="D212" s="11"/>
      <c r="E212" t="s">
        <v>292</v>
      </c>
      <c r="F212" s="52" t="s">
        <v>114</v>
      </c>
    </row>
    <row r="213" spans="1:6" hidden="1" x14ac:dyDescent="0.3">
      <c r="A213" s="104">
        <v>45930</v>
      </c>
      <c r="B213" t="s">
        <v>50</v>
      </c>
      <c r="C213" s="47">
        <v>300</v>
      </c>
      <c r="D213" s="47"/>
      <c r="F213" s="52" t="s">
        <v>114</v>
      </c>
    </row>
    <row r="214" spans="1:6" hidden="1" x14ac:dyDescent="0.3">
      <c r="A214" s="104">
        <v>45930</v>
      </c>
      <c r="B214" t="s">
        <v>54</v>
      </c>
      <c r="C214" s="11">
        <v>3350</v>
      </c>
      <c r="D214" s="11"/>
      <c r="E214" t="s">
        <v>206</v>
      </c>
      <c r="F214" s="52" t="s">
        <v>113</v>
      </c>
    </row>
    <row r="215" spans="1:6" hidden="1" x14ac:dyDescent="0.3">
      <c r="A215" s="104">
        <v>45930</v>
      </c>
      <c r="B215" t="s">
        <v>52</v>
      </c>
      <c r="C215" s="11"/>
      <c r="D215" s="11"/>
      <c r="E215" t="s">
        <v>293</v>
      </c>
      <c r="F215" s="52" t="s">
        <v>113</v>
      </c>
    </row>
    <row r="216" spans="1:6" x14ac:dyDescent="0.3">
      <c r="A216" s="43"/>
      <c r="C216" s="14">
        <f>SUBTOTAL(109,Table14[Debit])</f>
        <v>0</v>
      </c>
      <c r="D216" s="14">
        <f>SUBTOTAL(109,Table14[Credit])</f>
        <v>3550000</v>
      </c>
      <c r="F216" s="62">
        <f>(Table14[[#Totals],[Credit]]-Table14[[#Totals],[Debit]])</f>
        <v>3550000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F12" sqref="F1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106600</v>
      </c>
      <c r="L7">
        <v>417100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169100</v>
      </c>
      <c r="L9">
        <v>417100</v>
      </c>
      <c r="M9">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169100</v>
      </c>
      <c r="G13">
        <f>SUBTOTAL(109,Table2[Paid])</f>
        <v>417100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886547</v>
      </c>
      <c r="C2" s="37">
        <f>GETPIVOTDATA("Sum of Tiyaar/gaz",$A$3)</f>
        <v>944679</v>
      </c>
      <c r="D2" s="36">
        <f>((B2*48)+((C2/1.0936)*10))/C2</f>
        <v>54.190371350604579</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t="s">
        <v>28</v>
      </c>
      <c r="B45" s="35">
        <v>100795</v>
      </c>
      <c r="C45" s="35">
        <v>944679</v>
      </c>
      <c r="D45" s="33">
        <f t="shared" ref="D45:D58" si="19">I45</f>
        <v>14.265596903411399</v>
      </c>
      <c r="E45" s="11">
        <f t="shared" ref="E45:E58" si="20">B45 * 1.0936</f>
        <v>110229.412</v>
      </c>
      <c r="F45" s="11">
        <f t="shared" ref="F45:F58" si="21">C45</f>
        <v>944679</v>
      </c>
      <c r="G45" s="86">
        <f t="shared" ref="G45:G58" si="22">100- (F45/E45 *100)</f>
        <v>-757.01173839156479</v>
      </c>
      <c r="H45" s="33">
        <f t="shared" ref="H45:H58" si="23">F45/1.0936</f>
        <v>863824.98171177774</v>
      </c>
      <c r="I45" s="33">
        <f t="shared" ref="I45:I58" si="24">((B45*48)+(H45*10))/C45</f>
        <v>14.265596903411399</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49180</v>
      </c>
      <c r="H35" s="1"/>
      <c r="J35">
        <f>SUM(Table15[Amount])</f>
        <v>164918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9525316</v>
      </c>
      <c r="C2" s="109">
        <f>Billing!X5</f>
        <v>2778239.2304316033</v>
      </c>
    </row>
    <row r="3" spans="1:3" ht="18" x14ac:dyDescent="0.35">
      <c r="A3" s="89" t="str">
        <f>Billing!O6</f>
        <v>Ejaz Sahab</v>
      </c>
      <c r="B3" s="14">
        <f>Billing!W6</f>
        <v>859904</v>
      </c>
      <c r="C3" s="110">
        <f>Billing!X6</f>
        <v>278812.16678858828</v>
      </c>
    </row>
    <row r="4" spans="1:3" ht="18" x14ac:dyDescent="0.35">
      <c r="A4" s="89" t="str">
        <f>Billing!O7</f>
        <v>Arshad</v>
      </c>
      <c r="B4" s="14">
        <f>Billing!W7</f>
        <v>1833701</v>
      </c>
      <c r="C4" s="110">
        <f>Billing!X7</f>
        <v>73100.389904901385</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7629100</v>
      </c>
      <c r="C6" s="109">
        <f>Billing!X9</f>
        <v>1690407.1324067302</v>
      </c>
    </row>
    <row r="7" spans="1:3" ht="18" x14ac:dyDescent="0.35">
      <c r="A7" s="89" t="str">
        <f>Billing!O10</f>
        <v>Sajad Khan</v>
      </c>
      <c r="B7" s="14">
        <f>Billing!W10</f>
        <v>2700000</v>
      </c>
      <c r="C7" s="109">
        <f>Billing!X10</f>
        <v>560908.92465252383</v>
      </c>
    </row>
    <row r="8" spans="1:3" ht="18" x14ac:dyDescent="0.35">
      <c r="A8" s="89" t="str">
        <f>Billing!O11</f>
        <v>Raaz Fabrics</v>
      </c>
      <c r="B8" s="14">
        <f>Billing!W11</f>
        <v>600000</v>
      </c>
      <c r="C8" s="109">
        <f>Billing!X11</f>
        <v>90919.89758595475</v>
      </c>
    </row>
    <row r="9" spans="1:3" ht="18" x14ac:dyDescent="0.35">
      <c r="A9" s="89" t="str">
        <f>Billing!O12</f>
        <v>Azam</v>
      </c>
      <c r="B9" s="14">
        <f>Billing!W12</f>
        <v>1200000</v>
      </c>
      <c r="C9" s="109">
        <f>Billing!X12</f>
        <v>21653.255303584505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tabSelected="1" workbookViewId="0">
      <selection activeCell="B2" sqref="B2"/>
    </sheetView>
  </sheetViews>
  <sheetFormatPr defaultRowHeight="14.4" x14ac:dyDescent="0.3"/>
  <cols>
    <col min="1" max="1" width="13.44140625" customWidth="1"/>
    <col min="2" max="2" width="15.77734375" customWidth="1"/>
  </cols>
  <sheetData>
    <row r="1" spans="1:2" x14ac:dyDescent="0.3">
      <c r="A1" t="s">
        <v>300</v>
      </c>
      <c r="B1" t="s">
        <v>17</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f>Billing!O17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2025-09-30T20:51:10Z</dcterms:modified>
  <cp:category/>
  <cp:contentStatus/>
</cp:coreProperties>
</file>