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4285" documentId="8_{04F26ED9-7C3F-46BE-B42F-003E2A3A444E}" xr6:coauthVersionLast="47" xr6:coauthVersionMax="47" xr10:uidLastSave="{1212BFB0-1086-454D-A7FA-1ACED7EEEA28}"/>
  <bookViews>
    <workbookView xWindow="-108" yWindow="-108" windowWidth="23256" windowHeight="12456" firstSheet="2" activeTab="6"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39" r:id="rId19"/>
    <pivotCache cacheId="43" r:id="rId20"/>
    <pivotCache cacheId="48" r:id="rId21"/>
    <pivotCache cacheId="54" r:id="rId22"/>
    <pivotCache cacheId="61" r:id="rId23"/>
    <pivotCache cacheId="6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15" l="1"/>
  <c r="H69" i="6"/>
  <c r="H70" i="6"/>
  <c r="I70" i="6" s="1"/>
  <c r="G70" i="6"/>
  <c r="G14" i="15"/>
  <c r="H14" i="15" s="1"/>
  <c r="G15" i="15"/>
  <c r="H15" i="15" s="1"/>
  <c r="E17" i="7"/>
  <c r="E16" i="7"/>
  <c r="E15" i="7"/>
  <c r="H15" i="7"/>
  <c r="D15" i="7"/>
  <c r="H16" i="7"/>
  <c r="H17" i="7"/>
  <c r="G13" i="15"/>
  <c r="H13" i="15" s="1"/>
  <c r="I126" i="1"/>
  <c r="J126" i="1" a="1"/>
  <c r="J126" i="1" s="1"/>
  <c r="I127" i="1"/>
  <c r="J127" i="1" s="1" a="1"/>
  <c r="J127" i="1" s="1"/>
  <c r="I128" i="1"/>
  <c r="J128" i="1" a="1"/>
  <c r="J128" i="1" s="1"/>
  <c r="I129" i="1"/>
  <c r="J129" i="1" a="1"/>
  <c r="J129" i="1" s="1"/>
  <c r="I130" i="1"/>
  <c r="J130" i="1" a="1"/>
  <c r="J130" i="1" s="1"/>
  <c r="I131" i="1"/>
  <c r="J131" i="1" s="1" a="1"/>
  <c r="J131" i="1" s="1"/>
  <c r="I132" i="1"/>
  <c r="J132" i="1" s="1" a="1"/>
  <c r="J132" i="1" s="1"/>
  <c r="C342" i="17"/>
  <c r="C7" i="8" s="1"/>
  <c r="H33" i="6"/>
  <c r="I33" i="6" s="1"/>
  <c r="H34" i="6"/>
  <c r="I34" i="6" s="1"/>
  <c r="G33" i="6"/>
  <c r="H68" i="6"/>
  <c r="I68" i="6" s="1"/>
  <c r="G68" i="6"/>
  <c r="G69" i="6"/>
  <c r="I69" i="6"/>
  <c r="H67" i="6"/>
  <c r="I67" i="6" s="1"/>
  <c r="H66" i="6"/>
  <c r="I66" i="6" s="1"/>
  <c r="G66" i="6"/>
  <c r="G67" i="6"/>
  <c r="H65" i="6"/>
  <c r="I65" i="6" s="1"/>
  <c r="A22" i="20"/>
  <c r="A23" i="20"/>
  <c r="A24" i="20"/>
  <c r="A25" i="20"/>
  <c r="A26" i="20"/>
  <c r="A27" i="20"/>
  <c r="A28" i="20"/>
  <c r="B22" i="20"/>
  <c r="B23" i="20"/>
  <c r="B24" i="20"/>
  <c r="B25" i="20"/>
  <c r="B26" i="20"/>
  <c r="B27" i="20"/>
  <c r="B28" i="20"/>
  <c r="C22" i="20"/>
  <c r="C23" i="20"/>
  <c r="C24" i="20"/>
  <c r="C25" i="20"/>
  <c r="C26" i="20"/>
  <c r="C27" i="20"/>
  <c r="C28" i="20"/>
  <c r="A20" i="20"/>
  <c r="A21" i="20"/>
  <c r="B20" i="20"/>
  <c r="B21" i="20"/>
  <c r="C17" i="20"/>
  <c r="C18" i="20"/>
  <c r="C19" i="20"/>
  <c r="C20" i="20"/>
  <c r="C21" i="20"/>
  <c r="O5" i="9" a="1"/>
  <c r="A13" i="21" s="1"/>
  <c r="B13" i="21" s="1"/>
  <c r="A19" i="20"/>
  <c r="B17" i="20"/>
  <c r="B18" i="20"/>
  <c r="B19" i="20"/>
  <c r="B26" i="9" a="1"/>
  <c r="B10" i="9" s="1"/>
  <c r="G71" i="9"/>
  <c r="I71" i="9" s="1"/>
  <c r="K71" i="9" s="1"/>
  <c r="G41" i="9" a="1"/>
  <c r="G41" i="9" s="1"/>
  <c r="H41" i="9" a="1"/>
  <c r="H41" i="9" s="1"/>
  <c r="J41" i="9"/>
  <c r="G43" i="9" a="1"/>
  <c r="G43" i="9" s="1"/>
  <c r="H43" i="9" a="1"/>
  <c r="H43" i="9" s="1"/>
  <c r="J43" i="9"/>
  <c r="G44" i="9" a="1"/>
  <c r="G44" i="9" s="1"/>
  <c r="H44" i="9" a="1"/>
  <c r="H44" i="9" s="1"/>
  <c r="J44" i="9"/>
  <c r="G45" i="9" a="1"/>
  <c r="G45" i="9" s="1"/>
  <c r="H45" i="9" a="1"/>
  <c r="H45" i="9" s="1"/>
  <c r="J45" i="9"/>
  <c r="G46" i="9" a="1"/>
  <c r="G46" i="9" s="1"/>
  <c r="H46" i="9" a="1"/>
  <c r="H46" i="9" s="1"/>
  <c r="J46" i="9"/>
  <c r="I125" i="1"/>
  <c r="J125" i="1" a="1"/>
  <c r="J125" i="1" s="1"/>
  <c r="I107" i="1"/>
  <c r="J107" i="1" s="1" a="1"/>
  <c r="J107" i="1" s="1"/>
  <c r="I108" i="1"/>
  <c r="J108" i="1" s="1" a="1"/>
  <c r="J108" i="1" s="1"/>
  <c r="I109" i="1"/>
  <c r="J109" i="1" s="1" a="1"/>
  <c r="J109" i="1" s="1"/>
  <c r="I110" i="1"/>
  <c r="J110" i="1" a="1"/>
  <c r="J110" i="1" s="1"/>
  <c r="I111" i="1"/>
  <c r="J111" i="1" a="1"/>
  <c r="J111" i="1" s="1"/>
  <c r="I112" i="1"/>
  <c r="J112" i="1" s="1" a="1"/>
  <c r="J112" i="1" s="1"/>
  <c r="I113" i="1"/>
  <c r="J113" i="1" s="1" a="1"/>
  <c r="J113" i="1" s="1"/>
  <c r="I114" i="1"/>
  <c r="J114" i="1" s="1" a="1"/>
  <c r="J114" i="1" s="1"/>
  <c r="I115" i="1"/>
  <c r="J115" i="1" s="1" a="1"/>
  <c r="J115" i="1" s="1"/>
  <c r="I116" i="1"/>
  <c r="J116" i="1" a="1"/>
  <c r="J116" i="1"/>
  <c r="I117" i="1"/>
  <c r="J117" i="1" a="1"/>
  <c r="J117" i="1" s="1"/>
  <c r="I118" i="1"/>
  <c r="J118" i="1" s="1" a="1"/>
  <c r="J118" i="1" s="1"/>
  <c r="I119" i="1"/>
  <c r="J119" i="1" a="1"/>
  <c r="J119" i="1" s="1"/>
  <c r="I120" i="1"/>
  <c r="J120" i="1" a="1"/>
  <c r="J120" i="1" s="1"/>
  <c r="I121" i="1"/>
  <c r="J121" i="1" a="1"/>
  <c r="J121" i="1" s="1"/>
  <c r="I122" i="1"/>
  <c r="J122" i="1" s="1" a="1"/>
  <c r="J122" i="1" s="1"/>
  <c r="I123" i="1"/>
  <c r="J123" i="1" a="1"/>
  <c r="J123" i="1" s="1"/>
  <c r="I124" i="1"/>
  <c r="J124" i="1" s="1" a="1"/>
  <c r="J124" i="1" s="1"/>
  <c r="F116" i="1"/>
  <c r="H64" i="6"/>
  <c r="I64" i="6" s="1"/>
  <c r="G58" i="6"/>
  <c r="I58" i="6"/>
  <c r="G62" i="6"/>
  <c r="G63" i="6"/>
  <c r="G64" i="6"/>
  <c r="G65" i="6"/>
  <c r="I62" i="6"/>
  <c r="I63" i="6"/>
  <c r="I103" i="1"/>
  <c r="J103" i="1" a="1"/>
  <c r="J103" i="1" s="1"/>
  <c r="I104" i="1"/>
  <c r="J104" i="1" s="1" a="1"/>
  <c r="J104" i="1" s="1"/>
  <c r="I105" i="1"/>
  <c r="J105" i="1" s="1" a="1"/>
  <c r="J105" i="1" s="1"/>
  <c r="I106" i="1"/>
  <c r="J106" i="1" a="1"/>
  <c r="J106" i="1" s="1"/>
  <c r="H61" i="6"/>
  <c r="I61" i="6" s="1"/>
  <c r="G61" i="6"/>
  <c r="H60" i="6"/>
  <c r="I60" i="6" s="1"/>
  <c r="G60" i="6"/>
  <c r="H59" i="6"/>
  <c r="I59" i="6" s="1"/>
  <c r="H57" i="6"/>
  <c r="I57" i="6" s="1"/>
  <c r="I97" i="1"/>
  <c r="J97" i="1" a="1"/>
  <c r="J97" i="1" s="1"/>
  <c r="I98" i="1"/>
  <c r="J98" i="1" a="1"/>
  <c r="J98" i="1"/>
  <c r="I99" i="1"/>
  <c r="J99" i="1" s="1" a="1"/>
  <c r="J99" i="1" s="1"/>
  <c r="I100" i="1"/>
  <c r="J100" i="1" s="1" a="1"/>
  <c r="J100" i="1" s="1"/>
  <c r="I101" i="1"/>
  <c r="J101" i="1" s="1" a="1"/>
  <c r="J101" i="1" s="1"/>
  <c r="I102" i="1"/>
  <c r="J102" i="1" s="1" a="1"/>
  <c r="J102" i="1" s="1"/>
  <c r="H55" i="6"/>
  <c r="I55" i="6" s="1"/>
  <c r="D3" i="17"/>
  <c r="D226" i="17"/>
  <c r="I89" i="1"/>
  <c r="J89" i="1" s="1" a="1"/>
  <c r="J89" i="1" s="1"/>
  <c r="H54" i="6"/>
  <c r="I54" i="6" s="1"/>
  <c r="H50" i="6"/>
  <c r="I50" i="6" s="1"/>
  <c r="G50" i="6"/>
  <c r="G51" i="6"/>
  <c r="G52" i="6"/>
  <c r="G53" i="6"/>
  <c r="G54" i="6"/>
  <c r="G55" i="6"/>
  <c r="G56" i="6"/>
  <c r="G57" i="6"/>
  <c r="G59" i="6"/>
  <c r="I51" i="6"/>
  <c r="I52" i="6"/>
  <c r="I53" i="6"/>
  <c r="I56" i="6"/>
  <c r="I81" i="1"/>
  <c r="J81" i="1" a="1"/>
  <c r="J81" i="1" s="1"/>
  <c r="I82" i="1"/>
  <c r="J82" i="1" a="1"/>
  <c r="J82" i="1" s="1"/>
  <c r="I83" i="1"/>
  <c r="J83" i="1" s="1" a="1"/>
  <c r="J83" i="1" s="1"/>
  <c r="I84" i="1"/>
  <c r="J84" i="1" a="1"/>
  <c r="J84" i="1"/>
  <c r="I85" i="1"/>
  <c r="I86" i="1"/>
  <c r="J86" i="1" s="1" a="1"/>
  <c r="J86" i="1" s="1"/>
  <c r="I87" i="1"/>
  <c r="J87" i="1" a="1"/>
  <c r="J87" i="1" s="1"/>
  <c r="I88" i="1"/>
  <c r="J88" i="1" s="1" a="1"/>
  <c r="J88" i="1" s="1"/>
  <c r="I90" i="1"/>
  <c r="J90" i="1" a="1"/>
  <c r="J90" i="1" s="1"/>
  <c r="I91" i="1"/>
  <c r="J91" i="1" s="1" a="1"/>
  <c r="J91" i="1" s="1"/>
  <c r="I92" i="1"/>
  <c r="J92" i="1" a="1"/>
  <c r="J92" i="1" s="1"/>
  <c r="I93" i="1"/>
  <c r="J93" i="1" s="1" a="1"/>
  <c r="J93" i="1" s="1"/>
  <c r="I94" i="1"/>
  <c r="J94" i="1" a="1"/>
  <c r="J94" i="1" s="1"/>
  <c r="I95" i="1"/>
  <c r="J95" i="1" a="1"/>
  <c r="J95" i="1" s="1"/>
  <c r="I96" i="1"/>
  <c r="J96" i="1" a="1"/>
  <c r="J96" i="1"/>
  <c r="G49" i="6"/>
  <c r="I49" i="6"/>
  <c r="H48" i="6"/>
  <c r="I48" i="6" s="1"/>
  <c r="G48" i="6"/>
  <c r="B61" i="9" a="1"/>
  <c r="B61" i="9" s="1"/>
  <c r="I71" i="1"/>
  <c r="J71" i="1" a="1"/>
  <c r="J71" i="1" s="1"/>
  <c r="I72" i="1"/>
  <c r="J72" i="1" a="1"/>
  <c r="J72" i="1" s="1"/>
  <c r="I73" i="1"/>
  <c r="J73" i="1" a="1"/>
  <c r="J73" i="1" s="1"/>
  <c r="I74" i="1"/>
  <c r="J74" i="1" a="1"/>
  <c r="J74" i="1" s="1"/>
  <c r="I75" i="1"/>
  <c r="J75" i="1" s="1" a="1"/>
  <c r="J75" i="1" s="1"/>
  <c r="I76" i="1"/>
  <c r="J76" i="1" a="1"/>
  <c r="J76" i="1" s="1"/>
  <c r="I77" i="1"/>
  <c r="J77" i="1" s="1" a="1"/>
  <c r="J77" i="1" s="1"/>
  <c r="I78" i="1"/>
  <c r="J78" i="1" s="1" a="1"/>
  <c r="J78" i="1" s="1"/>
  <c r="I79" i="1"/>
  <c r="J79" i="1" s="1" a="1"/>
  <c r="J79" i="1" s="1"/>
  <c r="I80" i="1"/>
  <c r="J80" i="1" s="1" a="1"/>
  <c r="J80" i="1" s="1"/>
  <c r="H47" i="6"/>
  <c r="I47" i="6" s="1"/>
  <c r="G47" i="6"/>
  <c r="I63" i="1"/>
  <c r="J63" i="1" s="1" a="1"/>
  <c r="J63" i="1" s="1"/>
  <c r="I64" i="1"/>
  <c r="J64" i="1" s="1" a="1"/>
  <c r="J64" i="1" s="1"/>
  <c r="I65" i="1"/>
  <c r="J65" i="1" s="1" a="1"/>
  <c r="J65" i="1" s="1"/>
  <c r="I66" i="1"/>
  <c r="J66" i="1" s="1" a="1"/>
  <c r="J66" i="1" s="1"/>
  <c r="I67" i="1"/>
  <c r="J67" i="1" s="1" a="1"/>
  <c r="J67" i="1" s="1"/>
  <c r="I68" i="1"/>
  <c r="J68" i="1" a="1"/>
  <c r="J68" i="1" s="1"/>
  <c r="I69" i="1"/>
  <c r="J69" i="1" a="1"/>
  <c r="J69" i="1" s="1"/>
  <c r="I70" i="1"/>
  <c r="J70" i="1" s="1" a="1"/>
  <c r="J70" i="1" s="1"/>
  <c r="H46" i="6"/>
  <c r="I46" i="6" s="1"/>
  <c r="G42" i="6"/>
  <c r="G43" i="6"/>
  <c r="G44" i="6"/>
  <c r="G45" i="6"/>
  <c r="G46" i="6"/>
  <c r="I42" i="6"/>
  <c r="I43" i="6"/>
  <c r="I44" i="6"/>
  <c r="I45" i="6"/>
  <c r="G6" i="6"/>
  <c r="H40" i="6"/>
  <c r="I40" i="6" s="1"/>
  <c r="I41" i="6"/>
  <c r="G40" i="6"/>
  <c r="H31" i="6"/>
  <c r="I31" i="6" s="1"/>
  <c r="G31" i="6"/>
  <c r="G41" i="6"/>
  <c r="E8" i="7"/>
  <c r="E9" i="7"/>
  <c r="E10" i="7"/>
  <c r="E11" i="7"/>
  <c r="E12" i="7"/>
  <c r="H12" i="7"/>
  <c r="E13" i="7"/>
  <c r="H13" i="7"/>
  <c r="E14" i="7"/>
  <c r="H14" i="7"/>
  <c r="E7" i="7"/>
  <c r="E18" i="7"/>
  <c r="H8" i="7"/>
  <c r="H9" i="7"/>
  <c r="H10" i="7"/>
  <c r="H11" i="7"/>
  <c r="I57" i="1"/>
  <c r="J57" i="1" a="1"/>
  <c r="J57" i="1"/>
  <c r="I58" i="1"/>
  <c r="J58" i="1" a="1"/>
  <c r="J58" i="1" s="1"/>
  <c r="I59" i="1"/>
  <c r="J59" i="1" a="1"/>
  <c r="J59" i="1" s="1"/>
  <c r="I60" i="1"/>
  <c r="J60" i="1" a="1"/>
  <c r="J60" i="1"/>
  <c r="I61" i="1"/>
  <c r="J61" i="1" s="1" a="1"/>
  <c r="J61" i="1" s="1"/>
  <c r="I62" i="1"/>
  <c r="J62" i="1" a="1"/>
  <c r="J62" i="1" s="1"/>
  <c r="H38" i="6"/>
  <c r="I38" i="6" s="1"/>
  <c r="G39" i="6"/>
  <c r="I39" i="6"/>
  <c r="G38" i="6"/>
  <c r="G37" i="6"/>
  <c r="I37" i="6"/>
  <c r="G35" i="6"/>
  <c r="I35" i="6"/>
  <c r="H10" i="15"/>
  <c r="G5" i="15"/>
  <c r="G6" i="15"/>
  <c r="F7" i="15"/>
  <c r="G8" i="15"/>
  <c r="H8" i="15" s="1"/>
  <c r="G9" i="15"/>
  <c r="H9" i="15" s="1"/>
  <c r="G11" i="15"/>
  <c r="H11" i="15" s="1"/>
  <c r="G12" i="15"/>
  <c r="H12" i="15" s="1"/>
  <c r="H6" i="7"/>
  <c r="I52" i="1"/>
  <c r="J52" i="1" s="1" a="1"/>
  <c r="J52" i="1" s="1"/>
  <c r="I53" i="1"/>
  <c r="J53" i="1" s="1" a="1"/>
  <c r="J53" i="1" s="1"/>
  <c r="I54" i="1"/>
  <c r="J54" i="1" a="1"/>
  <c r="J54" i="1" s="1"/>
  <c r="I55" i="1"/>
  <c r="J55" i="1" s="1" a="1"/>
  <c r="J55" i="1" s="1"/>
  <c r="I56" i="1"/>
  <c r="J56" i="1" a="1"/>
  <c r="J56" i="1" s="1"/>
  <c r="H36" i="6"/>
  <c r="I36" i="6" s="1"/>
  <c r="G36" i="6"/>
  <c r="G5" i="7"/>
  <c r="H5" i="7" s="1"/>
  <c r="H18" i="7" s="1"/>
  <c r="H3" i="7"/>
  <c r="H4" i="7"/>
  <c r="D145" i="17"/>
  <c r="I51" i="1"/>
  <c r="J51" i="1" s="1" a="1"/>
  <c r="J51" i="1" s="1"/>
  <c r="H32" i="6"/>
  <c r="I32" i="6" s="1"/>
  <c r="G32" i="6"/>
  <c r="G34" i="6"/>
  <c r="I42" i="1"/>
  <c r="J42" i="1" s="1" a="1"/>
  <c r="J42" i="1" s="1"/>
  <c r="I43" i="1"/>
  <c r="J43" i="1" s="1" a="1"/>
  <c r="J43" i="1" s="1"/>
  <c r="I44" i="1"/>
  <c r="J44" i="1" s="1" a="1"/>
  <c r="J44" i="1" s="1"/>
  <c r="I45" i="1"/>
  <c r="J45" i="1" a="1"/>
  <c r="J45" i="1" s="1"/>
  <c r="I46" i="1"/>
  <c r="J46" i="1" a="1"/>
  <c r="J46" i="1"/>
  <c r="I47" i="1"/>
  <c r="J47" i="1" a="1"/>
  <c r="J47" i="1" s="1"/>
  <c r="I48" i="1"/>
  <c r="J48" i="1" s="1" a="1"/>
  <c r="J48" i="1" s="1"/>
  <c r="I49" i="1"/>
  <c r="J49" i="1" s="1" a="1"/>
  <c r="J49" i="1" s="1"/>
  <c r="I50" i="1"/>
  <c r="J50" i="1" s="1" a="1"/>
  <c r="J50" i="1" s="1"/>
  <c r="C10" i="12"/>
  <c r="C11" i="12"/>
  <c r="C9" i="12"/>
  <c r="D98" i="17"/>
  <c r="I39" i="1"/>
  <c r="J39" i="1" s="1" a="1"/>
  <c r="J39" i="1" s="1"/>
  <c r="I40" i="1"/>
  <c r="J40" i="1" a="1"/>
  <c r="J40" i="1"/>
  <c r="I41" i="1"/>
  <c r="J41" i="1" a="1"/>
  <c r="J41" i="1" s="1"/>
  <c r="H28" i="6"/>
  <c r="I28" i="6" s="1"/>
  <c r="H27" i="6"/>
  <c r="I27" i="6" s="1"/>
  <c r="G26" i="6"/>
  <c r="G27" i="6"/>
  <c r="G28" i="6"/>
  <c r="G29" i="6"/>
  <c r="G30" i="6"/>
  <c r="I26" i="6"/>
  <c r="I29" i="6"/>
  <c r="I30" i="6"/>
  <c r="I35" i="1"/>
  <c r="J35" i="1" s="1" a="1"/>
  <c r="J35" i="1" s="1"/>
  <c r="I36" i="1"/>
  <c r="J36" i="1" a="1"/>
  <c r="J36" i="1" s="1"/>
  <c r="I37" i="1"/>
  <c r="J37" i="1" s="1" a="1"/>
  <c r="J37" i="1" s="1"/>
  <c r="I38" i="1"/>
  <c r="J38" i="1" a="1"/>
  <c r="J38" i="1" s="1"/>
  <c r="H25" i="6"/>
  <c r="I25" i="6" s="1"/>
  <c r="G25" i="6"/>
  <c r="I23" i="6"/>
  <c r="H24" i="6"/>
  <c r="I24" i="6" s="1"/>
  <c r="H20" i="6"/>
  <c r="I20" i="6" s="1"/>
  <c r="H21" i="6"/>
  <c r="I21" i="6" s="1"/>
  <c r="H22" i="6"/>
  <c r="I22" i="6" s="1"/>
  <c r="G24" i="6"/>
  <c r="G23" i="6"/>
  <c r="G22" i="6"/>
  <c r="H19" i="6"/>
  <c r="I19" i="6" s="1"/>
  <c r="D71" i="17"/>
  <c r="I28" i="1"/>
  <c r="J28" i="1" s="1" a="1"/>
  <c r="J28" i="1" s="1"/>
  <c r="I29" i="1"/>
  <c r="J29" i="1" a="1"/>
  <c r="J29" i="1" s="1"/>
  <c r="I30" i="1"/>
  <c r="J30" i="1" s="1" a="1"/>
  <c r="J30" i="1" s="1"/>
  <c r="I31" i="1"/>
  <c r="J31" i="1" a="1"/>
  <c r="J31" i="1"/>
  <c r="I32" i="1"/>
  <c r="J32" i="1" a="1"/>
  <c r="J32" i="1" s="1"/>
  <c r="I33" i="1"/>
  <c r="J33" i="1" a="1"/>
  <c r="J33" i="1" s="1"/>
  <c r="I34" i="1"/>
  <c r="J34" i="1" s="1" a="1"/>
  <c r="J34" i="1" s="1"/>
  <c r="I25" i="1"/>
  <c r="J25" i="1" s="1" a="1"/>
  <c r="J25" i="1" s="1"/>
  <c r="I26" i="1"/>
  <c r="J26" i="1" a="1"/>
  <c r="J26" i="1" s="1"/>
  <c r="I27" i="1"/>
  <c r="J27" i="1" a="1"/>
  <c r="J27" i="1" s="1"/>
  <c r="F5" i="15"/>
  <c r="F6" i="15"/>
  <c r="C6" i="8"/>
  <c r="H18" i="6"/>
  <c r="I18" i="6" s="1"/>
  <c r="H16" i="6"/>
  <c r="I16" i="6" s="1"/>
  <c r="D61" i="17"/>
  <c r="D54" i="17"/>
  <c r="H14" i="6"/>
  <c r="I14" i="6" s="1"/>
  <c r="D44" i="17"/>
  <c r="N6" i="17" s="1"/>
  <c r="I16" i="1"/>
  <c r="J16" i="1" a="1"/>
  <c r="J16" i="1" s="1"/>
  <c r="I17" i="1"/>
  <c r="J17" i="1" s="1" a="1"/>
  <c r="J17" i="1" s="1"/>
  <c r="I18" i="1"/>
  <c r="J18" i="1" s="1" a="1"/>
  <c r="J18" i="1" s="1"/>
  <c r="I19" i="1"/>
  <c r="J19" i="1" s="1" a="1"/>
  <c r="J19" i="1" s="1"/>
  <c r="I20" i="1"/>
  <c r="J20" i="1" a="1"/>
  <c r="J20" i="1" s="1"/>
  <c r="I21" i="1"/>
  <c r="J21" i="1" a="1"/>
  <c r="J21" i="1" s="1"/>
  <c r="I22" i="1"/>
  <c r="J22" i="1" s="1" a="1"/>
  <c r="J22" i="1" s="1"/>
  <c r="I23" i="1"/>
  <c r="J23" i="1" a="1"/>
  <c r="J23" i="1" s="1"/>
  <c r="I24" i="1"/>
  <c r="J24" i="1" s="1" a="1"/>
  <c r="J24" i="1" s="1"/>
  <c r="I15" i="1"/>
  <c r="J15" i="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E56" i="2"/>
  <c r="F56" i="2"/>
  <c r="H56" i="2" s="1"/>
  <c r="I56" i="2" s="1"/>
  <c r="D56" i="2" s="1"/>
  <c r="E57" i="2"/>
  <c r="F57" i="2"/>
  <c r="H57" i="2" s="1"/>
  <c r="I57" i="2" s="1"/>
  <c r="D57" i="2" s="1"/>
  <c r="E58" i="2"/>
  <c r="F58" i="2"/>
  <c r="H58" i="2" s="1"/>
  <c r="I58" i="2" s="1"/>
  <c r="D58" i="2" s="1"/>
  <c r="G58" i="2"/>
  <c r="H110" i="1"/>
  <c r="E59" i="2"/>
  <c r="F59" i="2"/>
  <c r="H59" i="2" s="1"/>
  <c r="I59" i="2" s="1"/>
  <c r="D59" i="2" s="1"/>
  <c r="E60" i="2"/>
  <c r="F60" i="2"/>
  <c r="H60" i="2" s="1"/>
  <c r="I60" i="2" s="1"/>
  <c r="D60" i="2" s="1"/>
  <c r="E61" i="2"/>
  <c r="F61" i="2"/>
  <c r="E62" i="2"/>
  <c r="F62" i="2"/>
  <c r="H62" i="2" s="1"/>
  <c r="I62" i="2" s="1"/>
  <c r="D62" i="2" s="1"/>
  <c r="G62" i="2"/>
  <c r="H116" i="1" s="1"/>
  <c r="E63" i="2"/>
  <c r="G63" i="2" s="1"/>
  <c r="H118" i="1" s="1"/>
  <c r="F63" i="2"/>
  <c r="H63" i="2" s="1"/>
  <c r="I63" i="2" s="1"/>
  <c r="D63" i="2" s="1"/>
  <c r="E64" i="2"/>
  <c r="F64" i="2"/>
  <c r="G64" i="2" s="1"/>
  <c r="E65" i="2"/>
  <c r="F65" i="2"/>
  <c r="H65" i="2"/>
  <c r="I65" i="2" s="1"/>
  <c r="D65" i="2" s="1"/>
  <c r="E66" i="2"/>
  <c r="F66" i="2"/>
  <c r="H66" i="2" s="1"/>
  <c r="I66" i="2" s="1"/>
  <c r="D66" i="2" s="1"/>
  <c r="G66" i="2"/>
  <c r="H127" i="1" s="1"/>
  <c r="H7" i="1"/>
  <c r="E67" i="2"/>
  <c r="F67" i="2"/>
  <c r="G67" i="2" s="1"/>
  <c r="H128" i="1" s="1"/>
  <c r="E68" i="2"/>
  <c r="F68" i="2"/>
  <c r="H68" i="2" s="1"/>
  <c r="I68" i="2" s="1"/>
  <c r="D68" i="2" s="1"/>
  <c r="E69" i="2"/>
  <c r="F69" i="2"/>
  <c r="G69" i="2" s="1"/>
  <c r="H130" i="1" s="1"/>
  <c r="H69" i="2"/>
  <c r="I69" i="2"/>
  <c r="D69" i="2" s="1"/>
  <c r="E70" i="2"/>
  <c r="F70" i="2"/>
  <c r="G70" i="2" s="1"/>
  <c r="H131" i="1" s="1"/>
  <c r="H70" i="2"/>
  <c r="I70" i="2" s="1"/>
  <c r="D70" i="2" s="1"/>
  <c r="E71" i="2"/>
  <c r="F71" i="2"/>
  <c r="H71" i="2" s="1"/>
  <c r="I71" i="2" s="1"/>
  <c r="D71" i="2" s="1"/>
  <c r="E72" i="2"/>
  <c r="F72" i="2"/>
  <c r="H72" i="2" s="1"/>
  <c r="I72" i="2" s="1"/>
  <c r="D72" i="2" s="1"/>
  <c r="G72" i="2"/>
  <c r="E73" i="2"/>
  <c r="F73" i="2"/>
  <c r="G73" i="2"/>
  <c r="H73" i="2"/>
  <c r="I73" i="2"/>
  <c r="D73" i="2"/>
  <c r="E74" i="2"/>
  <c r="F74" i="2"/>
  <c r="G74" i="2"/>
  <c r="H74" i="2"/>
  <c r="I74" i="2"/>
  <c r="D74" i="2"/>
  <c r="E75" i="2"/>
  <c r="F75" i="2"/>
  <c r="G75" i="2"/>
  <c r="H75" i="2"/>
  <c r="I75" i="2"/>
  <c r="D75" i="2"/>
  <c r="E45" i="2"/>
  <c r="F45" i="2"/>
  <c r="H45" i="2"/>
  <c r="I45" i="2" s="1"/>
  <c r="D45" i="2" s="1"/>
  <c r="E46" i="2"/>
  <c r="F46" i="2"/>
  <c r="G46" i="2" s="1"/>
  <c r="E47" i="2"/>
  <c r="F47" i="2"/>
  <c r="G47" i="2" s="1"/>
  <c r="H108" i="1" s="1"/>
  <c r="E48" i="2"/>
  <c r="F48" i="2"/>
  <c r="E49" i="2"/>
  <c r="F49" i="2"/>
  <c r="H49" i="2" s="1"/>
  <c r="I49" i="2" s="1"/>
  <c r="D49" i="2" s="1"/>
  <c r="E50" i="2"/>
  <c r="F50" i="2"/>
  <c r="G50" i="2" s="1"/>
  <c r="H50" i="2"/>
  <c r="I50" i="2" s="1"/>
  <c r="D50" i="2" s="1"/>
  <c r="E51" i="2"/>
  <c r="F51" i="2"/>
  <c r="H51" i="2" s="1"/>
  <c r="I51" i="2" s="1"/>
  <c r="D51" i="2" s="1"/>
  <c r="E52" i="2"/>
  <c r="F52" i="2"/>
  <c r="E53" i="2"/>
  <c r="F53" i="2"/>
  <c r="H53" i="2"/>
  <c r="I53" i="2" s="1"/>
  <c r="D53" i="2" s="1"/>
  <c r="E54" i="2"/>
  <c r="F54" i="2"/>
  <c r="H54" i="2"/>
  <c r="I54" i="2"/>
  <c r="D54" i="2"/>
  <c r="E55" i="2"/>
  <c r="F55" i="2"/>
  <c r="H55" i="2" s="1"/>
  <c r="I55" i="2" s="1"/>
  <c r="D55" i="2" s="1"/>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s="1"/>
  <c r="I34" i="2" s="1"/>
  <c r="D34" i="2" s="1"/>
  <c r="E35" i="2"/>
  <c r="F35" i="2"/>
  <c r="G35" i="2" s="1"/>
  <c r="H35" i="2"/>
  <c r="I35" i="2" s="1"/>
  <c r="D35" i="2" s="1"/>
  <c r="E36" i="2"/>
  <c r="F36" i="2"/>
  <c r="G36" i="2" s="1"/>
  <c r="H66" i="1" s="1"/>
  <c r="E37" i="2"/>
  <c r="F37" i="2"/>
  <c r="H37" i="2"/>
  <c r="I37" i="2" s="1"/>
  <c r="D37" i="2" s="1"/>
  <c r="E39" i="2"/>
  <c r="F39" i="2"/>
  <c r="G39" i="2"/>
  <c r="H72" i="1" s="1"/>
  <c r="E40" i="2"/>
  <c r="F40" i="2"/>
  <c r="H40" i="2" s="1"/>
  <c r="I40" i="2" s="1"/>
  <c r="D40" i="2" s="1"/>
  <c r="E41" i="2"/>
  <c r="F41" i="2"/>
  <c r="H41" i="2" s="1"/>
  <c r="I41" i="2" s="1"/>
  <c r="D41" i="2" s="1"/>
  <c r="E42" i="2"/>
  <c r="F42" i="2"/>
  <c r="E43" i="2"/>
  <c r="F43" i="2"/>
  <c r="H43" i="2" s="1"/>
  <c r="I43" i="2" s="1"/>
  <c r="D43" i="2" s="1"/>
  <c r="E44" i="2"/>
  <c r="G44" i="2" s="1"/>
  <c r="F44" i="2"/>
  <c r="H44" i="2" s="1"/>
  <c r="I44" i="2" s="1"/>
  <c r="D44" i="2" s="1"/>
  <c r="F38" i="2"/>
  <c r="H38" i="2"/>
  <c r="I38" i="2"/>
  <c r="D38" i="2" s="1"/>
  <c r="E38" i="2"/>
  <c r="G38" i="2"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H22" i="2" s="1"/>
  <c r="I22" i="2" s="1"/>
  <c r="D22" i="2" s="1"/>
  <c r="F23" i="2"/>
  <c r="G23" i="2"/>
  <c r="H46" i="1"/>
  <c r="F24" i="2"/>
  <c r="H24" i="2" s="1"/>
  <c r="I24" i="2" s="1"/>
  <c r="D24" i="2" s="1"/>
  <c r="G24" i="2"/>
  <c r="H47" i="1" s="1"/>
  <c r="F25" i="2"/>
  <c r="H25" i="2" s="1"/>
  <c r="I25" i="2" s="1"/>
  <c r="D25" i="2" s="1"/>
  <c r="F26" i="2"/>
  <c r="H26" i="2"/>
  <c r="I26" i="2" s="1"/>
  <c r="D26" i="2" s="1"/>
  <c r="F27" i="2"/>
  <c r="H27" i="2" s="1"/>
  <c r="I27" i="2" s="1"/>
  <c r="D27" i="2" s="1"/>
  <c r="F28" i="2"/>
  <c r="H28" i="2" s="1"/>
  <c r="I28" i="2" s="1"/>
  <c r="D28" i="2" s="1"/>
  <c r="F29" i="2"/>
  <c r="F30" i="2"/>
  <c r="H30" i="2" s="1"/>
  <c r="I30" i="2" s="1"/>
  <c r="D30" i="2" s="1"/>
  <c r="F31" i="2"/>
  <c r="H31" i="2"/>
  <c r="I31" i="2" s="1"/>
  <c r="D31" i="2" s="1"/>
  <c r="F32" i="2"/>
  <c r="G32" i="2" s="1"/>
  <c r="E22" i="2"/>
  <c r="E23" i="2"/>
  <c r="E24" i="2"/>
  <c r="E25" i="2"/>
  <c r="G25" i="2" s="1"/>
  <c r="H48" i="1" s="1"/>
  <c r="E26" i="2"/>
  <c r="G26" i="2" s="1"/>
  <c r="H50" i="1" s="1"/>
  <c r="E27" i="2"/>
  <c r="E28" i="2"/>
  <c r="G28" i="2" s="1"/>
  <c r="H52" i="1" s="1"/>
  <c r="E29" i="2"/>
  <c r="E30" i="2"/>
  <c r="E31" i="2"/>
  <c r="E32" i="2"/>
  <c r="E20" i="2"/>
  <c r="E21" i="2"/>
  <c r="N4" i="17"/>
  <c r="F20" i="2"/>
  <c r="H20" i="2" s="1"/>
  <c r="I20" i="2" s="1"/>
  <c r="D20" i="2" s="1"/>
  <c r="E15" i="2"/>
  <c r="E16" i="2"/>
  <c r="E17" i="2"/>
  <c r="E18" i="2"/>
  <c r="E19" i="2"/>
  <c r="G19" i="2" s="1"/>
  <c r="E7" i="2"/>
  <c r="G7" i="2" s="1"/>
  <c r="H18" i="1" s="1"/>
  <c r="E8" i="2"/>
  <c r="E9" i="2"/>
  <c r="G9" i="2" s="1"/>
  <c r="H20" i="1" s="1"/>
  <c r="E10" i="2"/>
  <c r="E11" i="2"/>
  <c r="G11" i="2" s="1"/>
  <c r="H30" i="1" s="1"/>
  <c r="E12" i="2"/>
  <c r="E13" i="2"/>
  <c r="E14" i="2"/>
  <c r="G14" i="2" s="1"/>
  <c r="E5" i="2"/>
  <c r="E6" i="2"/>
  <c r="E4" i="2"/>
  <c r="F13" i="2"/>
  <c r="G13" i="2" s="1"/>
  <c r="F14" i="2"/>
  <c r="H14" i="2"/>
  <c r="I14" i="2" s="1"/>
  <c r="D14" i="2" s="1"/>
  <c r="F15" i="2"/>
  <c r="G15" i="2" s="1"/>
  <c r="F16" i="2"/>
  <c r="G16" i="2" s="1"/>
  <c r="H36" i="1" s="1"/>
  <c r="H16" i="2"/>
  <c r="I16" i="2" s="1"/>
  <c r="D16" i="2" s="1"/>
  <c r="F17" i="2"/>
  <c r="H17" i="2" s="1"/>
  <c r="I17" i="2" s="1"/>
  <c r="D17" i="2" s="1"/>
  <c r="F18" i="2"/>
  <c r="G18" i="2" s="1"/>
  <c r="F19" i="2"/>
  <c r="H19" i="2" s="1"/>
  <c r="I19" i="2" s="1"/>
  <c r="D19" i="2" s="1"/>
  <c r="C8" i="8"/>
  <c r="F11" i="2"/>
  <c r="F10" i="2"/>
  <c r="G10" i="2" s="1"/>
  <c r="H21" i="1" s="1"/>
  <c r="F6" i="2"/>
  <c r="H6" i="2" s="1"/>
  <c r="I6" i="2" s="1"/>
  <c r="D6" i="2" s="1"/>
  <c r="F7" i="2"/>
  <c r="H7" i="2" s="1"/>
  <c r="I7" i="2" s="1"/>
  <c r="D7" i="2" s="1"/>
  <c r="F8" i="2"/>
  <c r="G8" i="2" s="1"/>
  <c r="H19" i="1" s="1"/>
  <c r="H8" i="2"/>
  <c r="I8" i="2" s="1"/>
  <c r="D8" i="2" s="1"/>
  <c r="F9" i="2"/>
  <c r="H9" i="2" s="1"/>
  <c r="I9" i="2" s="1"/>
  <c r="D9" i="2" s="1"/>
  <c r="N3" i="7"/>
  <c r="N5" i="7"/>
  <c r="E6" i="11"/>
  <c r="D6" i="11"/>
  <c r="F12" i="2"/>
  <c r="G12" i="2" s="1"/>
  <c r="H23" i="1" s="1"/>
  <c r="F5" i="2"/>
  <c r="H5" i="2" s="1"/>
  <c r="I5" i="2" s="1"/>
  <c r="D5" i="2" s="1"/>
  <c r="F3" i="2"/>
  <c r="F4" i="2"/>
  <c r="H4" i="2" s="1"/>
  <c r="I4" i="2" s="1"/>
  <c r="D4" i="2" s="1"/>
  <c r="C16" i="12"/>
  <c r="J15" i="14"/>
  <c r="B2" i="2"/>
  <c r="I9" i="1"/>
  <c r="J9" i="1" s="1" a="1"/>
  <c r="J9" i="1" s="1"/>
  <c r="I11" i="1"/>
  <c r="J11" i="1" s="1" a="1"/>
  <c r="J11" i="1" s="1"/>
  <c r="H12" i="1"/>
  <c r="H6" i="1"/>
  <c r="H13" i="1"/>
  <c r="H85" i="1"/>
  <c r="H5" i="1"/>
  <c r="H4" i="1"/>
  <c r="H14" i="1"/>
  <c r="H9" i="1"/>
  <c r="H3" i="1"/>
  <c r="H10" i="1"/>
  <c r="H11" i="1"/>
  <c r="I7" i="1"/>
  <c r="J7" i="1" s="1" a="1"/>
  <c r="J7" i="1" s="1"/>
  <c r="I10" i="1"/>
  <c r="J10" i="1" s="1" a="1"/>
  <c r="J10" i="1" s="1"/>
  <c r="I3" i="1"/>
  <c r="J3" i="1" s="1" a="1"/>
  <c r="J3" i="1" s="1"/>
  <c r="I8" i="1"/>
  <c r="J8" i="1" s="1" a="1"/>
  <c r="J8" i="1" s="1"/>
  <c r="I4" i="1"/>
  <c r="J4" i="1" s="1" a="1"/>
  <c r="J4" i="1" s="1"/>
  <c r="I14" i="1"/>
  <c r="J14" i="1" s="1" a="1"/>
  <c r="J14" i="1" s="1"/>
  <c r="I2" i="1"/>
  <c r="J2" i="1" s="1" a="1"/>
  <c r="J2" i="1" s="1"/>
  <c r="I12" i="1"/>
  <c r="J12" i="1" s="1" a="1"/>
  <c r="J12" i="1" s="1"/>
  <c r="I6" i="1"/>
  <c r="J6" i="1" s="1" a="1"/>
  <c r="J6" i="1" s="1"/>
  <c r="I5" i="1"/>
  <c r="J5" i="1" s="1" a="1"/>
  <c r="J5" i="1" s="1"/>
  <c r="D2" i="17"/>
  <c r="I13" i="1"/>
  <c r="J13" i="1" s="1" a="1"/>
  <c r="J13" i="1" s="1"/>
  <c r="H2" i="1"/>
  <c r="H8" i="1"/>
  <c r="G48" i="2"/>
  <c r="H89" i="1"/>
  <c r="H11" i="2"/>
  <c r="I11" i="2" s="1"/>
  <c r="H48" i="2"/>
  <c r="I48" i="2"/>
  <c r="D48" i="2" s="1"/>
  <c r="H7" i="7"/>
  <c r="C5" i="8"/>
  <c r="F16" i="15"/>
  <c r="G4" i="2"/>
  <c r="H39" i="2"/>
  <c r="I39" i="2" s="1"/>
  <c r="D39" i="2" s="1"/>
  <c r="G27" i="2"/>
  <c r="H53" i="1" s="1"/>
  <c r="H33" i="2"/>
  <c r="I33" i="2" s="1"/>
  <c r="D33" i="2" s="1"/>
  <c r="H52" i="2"/>
  <c r="I52" i="2"/>
  <c r="D52" i="2" s="1"/>
  <c r="H23" i="2"/>
  <c r="I23" i="2" s="1"/>
  <c r="D23" i="2" s="1"/>
  <c r="G43" i="2"/>
  <c r="H77" i="1" s="1"/>
  <c r="G57" i="2"/>
  <c r="H109" i="1" s="1"/>
  <c r="G5" i="2"/>
  <c r="A18" i="20"/>
  <c r="G42" i="9" a="1"/>
  <c r="G42" i="9" s="1"/>
  <c r="J42" i="9"/>
  <c r="H42" i="9" a="1"/>
  <c r="H42" i="9" s="1"/>
  <c r="A17" i="20"/>
  <c r="W17" i="9"/>
  <c r="B14" i="20" s="1"/>
  <c r="A6" i="20"/>
  <c r="A11" i="20"/>
  <c r="A4" i="21"/>
  <c r="B4" i="21" s="1"/>
  <c r="P18" i="9" a="1"/>
  <c r="P18" i="9" s="1"/>
  <c r="A10" i="20"/>
  <c r="H63" i="9"/>
  <c r="U7" i="9" s="1" a="1"/>
  <c r="U7" i="9" s="1"/>
  <c r="G65" i="9"/>
  <c r="T9" i="9" a="1"/>
  <c r="T9" i="9" s="1"/>
  <c r="B15" i="9"/>
  <c r="C15" i="9" s="1"/>
  <c r="E15" i="9"/>
  <c r="D70" i="9"/>
  <c r="Q14" i="9" s="1" a="1"/>
  <c r="Q14" i="9" s="1"/>
  <c r="J27" i="9"/>
  <c r="J32" i="9"/>
  <c r="B14" i="9"/>
  <c r="E14" i="9"/>
  <c r="E71" i="9"/>
  <c r="R15" i="9" a="1"/>
  <c r="R15" i="9" s="1"/>
  <c r="D66" i="9"/>
  <c r="D68" i="9"/>
  <c r="Q18" i="9" a="1"/>
  <c r="Q18" i="9" s="1"/>
  <c r="C63" i="9"/>
  <c r="P7" i="9" s="1" a="1"/>
  <c r="P7" i="9" s="1"/>
  <c r="E62" i="9"/>
  <c r="R6" i="9" s="1" a="1"/>
  <c r="R6" i="9" s="1"/>
  <c r="J28" i="9"/>
  <c r="B6" i="9"/>
  <c r="E6" i="9" s="1"/>
  <c r="R18" i="9" a="1"/>
  <c r="R18" i="9" s="1"/>
  <c r="J64" i="9"/>
  <c r="A6" i="21"/>
  <c r="B6" i="21"/>
  <c r="A9" i="20"/>
  <c r="A3" i="20"/>
  <c r="A3" i="21"/>
  <c r="B3" i="21" s="1"/>
  <c r="A12" i="20"/>
  <c r="A5" i="20"/>
  <c r="O5" i="9"/>
  <c r="A2" i="21" s="1"/>
  <c r="B2" i="21" s="1"/>
  <c r="A5" i="21"/>
  <c r="B5" i="21"/>
  <c r="I133" i="1" a="1"/>
  <c r="I133" i="1" s="1"/>
  <c r="H28" i="9" a="1"/>
  <c r="H28" i="9" s="1"/>
  <c r="Q19" i="9" a="1"/>
  <c r="Q19" i="9" s="1"/>
  <c r="E69" i="9"/>
  <c r="R13" i="9" s="1" a="1"/>
  <c r="R13" i="9" s="1"/>
  <c r="H67" i="9"/>
  <c r="U11" i="9" a="1"/>
  <c r="U11" i="9" s="1"/>
  <c r="F62" i="9"/>
  <c r="H71" i="9"/>
  <c r="U15" i="9" s="1" a="1"/>
  <c r="U15" i="9" s="1"/>
  <c r="G62" i="9"/>
  <c r="B7" i="9"/>
  <c r="E7" i="9" s="1"/>
  <c r="C71" i="9"/>
  <c r="P15" i="9" s="1" a="1"/>
  <c r="P15" i="9" s="1"/>
  <c r="D62" i="9"/>
  <c r="Q6" i="9" s="1" a="1"/>
  <c r="Q6" i="9" s="1"/>
  <c r="F71" i="9"/>
  <c r="S15" i="9" s="1" a="1"/>
  <c r="S15" i="9" s="1"/>
  <c r="J37" i="9"/>
  <c r="T18" i="9" a="1"/>
  <c r="T18" i="9" s="1"/>
  <c r="J70" i="9"/>
  <c r="W14" i="9" s="1"/>
  <c r="B11" i="20" s="1"/>
  <c r="U18" i="9" a="1"/>
  <c r="U18" i="9" s="1"/>
  <c r="B26" i="9"/>
  <c r="D61" i="9" s="1"/>
  <c r="Q5" i="9" s="1" a="1"/>
  <c r="Q5" i="9" s="1"/>
  <c r="H69" i="9"/>
  <c r="H64" i="9"/>
  <c r="U8" i="9" s="1" a="1"/>
  <c r="U8" i="9" s="1"/>
  <c r="B16" i="9"/>
  <c r="C16" i="9" s="1"/>
  <c r="H32" i="9" a="1"/>
  <c r="H32" i="9" s="1"/>
  <c r="U19" i="9" a="1"/>
  <c r="U19" i="9" s="1"/>
  <c r="E63" i="9"/>
  <c r="H33" i="9" a="1"/>
  <c r="H33" i="9" s="1"/>
  <c r="G33" i="9" a="1"/>
  <c r="G33" i="9" s="1"/>
  <c r="H29" i="9" a="1"/>
  <c r="H29" i="9" s="1"/>
  <c r="J71" i="9"/>
  <c r="W15" i="9"/>
  <c r="B12" i="20" s="1"/>
  <c r="D65" i="9"/>
  <c r="D69" i="9"/>
  <c r="C70" i="9"/>
  <c r="P14" i="9" s="1" a="1"/>
  <c r="P14" i="9" s="1"/>
  <c r="H70" i="9"/>
  <c r="U14" i="9" a="1"/>
  <c r="U14" i="9" s="1"/>
  <c r="J35" i="9"/>
  <c r="G70" i="9"/>
  <c r="I70" i="9" s="1"/>
  <c r="K70" i="9" s="1"/>
  <c r="U16" i="9" a="1"/>
  <c r="U16" i="9" s="1"/>
  <c r="H30" i="9" a="1"/>
  <c r="H30" i="9" s="1"/>
  <c r="Q16" i="9" a="1"/>
  <c r="Q16" i="9" s="1"/>
  <c r="J65" i="9"/>
  <c r="W9" i="9"/>
  <c r="B6" i="20" s="1"/>
  <c r="D64" i="9"/>
  <c r="Q8" i="9" a="1"/>
  <c r="Q8" i="9" s="1"/>
  <c r="B13" i="9"/>
  <c r="C13" i="9" s="1"/>
  <c r="B12" i="9"/>
  <c r="T16" i="9" a="1"/>
  <c r="T16" i="9" s="1"/>
  <c r="J34" i="9"/>
  <c r="S18" i="9" a="1"/>
  <c r="S18" i="9" s="1"/>
  <c r="S17" i="9" a="1"/>
  <c r="S17" i="9" s="1"/>
  <c r="E68" i="9"/>
  <c r="R12" i="9" a="1"/>
  <c r="R12" i="9" s="1"/>
  <c r="D12" i="19" s="1" a="1"/>
  <c r="D12" i="19" s="1"/>
  <c r="B8" i="9"/>
  <c r="E8" i="9" s="1"/>
  <c r="G40" i="9" a="1"/>
  <c r="G40" i="9" s="1"/>
  <c r="A12" i="21"/>
  <c r="B12" i="21" s="1"/>
  <c r="A9" i="21"/>
  <c r="B9" i="21" s="1"/>
  <c r="D71" i="9"/>
  <c r="Q15" i="9" s="1" a="1"/>
  <c r="Q15" i="9" s="1"/>
  <c r="P16" i="9" a="1"/>
  <c r="P16" i="9" s="1"/>
  <c r="E65" i="9"/>
  <c r="R9" i="9" s="1" a="1"/>
  <c r="R9" i="9" s="1"/>
  <c r="C69" i="9"/>
  <c r="P13" i="9" s="1" a="1"/>
  <c r="P13" i="9" s="1"/>
  <c r="H62" i="9"/>
  <c r="U6" i="9" s="1" a="1"/>
  <c r="U6" i="9" s="1"/>
  <c r="J69" i="9"/>
  <c r="W13" i="9" s="1"/>
  <c r="B10" i="20" s="1"/>
  <c r="H27" i="9" a="1"/>
  <c r="H27" i="9"/>
  <c r="G31" i="9" a="1"/>
  <c r="G31" i="9" s="1"/>
  <c r="A7" i="21"/>
  <c r="B7" i="21" s="1"/>
  <c r="F63" i="9"/>
  <c r="S7" i="9" s="1" a="1"/>
  <c r="S7" i="9" s="1"/>
  <c r="D67" i="9"/>
  <c r="Q11" i="9" s="1" a="1"/>
  <c r="Q11" i="9" s="1"/>
  <c r="C66" i="9"/>
  <c r="P10" i="9" s="1" a="1"/>
  <c r="P10" i="9" s="1"/>
  <c r="R16" i="9" a="1"/>
  <c r="R16" i="9" s="1"/>
  <c r="B9" i="9"/>
  <c r="E9" i="9" s="1" a="1"/>
  <c r="E9" i="9" s="1"/>
  <c r="F68" i="9"/>
  <c r="S12" i="9" s="1" a="1"/>
  <c r="S12" i="9" s="1"/>
  <c r="D14" i="19" s="1" a="1"/>
  <c r="D14" i="19" s="1"/>
  <c r="G30" i="9" a="1"/>
  <c r="G30" i="9" s="1"/>
  <c r="I30" i="9" s="1"/>
  <c r="G37" i="9" a="1"/>
  <c r="G37" i="9" s="1"/>
  <c r="G39" i="9" a="1"/>
  <c r="G39" i="9"/>
  <c r="A11" i="21"/>
  <c r="B11" i="21"/>
  <c r="A10" i="21"/>
  <c r="B10" i="21" s="1"/>
  <c r="A14" i="20"/>
  <c r="C67" i="9"/>
  <c r="P11" i="9" s="1" a="1"/>
  <c r="P11" i="9" s="1"/>
  <c r="G67" i="9"/>
  <c r="T11" i="9" a="1"/>
  <c r="T11" i="9" s="1"/>
  <c r="J31" i="9"/>
  <c r="E66" i="9"/>
  <c r="E64" i="9"/>
  <c r="R8" i="9" s="1" a="1"/>
  <c r="R8" i="9" s="1"/>
  <c r="J33" i="9"/>
  <c r="H37" i="9" a="1"/>
  <c r="H37" i="9" s="1"/>
  <c r="G29" i="9" a="1"/>
  <c r="G29" i="9" s="1"/>
  <c r="J40" i="9"/>
  <c r="J38" i="9"/>
  <c r="A16" i="20"/>
  <c r="G28" i="9" a="1"/>
  <c r="G28" i="9" s="1"/>
  <c r="H38" i="9" a="1"/>
  <c r="H38" i="9"/>
  <c r="B5" i="9"/>
  <c r="E5" i="9" s="1"/>
  <c r="G66" i="9"/>
  <c r="T10" i="9" a="1"/>
  <c r="T10" i="9" s="1"/>
  <c r="R17" i="9" a="1"/>
  <c r="R17" i="9"/>
  <c r="H66" i="9"/>
  <c r="T19" i="9" a="1"/>
  <c r="T19" i="9" s="1"/>
  <c r="H34" i="9" a="1"/>
  <c r="H34" i="9" s="1"/>
  <c r="H40" i="9" a="1"/>
  <c r="H40" i="9" s="1"/>
  <c r="G38" i="9" a="1"/>
  <c r="G38" i="9" s="1"/>
  <c r="H81" i="1"/>
  <c r="C14" i="9"/>
  <c r="C6" i="9"/>
  <c r="C12" i="9"/>
  <c r="E12" i="9"/>
  <c r="C7" i="9"/>
  <c r="C8" i="9"/>
  <c r="C14" i="19" a="1"/>
  <c r="C14" i="19" s="1"/>
  <c r="C26" i="9" a="1"/>
  <c r="C26" i="9" s="1"/>
  <c r="B4" i="9"/>
  <c r="E4" i="9" s="1"/>
  <c r="C12" i="19" a="1"/>
  <c r="C12" i="19" s="1"/>
  <c r="T6" i="9" a="1"/>
  <c r="T6" i="9" s="1"/>
  <c r="C5" i="9"/>
  <c r="A2" i="20"/>
  <c r="I67" i="9"/>
  <c r="C2" i="2"/>
  <c r="H69" i="1" l="1"/>
  <c r="H70" i="1"/>
  <c r="V18" i="9"/>
  <c r="G17" i="2"/>
  <c r="H37" i="1" s="1"/>
  <c r="G29" i="2"/>
  <c r="H54" i="1" s="1"/>
  <c r="H12" i="2"/>
  <c r="I12" i="2" s="1"/>
  <c r="D12" i="2" s="1"/>
  <c r="H15" i="2"/>
  <c r="I15" i="2" s="1"/>
  <c r="D15" i="2" s="1"/>
  <c r="G54" i="2"/>
  <c r="G45" i="2"/>
  <c r="H84" i="1" s="1"/>
  <c r="G65" i="2"/>
  <c r="H125" i="1" s="1"/>
  <c r="G61" i="2"/>
  <c r="H122" i="1" s="1"/>
  <c r="H64" i="2"/>
  <c r="I64" i="2" s="1"/>
  <c r="D64" i="2" s="1"/>
  <c r="H10" i="2"/>
  <c r="I10" i="2" s="1"/>
  <c r="D10" i="2" s="1"/>
  <c r="G71" i="2"/>
  <c r="H132" i="1" s="1"/>
  <c r="G68" i="2"/>
  <c r="H129" i="1" s="1"/>
  <c r="G6" i="2"/>
  <c r="H17" i="1" s="1"/>
  <c r="G49" i="2"/>
  <c r="G37" i="2"/>
  <c r="H68" i="1" s="1"/>
  <c r="G33" i="2"/>
  <c r="H60" i="1" s="1"/>
  <c r="G53" i="2"/>
  <c r="G60" i="2"/>
  <c r="H112" i="1" s="1"/>
  <c r="H49" i="1"/>
  <c r="G42" i="2"/>
  <c r="H79" i="1" s="1"/>
  <c r="H36" i="2"/>
  <c r="I36" i="2" s="1"/>
  <c r="D36" i="2" s="1"/>
  <c r="G52" i="2"/>
  <c r="H47" i="2"/>
  <c r="I47" i="2" s="1"/>
  <c r="D47" i="2" s="1"/>
  <c r="H13" i="2"/>
  <c r="I13" i="2" s="1"/>
  <c r="D13" i="2" s="1"/>
  <c r="H32" i="2"/>
  <c r="I32" i="2" s="1"/>
  <c r="D32" i="2" s="1"/>
  <c r="H71" i="1"/>
  <c r="G22" i="2"/>
  <c r="H45" i="1" s="1"/>
  <c r="G31" i="2"/>
  <c r="H56" i="1" s="1"/>
  <c r="G51" i="2"/>
  <c r="H126" i="1"/>
  <c r="H26" i="1"/>
  <c r="H34" i="1"/>
  <c r="H65" i="1"/>
  <c r="H67" i="1"/>
  <c r="H96" i="1"/>
  <c r="H91" i="1"/>
  <c r="H105" i="1"/>
  <c r="H100" i="1"/>
  <c r="H120" i="1"/>
  <c r="H124" i="1"/>
  <c r="H115" i="1"/>
  <c r="H121" i="1"/>
  <c r="H87" i="1"/>
  <c r="H86" i="1"/>
  <c r="H78" i="1"/>
  <c r="H83" i="1"/>
  <c r="H119" i="1"/>
  <c r="H123" i="1"/>
  <c r="H27" i="1"/>
  <c r="H29" i="1"/>
  <c r="H103" i="1"/>
  <c r="H97" i="1"/>
  <c r="H99" i="1"/>
  <c r="H59" i="1"/>
  <c r="H40" i="1"/>
  <c r="H98" i="1"/>
  <c r="H93" i="1"/>
  <c r="H33" i="1"/>
  <c r="H32" i="1"/>
  <c r="H24" i="1"/>
  <c r="H58" i="1"/>
  <c r="H57" i="1"/>
  <c r="H39" i="1"/>
  <c r="H38" i="1"/>
  <c r="H43" i="1"/>
  <c r="H42" i="1"/>
  <c r="H16" i="1"/>
  <c r="H28" i="1"/>
  <c r="I37" i="9"/>
  <c r="H22" i="1"/>
  <c r="H42" i="2"/>
  <c r="I42" i="2" s="1"/>
  <c r="D42" i="2" s="1"/>
  <c r="H61" i="2"/>
  <c r="I61" i="2" s="1"/>
  <c r="D61" i="2" s="1"/>
  <c r="H25" i="1"/>
  <c r="G59" i="2"/>
  <c r="H111" i="1" s="1"/>
  <c r="H51" i="1"/>
  <c r="G56" i="2"/>
  <c r="G30" i="2"/>
  <c r="G21" i="2"/>
  <c r="H44" i="1" s="1"/>
  <c r="H67" i="2"/>
  <c r="I67" i="2" s="1"/>
  <c r="D67" i="2" s="1"/>
  <c r="H107" i="1"/>
  <c r="H46" i="2"/>
  <c r="I46" i="2" s="1"/>
  <c r="D46" i="2" s="1"/>
  <c r="G34" i="2"/>
  <c r="H18" i="2"/>
  <c r="I18" i="2" s="1"/>
  <c r="D18" i="2" s="1"/>
  <c r="I43" i="9"/>
  <c r="K43" i="9" s="1"/>
  <c r="G41" i="2"/>
  <c r="G20" i="2"/>
  <c r="H88" i="1"/>
  <c r="H31" i="1"/>
  <c r="I38" i="9"/>
  <c r="G40" i="2"/>
  <c r="G55" i="2"/>
  <c r="H29" i="2"/>
  <c r="I29" i="2" s="1"/>
  <c r="D29" i="2" s="1"/>
  <c r="H117" i="1"/>
  <c r="H35" i="1"/>
  <c r="N14" i="6"/>
  <c r="C4" i="8" s="1"/>
  <c r="G71" i="6"/>
  <c r="N5" i="17"/>
  <c r="N7" i="17" s="1"/>
  <c r="P7" i="17" s="1"/>
  <c r="W8" i="9"/>
  <c r="B5" i="20" s="1"/>
  <c r="D364" i="17"/>
  <c r="K5" i="17" s="1"/>
  <c r="C16" i="10"/>
  <c r="C364" i="17"/>
  <c r="K4" i="17" s="1"/>
  <c r="K6" i="17" s="1"/>
  <c r="C12" i="10"/>
  <c r="I35" i="12"/>
  <c r="H71" i="6"/>
  <c r="E35" i="18"/>
  <c r="D35" i="14"/>
  <c r="C10" i="8" s="1"/>
  <c r="J35" i="14"/>
  <c r="C12" i="8" s="1"/>
  <c r="G16" i="15"/>
  <c r="D35" i="18"/>
  <c r="C37" i="12"/>
  <c r="H16" i="15"/>
  <c r="I71" i="6"/>
  <c r="L42" i="6" s="1"/>
  <c r="C10" i="9"/>
  <c r="E10" i="9"/>
  <c r="V11" i="9"/>
  <c r="I46" i="9"/>
  <c r="K46" i="9" s="1"/>
  <c r="C9" i="9"/>
  <c r="I33" i="9"/>
  <c r="K33" i="9" s="1"/>
  <c r="I45" i="9"/>
  <c r="K45" i="9" s="1"/>
  <c r="H61" i="9"/>
  <c r="G35" i="9" a="1"/>
  <c r="G35" i="9" s="1"/>
  <c r="F69" i="9"/>
  <c r="S13" i="9" s="1" a="1"/>
  <c r="S13" i="9" s="1"/>
  <c r="E67" i="9"/>
  <c r="R11" i="9" s="1" a="1"/>
  <c r="R11" i="9" s="1"/>
  <c r="G63" i="9"/>
  <c r="T7" i="9" s="1" a="1"/>
  <c r="T7" i="9" s="1"/>
  <c r="V7" i="9" s="1"/>
  <c r="G64" i="9"/>
  <c r="A7" i="20"/>
  <c r="W16" i="9"/>
  <c r="B13" i="20" s="1"/>
  <c r="C65" i="9"/>
  <c r="P9" i="9" s="1" a="1"/>
  <c r="P9" i="9" s="1"/>
  <c r="H31" i="9" a="1"/>
  <c r="H31" i="9" s="1"/>
  <c r="I31" i="9" s="1"/>
  <c r="K31" i="9" s="1"/>
  <c r="Q17" i="9" a="1"/>
  <c r="Q17" i="9" s="1"/>
  <c r="G68" i="9"/>
  <c r="T12" i="9" s="1" a="1"/>
  <c r="T12" i="9" s="1"/>
  <c r="A4" i="20"/>
  <c r="A8" i="21"/>
  <c r="B8" i="21" s="1"/>
  <c r="Q12" i="9" a="1"/>
  <c r="Q12" i="9" s="1"/>
  <c r="D10" i="19" s="1" a="1"/>
  <c r="D10" i="19" s="1"/>
  <c r="J68" i="9"/>
  <c r="W12" i="9" s="1"/>
  <c r="H35" i="9" a="1"/>
  <c r="H35" i="9" s="1"/>
  <c r="I29" i="9"/>
  <c r="I40" i="9"/>
  <c r="I44" i="9"/>
  <c r="K44" i="9" s="1"/>
  <c r="E16" i="9"/>
  <c r="G26" i="9" a="1"/>
  <c r="G26" i="9" s="1"/>
  <c r="G27" i="9" a="1"/>
  <c r="G27" i="9" s="1"/>
  <c r="I27" i="9" s="1"/>
  <c r="K27" i="9" s="1"/>
  <c r="B11" i="9"/>
  <c r="J62" i="9"/>
  <c r="W6" i="9" s="1"/>
  <c r="B3" i="20" s="1"/>
  <c r="C62" i="9"/>
  <c r="P6" i="9" s="1" a="1"/>
  <c r="P6" i="9" s="1"/>
  <c r="J29" i="9"/>
  <c r="H68" i="9"/>
  <c r="U12" i="9" s="1" a="1"/>
  <c r="U12" i="9" s="1"/>
  <c r="D63" i="9"/>
  <c r="Q7" i="9" s="1" a="1"/>
  <c r="Q7" i="9" s="1"/>
  <c r="J66" i="9"/>
  <c r="W10" i="9" s="1"/>
  <c r="B7" i="20" s="1"/>
  <c r="J39" i="9"/>
  <c r="R19" i="9" a="1"/>
  <c r="R19" i="9" s="1"/>
  <c r="Q13" i="9" a="1"/>
  <c r="Q13" i="9" s="1"/>
  <c r="R7" i="9" a="1"/>
  <c r="R7" i="9" s="1"/>
  <c r="J63" i="9"/>
  <c r="W7" i="9" s="1"/>
  <c r="B4" i="20" s="1"/>
  <c r="P19" i="9" a="1"/>
  <c r="P19" i="9" s="1"/>
  <c r="Q10" i="9" a="1"/>
  <c r="Q10" i="9" s="1"/>
  <c r="U17" i="9" a="1"/>
  <c r="U17" i="9" s="1"/>
  <c r="H36" i="9" a="1"/>
  <c r="H36" i="9" s="1"/>
  <c r="V16" i="9"/>
  <c r="E13" i="9"/>
  <c r="J36" i="9"/>
  <c r="A15" i="20"/>
  <c r="F66" i="9"/>
  <c r="S10" i="9" s="1" a="1"/>
  <c r="S10" i="9" s="1"/>
  <c r="A13" i="20"/>
  <c r="A8" i="20"/>
  <c r="J67" i="9"/>
  <c r="W11" i="9" s="1"/>
  <c r="B8" i="20" s="1"/>
  <c r="C68" i="9"/>
  <c r="P12" i="9" s="1" a="1"/>
  <c r="P12" i="9" s="1"/>
  <c r="D8" i="19" s="1" a="1"/>
  <c r="D8" i="19" s="1"/>
  <c r="H65" i="9"/>
  <c r="U9" i="9" s="1" a="1"/>
  <c r="U9" i="9" s="1"/>
  <c r="V9" i="9" s="1"/>
  <c r="X9" i="9" s="1"/>
  <c r="C6" i="20" s="1"/>
  <c r="G34" i="9" a="1"/>
  <c r="G34" i="9" s="1"/>
  <c r="I34" i="9" s="1"/>
  <c r="K34" i="9" s="1"/>
  <c r="F70" i="9"/>
  <c r="S14" i="9" s="1" a="1"/>
  <c r="S14" i="9" s="1"/>
  <c r="F64" i="9"/>
  <c r="S8" i="9" s="1" a="1"/>
  <c r="S8" i="9" s="1"/>
  <c r="F65" i="9"/>
  <c r="S9" i="9" s="1" a="1"/>
  <c r="S9" i="9" s="1"/>
  <c r="E70" i="9"/>
  <c r="R14" i="9" s="1" a="1"/>
  <c r="R14" i="9" s="1"/>
  <c r="G32" i="9" a="1"/>
  <c r="G32" i="9" s="1"/>
  <c r="W18" i="9"/>
  <c r="B15" i="20" s="1"/>
  <c r="P17" i="9" a="1"/>
  <c r="P17" i="9" s="1"/>
  <c r="F67" i="9"/>
  <c r="S11" i="9" s="1" a="1"/>
  <c r="S11" i="9" s="1"/>
  <c r="W19" i="9"/>
  <c r="B16" i="20" s="1"/>
  <c r="I28" i="9"/>
  <c r="K28" i="9" s="1"/>
  <c r="I41" i="9"/>
  <c r="K41" i="9" s="1"/>
  <c r="I42" i="9"/>
  <c r="K42" i="9" s="1"/>
  <c r="V19" i="9"/>
  <c r="T14" i="9" a="1"/>
  <c r="T14" i="9" s="1"/>
  <c r="V14" i="9" s="1"/>
  <c r="X14" i="9" s="1"/>
  <c r="C11" i="20" s="1"/>
  <c r="T15" i="9" a="1"/>
  <c r="T15" i="9" s="1"/>
  <c r="V15" i="9" s="1"/>
  <c r="X15" i="9" s="1"/>
  <c r="C12" i="20" s="1"/>
  <c r="G36" i="9" a="1"/>
  <c r="G36" i="9" s="1"/>
  <c r="R10" i="9" a="1"/>
  <c r="R10" i="9" s="1"/>
  <c r="S19" i="9" a="1"/>
  <c r="S19" i="9" s="1"/>
  <c r="C64" i="9"/>
  <c r="P8" i="9" s="1" a="1"/>
  <c r="P8" i="9" s="1"/>
  <c r="J30" i="9"/>
  <c r="K30" i="9" s="1"/>
  <c r="G69" i="9"/>
  <c r="T13" i="9" s="1" a="1"/>
  <c r="T13" i="9" s="1"/>
  <c r="Q9" i="9" a="1"/>
  <c r="Q9" i="9" s="1"/>
  <c r="S6" i="9" a="1"/>
  <c r="S6" i="9" s="1"/>
  <c r="H39" i="9" a="1"/>
  <c r="H39" i="9" s="1"/>
  <c r="I39" i="9" s="1"/>
  <c r="A14" i="21"/>
  <c r="T17" i="9" a="1"/>
  <c r="T17" i="9" s="1"/>
  <c r="S16" i="9" a="1"/>
  <c r="S16" i="9" s="1"/>
  <c r="I32" i="9"/>
  <c r="K32" i="9" s="1"/>
  <c r="I63" i="9"/>
  <c r="K63" i="9" s="1"/>
  <c r="P5" i="9" a="1"/>
  <c r="P5" i="9" s="1"/>
  <c r="F61" i="9"/>
  <c r="S5" i="9" s="1" a="1"/>
  <c r="S5" i="9" s="1"/>
  <c r="E61" i="9"/>
  <c r="R5" i="9" s="1" a="1"/>
  <c r="R5" i="9" s="1"/>
  <c r="I68" i="9"/>
  <c r="K68" i="9" s="1"/>
  <c r="K38" i="9"/>
  <c r="K37" i="9"/>
  <c r="I69" i="9"/>
  <c r="K69" i="9" s="1"/>
  <c r="C61" i="9"/>
  <c r="K40" i="9"/>
  <c r="F26" i="9" a="1"/>
  <c r="F26" i="9" s="1"/>
  <c r="G61" i="9"/>
  <c r="I61" i="9" s="1"/>
  <c r="J26" i="9"/>
  <c r="C4" i="9"/>
  <c r="J61" i="9"/>
  <c r="W5" i="9" s="1"/>
  <c r="B2" i="20" s="1"/>
  <c r="E26" i="9" a="1"/>
  <c r="E26" i="9" s="1"/>
  <c r="D26" i="9" a="1"/>
  <c r="D26" i="9" s="1"/>
  <c r="I66" i="9"/>
  <c r="K66" i="9" s="1"/>
  <c r="H26" i="9" a="1"/>
  <c r="H26" i="9" s="1"/>
  <c r="U5" i="9" a="1"/>
  <c r="U5" i="9" s="1"/>
  <c r="D2" i="2"/>
  <c r="E12" i="19"/>
  <c r="V6" i="9"/>
  <c r="K133" i="1"/>
  <c r="J133" i="1" a="1"/>
  <c r="J133" i="1" s="1"/>
  <c r="E14" i="19"/>
  <c r="I62" i="9"/>
  <c r="U13" i="9" a="1"/>
  <c r="U13" i="9" s="1"/>
  <c r="V13" i="9" s="1"/>
  <c r="X13" i="9" s="1"/>
  <c r="C10" i="20" s="1"/>
  <c r="U10" i="9" a="1"/>
  <c r="U10" i="9" s="1"/>
  <c r="V10" i="9" s="1"/>
  <c r="H114" i="1" l="1"/>
  <c r="H92" i="1"/>
  <c r="H95" i="1"/>
  <c r="H94" i="1"/>
  <c r="H90" i="1"/>
  <c r="H76" i="1"/>
  <c r="V12" i="9"/>
  <c r="H75" i="1"/>
  <c r="H80" i="1"/>
  <c r="H63" i="1"/>
  <c r="H62" i="1"/>
  <c r="H101" i="1"/>
  <c r="H104" i="1"/>
  <c r="H102" i="1"/>
  <c r="H82" i="1"/>
  <c r="H74" i="1"/>
  <c r="H73" i="1"/>
  <c r="H64" i="1"/>
  <c r="H55" i="1"/>
  <c r="H106" i="1"/>
  <c r="H113" i="1"/>
  <c r="I35" i="9"/>
  <c r="K35" i="9" s="1"/>
  <c r="H61" i="1"/>
  <c r="H41" i="1"/>
  <c r="F364" i="17"/>
  <c r="K39" i="9"/>
  <c r="F35" i="18"/>
  <c r="X12" i="9"/>
  <c r="E20" i="19" s="1" a="1"/>
  <c r="E20" i="19" s="1"/>
  <c r="X18" i="9"/>
  <c r="C15" i="20" s="1"/>
  <c r="C19" i="10"/>
  <c r="X10" i="9"/>
  <c r="C7" i="20" s="1"/>
  <c r="C11" i="8"/>
  <c r="X16" i="9"/>
  <c r="C13" i="20" s="1"/>
  <c r="C9" i="8"/>
  <c r="B9" i="20"/>
  <c r="E18" i="19" a="1"/>
  <c r="E18" i="19" s="1"/>
  <c r="C11" i="9"/>
  <c r="E11" i="9"/>
  <c r="C20" i="9"/>
  <c r="K62" i="9"/>
  <c r="I65" i="9"/>
  <c r="K65" i="9" s="1"/>
  <c r="X7" i="9"/>
  <c r="C4" i="20" s="1"/>
  <c r="I36" i="9"/>
  <c r="K36" i="9" s="1"/>
  <c r="K67" i="9"/>
  <c r="K29" i="9"/>
  <c r="X11" i="9"/>
  <c r="C8" i="20" s="1"/>
  <c r="V17" i="9"/>
  <c r="X17" i="9" s="1"/>
  <c r="C14" i="20" s="1"/>
  <c r="I64" i="9"/>
  <c r="K64" i="9" s="1"/>
  <c r="T8" i="9" a="1"/>
  <c r="T8" i="9" s="1"/>
  <c r="V8" i="9" s="1"/>
  <c r="X8" i="9" s="1"/>
  <c r="C5" i="20" s="1"/>
  <c r="X6" i="9"/>
  <c r="C3" i="20" s="1"/>
  <c r="T5" i="9" a="1"/>
  <c r="T5" i="9" s="1"/>
  <c r="V5" i="9" s="1"/>
  <c r="X5" i="9" s="1"/>
  <c r="C2" i="20" s="1"/>
  <c r="X19" i="9"/>
  <c r="C16" i="20" s="1"/>
  <c r="K61" i="9"/>
  <c r="I26" i="9"/>
  <c r="E16" i="19"/>
  <c r="C9" i="20" l="1"/>
  <c r="C14" i="8"/>
  <c r="C4" i="10" s="1"/>
  <c r="C15" i="10" s="1"/>
  <c r="C17" i="10" s="1"/>
  <c r="K26" i="9"/>
  <c r="C22" i="9"/>
  <c r="C3" i="10" s="1"/>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<sst xmlns="http://schemas.openxmlformats.org/spreadsheetml/2006/main" count="1917" uniqueCount="404">
  <si>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</si>
  <si>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</si>
  <si>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</si>
  <si>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</si>
  <si>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</si>
  <si>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</si>
  <si>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</si>
  <si>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</si>
  <si>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</si>
  <si>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</si>
  <si>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</si>
  <si>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</si>
  <si>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</si>
  <si>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</si>
  <si>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</si>
  <si>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</si>
  <si>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</si>
  <si>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</si>
  <si>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</si>
  <si>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</si>
  <si>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</si>
  <si>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</si>
  <si>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</si>
  <si>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</si>
  <si>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</si>
  <si>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</si>
  <si>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</si>
  <si>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</si>
  <si>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</si>
  <si>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</si>
  <si>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</si>
  <si>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</si>
  <si>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</si>
  <si>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</si>
  <si>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</si>
  <si>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</si>
  <si>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</si>
  <si>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</si>
  <si>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</si>
  <si>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</si>
  <si>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</si>
  <si>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</si>
  <si>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</si>
  <si>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</si>
  <si>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</si>
  <si>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</si>
  <si>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</si>
  <si>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</si>
  <si>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</si>
  <si>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</si>
  <si>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</si>
  <si>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</si>
  <si>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</si>
  <si>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</si>
  <si>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</si>
  <si>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</si>
  <si>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</si>
  <si>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</si>
  <si>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</si>
  <si>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</si>
  <si>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</si>
  <si>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</si>
  <si>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</si>
  <si>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</si>
  <si>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</si>
  <si>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</si>
  <si>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</si>
  <si>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</si>
  <si>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</si>
  <si>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</si>
  <si>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</si>
  <si>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</si>
  <si>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</si>
  <si>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</si>
  <si>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</si>
  <si>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</si>
  <si>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</si>
  <si>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</si>
  <si>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</si>
  <si>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</si>
  <si>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</si>
  <si>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</si>
  <si>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</si>
  <si>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</si>
  <si>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</si>
  <si>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</si>
  <si>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</si>
  <si>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</si>
  <si>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</si>
  <si>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</si>
  <si>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</si>
  <si>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</si>
  <si>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</si>
  <si>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</si>
  <si>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</si>
  <si>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</si>
  <si>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</si>
  <si>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</si>
  <si>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</si>
  <si>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</si>
  <si>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</si>
  <si>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</si>
  <si>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</si>
  <si>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</si>
  <si>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</si>
  <si>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</si>
  <si>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</si>
  <si>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</si>
  <si>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</si>
  <si>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</si>
  <si>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</si>
  <si>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</si>
  <si>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</si>
  <si>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</si>
  <si>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</si>
  <si>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</si>
  <si>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</si>
  <si>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</si>
  <si>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</si>
  <si>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</si>
  <si>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</si>
  <si>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</si>
  <si>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</si>
  <si>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</si>
  <si>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</si>
  <si>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</si>
  <si>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</si>
  <si>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</si>
  <si>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</si>
  <si>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</si>
  <si>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</si>
  <si>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</si>
  <si>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</si>
  <si>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</si>
  <si>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</si>
  <si>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</si>
  <si>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</si>
  <si>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</si>
  <si>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</si>
  <si>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</si>
  <si>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</si>
  <si>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</si>
  <si>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</si>
  <si>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</si>
  <si>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</si>
  <si>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</si>
  <si>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</si>
  <si>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</si>
  <si>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</si>
  <si>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</si>
  <si>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</si>
  <si>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</si>
  <si>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</si>
  <si>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</si>
  <si>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</si>
  <si>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</si>
  <si>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</si>
  <si>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</si>
  <si>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</si>
  <si>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</si>
  <si>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</si>
  <si>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</si>
  <si>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</si>
  <si>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</si>
  <si>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</si>
  <si>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</si>
  <si>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</si>
  <si>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</si>
  <si>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</si>
  <si>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</si>
  <si>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</si>
  <si>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</si>
  <si>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</si>
  <si>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</si>
  <si>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</si>
  <si>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</si>
  <si>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</si>
  <si>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</si>
  <si>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</si>
  <si>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</si>
  <si>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</si>
  <si>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</si>
  <si>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</si>
  <si>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</si>
  <si>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</si>
  <si>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</si>
  <si>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</si>
  <si>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</si>
  <si>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</si>
  <si>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</si>
  <si>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</si>
  <si>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</si>
  <si>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</si>
  <si>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</si>
  <si>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</si>
  <si>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</si>
  <si>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</si>
  <si>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</si>
  <si>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</si>
  <si>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</si>
  <si>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</si>
  <si>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</si>
  <si>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</si>
  <si>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</si>
  <si>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</si>
  <si>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</si>
  <si>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</si>
  <si>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</si>
  <si>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</si>
  <si>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</si>
  <si>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</si>
  <si>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</si>
  <si>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</si>
  <si>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</si>
  <si>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</si>
  <si>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</si>
  <si>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</si>
  <si>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</si>
  <si>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</si>
  <si>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</si>
  <si>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</si>
  <si>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</si>
  <si>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</si>
  <si>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</si>
  <si>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</si>
  <si>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</si>
  <si>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</si>
  <si>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</si>
  <si>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</si>
  <si>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</si>
  <si>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</si>
  <si>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</si>
  <si>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</si>
  <si>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</si>
  <si>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</si>
  <si>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</si>
  <si>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</si>
  <si>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</si>
  <si>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</si>
  <si>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</si>
  <si>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</si>
  <si>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</si>
  <si>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</si>
  <si>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</si>
  <si>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</si>
  <si>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</si>
  <si>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</si>
  <si>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</si>
  <si>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</si>
  <si>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</si>
  <si>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</si>
  <si>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</si>
  <si>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</si>
  <si>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</si>
  <si>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</si>
  <si>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</si>
  <si>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</si>
  <si>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</si>
  <si>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</si>
  <si>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</si>
  <si>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</si>
  <si>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</si>
  <si>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</si>
  <si>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</si>
  <si>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</si>
  <si>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</si>
  <si>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</si>
  <si>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</si>
  <si>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</si>
  <si>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</si>
  <si>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</si>
  <si>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</si>
  <si>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</si>
  <si>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</si>
  <si>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</si>
  <si>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</si>
  <si>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</si>
  <si>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</si>
  <si>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</si>
  <si>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</si>
  <si>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</si>
  <si>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</si>
  <si>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</si>
  <si>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</si>
  <si>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</si>
  <si>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</si>
  <si>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</si>
  <si>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</si>
  <si>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</si>
  <si>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</si>
  <si>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TID:155112</t>
  </si>
  <si>
    <t>tandoor</t>
  </si>
  <si>
    <t>Khalid Sahab</t>
  </si>
  <si>
    <t>LES 5974</t>
  </si>
  <si>
    <t>899-a</t>
  </si>
  <si>
    <t>899-b</t>
  </si>
  <si>
    <t>899-c</t>
  </si>
  <si>
    <t>900-a</t>
  </si>
  <si>
    <t>900-b</t>
  </si>
  <si>
    <t>Party Names</t>
  </si>
  <si>
    <t>LES 8168</t>
  </si>
  <si>
    <t>TAD 074</t>
  </si>
  <si>
    <t>garrari</t>
  </si>
  <si>
    <t>Mobile oil</t>
  </si>
  <si>
    <t>TID:329171</t>
  </si>
  <si>
    <t>2 palia</t>
  </si>
  <si>
    <t>bank charges x2</t>
  </si>
  <si>
    <t>omer</t>
  </si>
  <si>
    <t>E 9399</t>
  </si>
  <si>
    <t>GAK 9902</t>
  </si>
  <si>
    <t>medicine</t>
  </si>
  <si>
    <t>TID:987540</t>
  </si>
  <si>
    <t>TID:517644</t>
  </si>
  <si>
    <t>Buckle seal</t>
  </si>
  <si>
    <t>workshop + LPG</t>
  </si>
  <si>
    <t>elec bill add</t>
  </si>
  <si>
    <t>Reject</t>
  </si>
  <si>
    <t>Kaleem ullah</t>
  </si>
  <si>
    <t>Kamoki karaya</t>
  </si>
  <si>
    <t>TKL 364</t>
  </si>
  <si>
    <t>LES 3220</t>
  </si>
  <si>
    <t>Imran jet depart</t>
  </si>
  <si>
    <t>Atiq</t>
  </si>
  <si>
    <t>TID:571628</t>
  </si>
  <si>
    <t>7 days</t>
  </si>
  <si>
    <t>kharcha // rashan</t>
  </si>
  <si>
    <t>Acc nill</t>
  </si>
  <si>
    <t>Qadeer Driver:</t>
  </si>
  <si>
    <t>21500 old advance</t>
  </si>
  <si>
    <t>20000 paid (Salary0</t>
  </si>
  <si>
    <t>21500-17000</t>
  </si>
  <si>
    <t>4500 advance left</t>
  </si>
  <si>
    <t>Clips</t>
  </si>
  <si>
    <t>madina dyes</t>
  </si>
  <si>
    <t>TID:619049</t>
  </si>
  <si>
    <t>chain</t>
  </si>
  <si>
    <t>LES 1136</t>
  </si>
  <si>
    <t>TID:222388</t>
  </si>
  <si>
    <t>Shadi exp</t>
  </si>
  <si>
    <t>masjid ke samnay</t>
  </si>
  <si>
    <t>TID:861529</t>
  </si>
  <si>
    <t>clip karaya</t>
  </si>
  <si>
    <t>petrol//bike</t>
  </si>
  <si>
    <t>Malik zaheer wood</t>
  </si>
  <si>
    <t>challan</t>
  </si>
  <si>
    <t>MIB 9374</t>
  </si>
  <si>
    <t>Bsc</t>
  </si>
  <si>
    <t>SGI 992</t>
  </si>
  <si>
    <t>C 8947</t>
  </si>
  <si>
    <t>kaleem ullah wood</t>
  </si>
  <si>
    <t>Petrol</t>
  </si>
  <si>
    <t>Cash deposit</t>
  </si>
  <si>
    <t>Ali ahmad</t>
  </si>
  <si>
    <t>4 days</t>
  </si>
  <si>
    <t>TID:655589</t>
  </si>
  <si>
    <t>LOT 2949</t>
  </si>
  <si>
    <t>ali Ahmad</t>
  </si>
  <si>
    <t>Amjad 7up</t>
  </si>
  <si>
    <t>Hazrat Khan</t>
  </si>
  <si>
    <t>exp</t>
  </si>
  <si>
    <t>MI 112</t>
  </si>
  <si>
    <t>GAS 1196</t>
  </si>
  <si>
    <t>LXP 8141</t>
  </si>
  <si>
    <t>Ishaq</t>
  </si>
  <si>
    <t>Khalid sahab medicare</t>
  </si>
  <si>
    <t>usman</t>
  </si>
  <si>
    <t>boiler</t>
  </si>
  <si>
    <t>boiler sheets</t>
  </si>
  <si>
    <t>seal</t>
  </si>
  <si>
    <t>oil seal</t>
  </si>
  <si>
    <t>TID:382169</t>
  </si>
  <si>
    <t>Shamil</t>
  </si>
  <si>
    <t>Crate (Advance)</t>
  </si>
  <si>
    <t>Hooria medic</t>
  </si>
  <si>
    <t>bricks karaya</t>
  </si>
  <si>
    <t>parts karay</t>
  </si>
  <si>
    <t>JU 3871</t>
  </si>
  <si>
    <t>LES 9769</t>
  </si>
  <si>
    <t>Crate advance</t>
  </si>
  <si>
    <t>60506 gaz lot</t>
  </si>
  <si>
    <t>engine oil</t>
  </si>
  <si>
    <t>cheque( 00000007)</t>
  </si>
  <si>
    <t>cheque( 00000008)</t>
  </si>
  <si>
    <t>ARB dasti</t>
  </si>
  <si>
    <t>Against Cheque (Badshah)</t>
  </si>
  <si>
    <t>compressor</t>
  </si>
  <si>
    <t>2nd wood</t>
  </si>
  <si>
    <t>Habib</t>
  </si>
  <si>
    <t>Anayat</t>
  </si>
  <si>
    <t>Qaisar</t>
  </si>
  <si>
    <t>mazdoor</t>
  </si>
  <si>
    <t>Master Akbar</t>
  </si>
  <si>
    <t>Waqas</t>
  </si>
  <si>
    <t>pizza x4</t>
  </si>
  <si>
    <t>KFC</t>
  </si>
  <si>
    <t>food (self)</t>
  </si>
  <si>
    <t>Usman</t>
  </si>
  <si>
    <t>1756-a</t>
  </si>
  <si>
    <t>grocceries</t>
  </si>
  <si>
    <t>hooria exam</t>
  </si>
  <si>
    <t>optix</t>
  </si>
  <si>
    <t xml:space="preserve">medicine </t>
  </si>
  <si>
    <t>TID:556450</t>
  </si>
  <si>
    <t>AS traders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</si>
</sst>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3">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23">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0" fontId="0" fillId="0" borderId="0" xfId="1" applyNumberFormat="1" applyFont="1" applyAlignment="1">
      <alignment horizontal="right"/>
    </xf>
    <xf numFmtId="165" fontId="0" fillId="9" borderId="0" xfId="0" applyNumberFormat="1" applyFill="1"/>
    <xf numFmtId="164" fontId="0" fillId="0" borderId="0" xfId="1" applyNumberFormat="1" applyFont="1" applyAlignment="1">
      <alignment horizontal="right"/>
    </xf>
    <xf numFmtId="14" fontId="0" fillId="0" borderId="8" xfId="0" applyNumberFormat="1" applyFont="1" applyBorder="1"/>
    <xf numFmtId="0" fontId="0" fillId="0" borderId="0" xfId="0" applyBorder="1"/>
    <xf numFmtId="0" fontId="0" fillId="0" borderId="0" xfId="0" applyBorder="1" applyAlignment="1">
      <alignment horizontal="center"/>
    </xf>
    <xf numFmtId="0" fontId="0" fillId="0" borderId="0" xfId="0" applyNumberFormat="1"/>
  </cellXfs>
  <cellStyles count="2">
    <cellStyle name="Comma" xfId="1" builtinId="3"/>
    <cellStyle name="Normal" xfId="0" builtinId="0"/>
  </cellStyles>
  <dxfs count="161">
    <dxf>
      <numFmt numFmtId="19" formatCode="dd/mm/yyyy"/>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19" formatCode="dd/mm/yyyy"/>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931132</xdr:colOff>
      <xdr:row>123</xdr:row>
      <xdr:rowOff>2672</xdr:rowOff>
    </xdr:from>
    <xdr:to>
      <xdr:col>15</xdr:col>
      <xdr:colOff>1123488</xdr:colOff>
      <xdr:row>130</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368320</xdr:colOff>
      <xdr:row>147</xdr:row>
      <xdr:rowOff>31360</xdr:rowOff>
    </xdr:from>
    <xdr:to>
      <xdr:col>2</xdr:col>
      <xdr:colOff>3537</xdr:colOff>
      <xdr:row>155</xdr:row>
      <xdr:rowOff>89760</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368320" y="24342789"/>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498001</xdr:colOff>
      <xdr:row>22</xdr:row>
      <xdr:rowOff>38382</xdr:rowOff>
    </xdr:from>
    <xdr:to>
      <xdr:col>13</xdr:col>
      <xdr:colOff>282884</xdr:colOff>
      <xdr:row>37</xdr:row>
      <xdr:rowOff>149902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653837" y="2074546"/>
              <a:ext cx="1802309" cy="1741700"/>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41</xdr:row>
      <xdr:rowOff>43181</xdr:rowOff>
    </xdr:from>
    <xdr:to>
      <xdr:col>13</xdr:col>
      <xdr:colOff>523567</xdr:colOff>
      <xdr:row>64</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73</xdr:row>
      <xdr:rowOff>138748</xdr:rowOff>
    </xdr:from>
    <xdr:to>
      <xdr:col>14</xdr:col>
      <xdr:colOff>659309</xdr:colOff>
      <xdr:row>146</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-447902</v>
          </cell>
        </row>
        <row r="11">
          <cell r="R11">
            <v>-781867</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3.184746527775" createdVersion="8" refreshedVersion="8" minRefreshableVersion="3" recordCount="362" xr:uid="{B5BDFB73-D93A-4A7A-8149-666BC190B09B}">
  <cacheSource type="worksheet">
    <worksheetSource name="Table14"/>
  </cacheSource>
  <cacheFields count="7">
    <cacheField name="Date" numFmtId="14">
      <sharedItems containsNonDate="0" containsDate="1" containsString="0" containsBlank="1" minDate="2025-09-16T00:00:00" maxDate="2025-10-13T00:00:00"/>
    </cacheField>
    <cacheField name="Party" numFmtId="0">
      <sharedItems containsBlank="1" count="46">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s v="Kaleem ullah"/>
        <s v="Ishaq"/>
        <s v="Shamil"/>
        <s v="ARB dasti"/>
        <s v="AS traders"/>
        <m/>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ontainsMixedTypes="1" containsNumber="1" containsInteger="1" minValue="54466" maxValue="54466"/>
    </cacheField>
    <cacheField name="Mode" numFmtId="0">
      <sharedItems containsBlank="1"/>
    </cacheField>
    <cacheField name="Withdrawal" numFmtId="0">
      <sharedItems containsString="0" containsBlank="1" containsNumber="1" containsInteger="1" minValue="-25000" maxValue="17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3.184746990744" createdVersion="8" refreshedVersion="8" minRefreshableVersion="3" recordCount="13" xr:uid="{C9337D87-FB7F-43A5-B835-F515E859066B}">
  <cacheSource type="worksheet">
    <worksheetSource name="Table4"/>
  </cacheSource>
  <cacheFields count="4">
    <cacheField name="Party Name" numFmtId="0">
      <sharedItems count="13">
        <s v="BSC"/>
        <s v="Ejaz Sahab"/>
        <s v="Arshad"/>
        <s v="Shehzad Kamoki"/>
        <s v="Sufi Nawaz Sahab"/>
        <s v="Sajad Khan"/>
        <s v="Raaz Fabrics"/>
        <s v="Azam"/>
        <s v="Ubaidullah"/>
        <s v="Ashraf Zia"/>
        <s v="Hafiz Qureshi"/>
        <s v="Badshah Fabrics"/>
        <s v="Reject"/>
      </sharedItems>
    </cacheField>
    <cacheField name="Tiyaar" numFmtId="1">
      <sharedItems containsSemiMixedTypes="0" containsString="0" containsNumber="1" minValue="0" maxValue="381209.76591075351"/>
    </cacheField>
    <cacheField name="Rate" numFmtId="0">
      <sharedItems containsString="0" containsBlank="1" containsNumber="1" minValue="10" maxValue="12"/>
    </cacheField>
    <cacheField name="Total" numFmtId="164">
      <sharedItems containsSemiMixedTypes="0" containsString="0" containsNumber="1" minValue="0" maxValue="4037534.747622531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3.184747222222" createdVersion="8" refreshedVersion="8" minRefreshableVersion="3" recordCount="16" xr:uid="{AC867DCC-CE64-4D1A-827D-F1F3EE10EE4E}">
  <cacheSource type="worksheet">
    <worksheetSource name="Table8"/>
  </cacheSource>
  <cacheFields count="9">
    <cacheField name="Date" numFmtId="14">
      <sharedItems containsSemiMixedTypes="0" containsNonDate="0" containsDate="1" containsString="0" minDate="2025-05-16T00:00:00" maxDate="2025-10-10T00:00:00" count="25">
        <d v="2025-09-16T00:00:00"/>
        <d v="2025-09-19T00:00:00"/>
        <d v="2025-09-22T00:00:00"/>
        <d v="2025-09-26T00:00:00"/>
        <d v="2025-09-27T00:00:00"/>
        <d v="2025-10-09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2"/>
    </cacheField>
    <cacheField name="Rate" numFmtId="0">
      <sharedItems containsString="0" containsBlank="1" containsNumber="1" containsInteger="1" minValue="920" maxValue="1775"/>
    </cacheField>
    <cacheField name="Price" numFmtId="0">
      <sharedItems containsString="0" containsBlank="1" containsNumber="1" containsInteger="1" minValue="28000" maxValue="138000"/>
    </cacheField>
    <cacheField name="Party" numFmtId="0">
      <sharedItems containsBlank="1" count="3">
        <s v="Unicolour"/>
        <m/>
        <s v="-"/>
      </sharedItems>
    </cacheField>
    <cacheField name="Paid" numFmtId="0">
      <sharedItems containsString="0" containsBlank="1" containsNumber="1" containsInteger="1" minValue="2800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3.18474733796" createdVersion="8" refreshedVersion="8" minRefreshableVersion="3" recordCount="69" xr:uid="{3E5C2981-ACF5-44A9-8567-B1D65DB3A8D2}">
  <cacheSource type="worksheet">
    <worksheetSource name="Table3"/>
  </cacheSource>
  <cacheFields count="9">
    <cacheField name="Date" numFmtId="14">
      <sharedItems containsSemiMixedTypes="0" containsNonDate="0" containsDate="1" containsString="0" minDate="2025-05-02T00:00:00" maxDate="2025-10-13T00:00:00" count="76">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10-07T00:00:00"/>
        <d v="2025-10-08T00:00:00"/>
        <d v="2025-10-10T00:00:00"/>
        <d v="2025-10-12T00:00:00"/>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s v="Shamil"/>
        <m u="1"/>
        <s v="Aqib Freight" u="1"/>
      </sharedItems>
    </cacheField>
    <cacheField name="Vehicle Number" numFmtId="0">
      <sharedItems containsBlank="1" containsMixedTypes="1" containsNumber="1" containsInteger="1" minValue="31" maxValue="9940" count="86">
        <s v="Closing Balance CF"/>
        <s v="MI 112"/>
        <s v="GAS 1435"/>
        <m/>
        <s v="SGJ 4646"/>
        <s v="GAS 1196"/>
        <s v="LES 4366"/>
        <s v="CAF 442"/>
        <s v="LRO 6613"/>
        <s v="LES 4095"/>
        <s v="E 3229"/>
        <s v="RB 162"/>
        <s v="LXP 8141"/>
        <s v="RPT 5560"/>
        <s v="TW 685"/>
        <s v="TAF 571"/>
        <s v="TKQ 160"/>
        <s v="KBI 112"/>
        <s v="LES 5974"/>
        <s v="LES 8168"/>
        <s v="TAD 074"/>
        <s v="GAK 9902"/>
        <s v="E 9399"/>
        <n v="3414"/>
        <s v="LES 3220"/>
        <s v="TKL 364"/>
        <s v="LES 1136"/>
        <s v="LOT 2949"/>
        <s v="SGI 992"/>
        <s v="C 8947"/>
        <s v="MIB 9374"/>
        <s v="JU 3871"/>
        <s v="LES 9769"/>
        <s v="Crate advance"/>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443"/>
    </cacheField>
    <cacheField name="Rate" numFmtId="164">
      <sharedItems containsString="0" containsBlank="1" containsNumber="1" containsInteger="1" minValue="550" maxValue="810"/>
    </cacheField>
    <cacheField name="Rent" numFmtId="164">
      <sharedItems containsString="0" containsBlank="1" containsNumber="1" containsInteger="1" minValue="27300" maxValue="92470"/>
    </cacheField>
    <cacheField name="Total" numFmtId="164">
      <sharedItems containsSemiMixedTypes="0" containsString="0" containsNumber="1" containsInteger="1" minValue="0" maxValue="358830"/>
    </cacheField>
    <cacheField name="Paid" numFmtId="164">
      <sharedItems containsString="0" containsBlank="1" containsNumber="1" containsInteger="1" minValue="0" maxValue="452300"/>
    </cacheField>
    <cacheField name="balance" numFmtId="164">
      <sharedItems containsSemiMixedTypes="0" containsString="0" containsNumber="1" containsInteger="1" minValue="-452300"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3.184747569445" createdVersion="8" refreshedVersion="8" minRefreshableVersion="3" recordCount="131" xr:uid="{46CBB50D-3613-4E5B-8212-DD0313DCD05A}">
  <cacheSource type="worksheet">
    <worksheetSource name="Table1"/>
  </cacheSource>
  <cacheFields count="14">
    <cacheField name="Date" numFmtId="14">
      <sharedItems containsSemiMixedTypes="0" containsNonDate="0" containsDate="1" containsString="0" minDate="2025-07-25T00:00:00" maxDate="2025-10-11T00:00:00" count="64">
        <d v="2025-09-16T00:00:00"/>
        <d v="2025-09-17T00:00:00"/>
        <d v="2025-09-18T00:00:00"/>
        <d v="2025-09-19T00:00:00"/>
        <d v="2025-09-20T00:00:00"/>
        <d v="2025-09-22T00:00:00"/>
        <d v="2025-09-23T00:00:00"/>
        <d v="2025-09-24T00:00:00"/>
        <d v="2025-09-25T00:00:00"/>
        <d v="2025-09-26T00:00:00"/>
        <d v="2025-09-27T00:00:00"/>
        <d v="2025-09-29T00:00:00"/>
        <d v="2025-09-30T00:00:00"/>
        <d v="2025-10-01T00:00:00"/>
        <d v="2025-10-03T00:00:00"/>
        <d v="2025-10-04T00:00:00"/>
        <d v="2025-10-06T00:00:00"/>
        <d v="2025-10-07T00:00:00"/>
        <d v="2025-10-08T00:00:00"/>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2">
        <s v="BSC"/>
        <s v="Ejaz Sahab"/>
        <s v="Arshad"/>
        <s v="Shehzad Kamoki"/>
        <s v="Sufi Nawaz Sahab"/>
        <s v="Sajad Khan"/>
        <s v="Raaz Fabrics"/>
        <s v="Azam"/>
        <s v="Ubaidullah"/>
        <s v="Ashraf Zia"/>
        <s v="Hafiz Qureshi"/>
        <s v="Badshah Fabrics"/>
        <s v="Reject"/>
        <s v="Amjad 7up"/>
        <s v="Hazrat Khan"/>
        <m u="1"/>
        <s v="YING" u="1"/>
        <s v="Meow" u="1"/>
        <s v="Umer Sb" u="1"/>
        <s v="-" u="1"/>
        <s v="Sajjad" u="1"/>
        <s v="Haji Ejaz" u="1"/>
      </sharedItems>
    </cacheField>
    <cacheField name="Bill Number" numFmtId="0">
      <sharedItems containsMixedTypes="1" containsNumber="1" containsInteger="1" minValue="604" maxValue="949" count="337">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74">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770"/>
        <n v="1772"/>
        <n v="1721"/>
        <n v="1769"/>
        <n v="1771"/>
        <n v="1746"/>
        <n v="1759"/>
        <n v="1722"/>
        <n v="1773"/>
        <n v="1779"/>
        <n v="1749"/>
        <n v="1782"/>
        <n v="1713"/>
        <n v="1706"/>
        <n v="1711"/>
        <n v="1768"/>
        <n v="2000"/>
        <n v="1684"/>
        <n v="1691"/>
        <n v="1784"/>
        <n v="1781"/>
        <n v="1747"/>
        <n v="1777"/>
        <n v="1750"/>
        <n v="1788"/>
        <s v="1756-a"/>
        <n v="1787"/>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minValue="190" maxValue="100795"/>
    </cacheField>
    <cacheField name="Tiyaar/gaz" numFmtId="164">
      <sharedItems containsString="0" containsBlank="1" containsNumber="1" containsInteger="1" minValue="210" maxValue="52061"/>
    </cacheField>
    <cacheField name="shortage %" numFmtId="165">
      <sharedItems containsMixedTypes="1" containsNumber="1" minValue="-5.6462495295886725" maxValue="92.249894278567169"/>
    </cacheField>
    <cacheField name="tiyar/meters" numFmtId="165">
      <sharedItems containsSemiMixedTypes="0" containsString="0" containsNumber="1" minValue="0" maxValue="1073433.6137527432"/>
    </cacheField>
    <cacheField name="billing" numFmtId="165">
      <sharedItems containsString="0" containsBlank="1"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3.184748148145" createdVersion="8" refreshedVersion="8" minRefreshableVersion="3" recordCount="11" xr:uid="{376A650C-1F79-4049-BC45-E34989F046B2}">
  <cacheSource type="worksheet">
    <worksheetSource name="Table2"/>
  </cacheSource>
  <cacheFields count="8">
    <cacheField name="Date" numFmtId="14">
      <sharedItems containsSemiMixedTypes="0" containsNonDate="0" containsDate="1" containsString="0" minDate="2025-09-16T00:00:00" maxDate="2025-10-12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2"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353250"/>
    </cacheField>
    <cacheField name="Paid" numFmtId="0">
      <sharedItems containsSemiMixedTypes="0" containsString="0" containsNumber="1" containsInteger="1" minValue="0" maxValue="353250"/>
    </cacheField>
    <cacheField name="Balance" numFmtId="0">
      <sharedItems containsSemiMixedTypes="0" containsString="0" containsNumber="1" containsInteger="1" minValue="-50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2">
  <r>
    <d v="2025-09-16T00:00:00"/>
    <x v="0"/>
    <m/>
    <n v="-4479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s v="Dyes"/>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s v="workshop + LPG"/>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s v="workshop"/>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s v="Dyes"/>
    <s v="Bank"/>
    <m/>
  </r>
  <r>
    <d v="2025-09-22T00:00:00"/>
    <x v="12"/>
    <n v="10000"/>
    <m/>
    <s v="Gazanfar"/>
    <s v="Cash"/>
    <m/>
  </r>
  <r>
    <d v="2025-09-22T00:00:00"/>
    <x v="2"/>
    <n v="200002"/>
    <m/>
    <m/>
    <s v="Bank"/>
    <m/>
  </r>
  <r>
    <d v="2025-09-22T00:00:00"/>
    <x v="15"/>
    <m/>
    <n v="250000"/>
    <m/>
    <s v="Bank"/>
    <m/>
  </r>
  <r>
    <d v="2025-09-22T00:00:00"/>
    <x v="20"/>
    <m/>
    <n v="400000"/>
    <m/>
    <s v="Bank"/>
    <m/>
  </r>
  <r>
    <d v="2025-09-22T00:00:00"/>
    <x v="8"/>
    <m/>
    <n v="1116533"/>
    <s v="elec bill add"/>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s v="workshop"/>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s v="Starch"/>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s v="Naeem Driver"/>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s v="Qadeer Driver"/>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r>
    <d v="2025-10-01T00:00:00"/>
    <x v="16"/>
    <m/>
    <n v="500000"/>
    <m/>
    <s v="Bank"/>
    <m/>
  </r>
  <r>
    <d v="2025-10-01T00:00:00"/>
    <x v="2"/>
    <n v="40000"/>
    <m/>
    <s v="LES 8168"/>
    <s v="Cash"/>
    <m/>
  </r>
  <r>
    <d v="2025-10-01T00:00:00"/>
    <x v="2"/>
    <n v="62410"/>
    <m/>
    <s v="TAD 074"/>
    <s v="Bank"/>
    <m/>
  </r>
  <r>
    <d v="2025-10-01T00:00:00"/>
    <x v="11"/>
    <n v="1550"/>
    <m/>
    <s v="garrari"/>
    <s v="Bank"/>
    <m/>
  </r>
  <r>
    <d v="2025-10-01T00:00:00"/>
    <x v="11"/>
    <n v="8349"/>
    <m/>
    <s v="Diesel"/>
    <s v="Bank"/>
    <m/>
  </r>
  <r>
    <d v="2025-10-01T00:00:00"/>
    <x v="11"/>
    <n v="4240"/>
    <m/>
    <s v="Mobile oil"/>
    <s v="Bank"/>
    <m/>
  </r>
  <r>
    <d v="2025-10-01T00:00:00"/>
    <x v="11"/>
    <n v="900"/>
    <m/>
    <s v="Mobile oil"/>
    <s v="Bank"/>
    <m/>
  </r>
  <r>
    <d v="2025-10-01T00:00:00"/>
    <x v="9"/>
    <n v="5349"/>
    <m/>
    <s v="Petrol"/>
    <s v="Cash"/>
    <m/>
  </r>
  <r>
    <d v="2025-10-01T00:00:00"/>
    <x v="10"/>
    <n v="6600"/>
    <m/>
    <s v="Mazdoor"/>
    <s v="Bank"/>
    <m/>
  </r>
  <r>
    <d v="2025-10-01T00:00:00"/>
    <x v="9"/>
    <n v="5100"/>
    <m/>
    <s v="workshop"/>
    <s v="Bank"/>
    <m/>
  </r>
  <r>
    <d v="2025-10-01T00:00:00"/>
    <x v="2"/>
    <n v="300150"/>
    <m/>
    <s v="TID:329171"/>
    <s v="Bank"/>
    <m/>
  </r>
  <r>
    <d v="2025-10-01T00:00:00"/>
    <x v="24"/>
    <m/>
    <n v="40300"/>
    <s v="2 palia"/>
    <s v="Bank"/>
    <m/>
  </r>
  <r>
    <d v="2025-10-01T00:00:00"/>
    <x v="9"/>
    <n v="1500"/>
    <m/>
    <s v="Kamoki karaya"/>
    <s v="Bank"/>
    <m/>
  </r>
  <r>
    <d v="2025-10-01T00:00:00"/>
    <x v="5"/>
    <n v="4200"/>
    <m/>
    <s v="bank charges x2"/>
    <s v="Bank"/>
    <m/>
  </r>
  <r>
    <d v="2025-10-02T00:00:00"/>
    <x v="6"/>
    <n v="4500"/>
    <m/>
    <m/>
    <s v="Cash"/>
    <m/>
  </r>
  <r>
    <d v="2025-10-02T00:00:00"/>
    <x v="26"/>
    <m/>
    <m/>
    <m/>
    <s v="transfer"/>
    <n v="50000"/>
  </r>
  <r>
    <d v="2025-10-02T00:00:00"/>
    <x v="2"/>
    <n v="44420"/>
    <m/>
    <s v="E 9399"/>
    <s v="Bank"/>
    <m/>
  </r>
  <r>
    <d v="2025-10-02T00:00:00"/>
    <x v="2"/>
    <n v="39200"/>
    <m/>
    <s v="GAK 9902"/>
    <s v="Bank"/>
    <m/>
  </r>
  <r>
    <d v="2025-10-02T00:00:00"/>
    <x v="5"/>
    <n v="535"/>
    <m/>
    <s v="medicine"/>
    <s v="Bank"/>
    <m/>
  </r>
  <r>
    <d v="2025-10-02T00:00:00"/>
    <x v="9"/>
    <n v="1000"/>
    <m/>
    <s v="toll"/>
    <s v="Cash"/>
    <m/>
  </r>
  <r>
    <d v="2025-10-02T00:00:00"/>
    <x v="4"/>
    <m/>
    <n v="73000"/>
    <s v="TID:987540"/>
    <s v="Bank"/>
    <m/>
  </r>
  <r>
    <d v="2025-10-02T00:00:00"/>
    <x v="14"/>
    <n v="125000"/>
    <m/>
    <s v="TID:517644"/>
    <s v="Bank"/>
    <m/>
  </r>
  <r>
    <d v="2025-10-02T00:00:00"/>
    <x v="17"/>
    <n v="18000"/>
    <m/>
    <s v="Atta"/>
    <s v="Bank"/>
    <m/>
  </r>
  <r>
    <d v="2025-10-02T00:00:00"/>
    <x v="9"/>
    <n v="1500"/>
    <m/>
    <s v="kora Transport"/>
    <s v="Cash"/>
    <m/>
  </r>
  <r>
    <d v="2025-10-02T00:00:00"/>
    <x v="2"/>
    <n v="301120"/>
    <m/>
    <s v="BAHL"/>
    <s v="Bank"/>
    <m/>
  </r>
  <r>
    <d v="2025-10-02T00:00:00"/>
    <x v="11"/>
    <n v="15000"/>
    <m/>
    <s v="Buckle seal"/>
    <s v="Bank"/>
    <m/>
  </r>
  <r>
    <d v="2025-10-02T00:00:00"/>
    <x v="8"/>
    <m/>
    <n v="15000"/>
    <s v="Buckle seal"/>
    <s v="Bank"/>
    <m/>
  </r>
  <r>
    <d v="2025-10-02T00:00:00"/>
    <x v="9"/>
    <n v="5410"/>
    <m/>
    <s v="LPG"/>
    <s v="Bank"/>
    <m/>
  </r>
  <r>
    <d v="2025-10-02T00:00:00"/>
    <x v="8"/>
    <m/>
    <n v="5410"/>
    <s v="LPG"/>
    <s v="Bank"/>
    <m/>
  </r>
  <r>
    <d v="2025-10-03T00:00:00"/>
    <x v="2"/>
    <n v="92470"/>
    <m/>
    <s v="TKL 364"/>
    <s v="Bank"/>
    <m/>
  </r>
  <r>
    <d v="2025-10-03T00:00:00"/>
    <x v="2"/>
    <n v="34500"/>
    <m/>
    <s v="LES 3220"/>
    <s v="Cash"/>
    <m/>
  </r>
  <r>
    <d v="2025-10-03T00:00:00"/>
    <x v="3"/>
    <m/>
    <n v="100000"/>
    <m/>
    <s v="Bank"/>
    <m/>
  </r>
  <r>
    <d v="2025-10-03T00:00:00"/>
    <x v="12"/>
    <m/>
    <m/>
    <s v="Imran jet depart"/>
    <s v="Bank"/>
    <m/>
  </r>
  <r>
    <d v="2025-10-03T00:00:00"/>
    <x v="7"/>
    <n v="2000"/>
    <m/>
    <s v="Atiq"/>
    <s v="Cash"/>
    <m/>
  </r>
  <r>
    <d v="2025-10-03T00:00:00"/>
    <x v="2"/>
    <n v="302400"/>
    <m/>
    <s v="TID:571628"/>
    <s v="Cash"/>
    <m/>
  </r>
  <r>
    <d v="2025-10-03T00:00:00"/>
    <x v="17"/>
    <n v="16370"/>
    <m/>
    <s v="7 days"/>
    <s v="Bank"/>
    <m/>
  </r>
  <r>
    <d v="2025-10-03T00:00:00"/>
    <x v="7"/>
    <n v="10000"/>
    <m/>
    <s v="Naeem Electric"/>
    <s v="Bank"/>
    <m/>
  </r>
  <r>
    <d v="2025-10-03T00:00:00"/>
    <x v="19"/>
    <n v="3000"/>
    <m/>
    <s v="kharcha // rashan"/>
    <s v="Bank"/>
    <m/>
  </r>
  <r>
    <d v="2025-10-03T00:00:00"/>
    <x v="26"/>
    <m/>
    <m/>
    <m/>
    <s v="transfer"/>
    <n v="55000"/>
  </r>
  <r>
    <d v="2025-10-03T00:00:00"/>
    <x v="15"/>
    <m/>
    <n v="21620"/>
    <s v="Acc nill"/>
    <s v="Bank"/>
    <m/>
  </r>
  <r>
    <d v="2025-10-04T00:00:00"/>
    <x v="11"/>
    <n v="50000"/>
    <m/>
    <s v="clips"/>
    <s v="Bank"/>
    <m/>
  </r>
  <r>
    <d v="2025-10-04T00:00:00"/>
    <x v="8"/>
    <m/>
    <n v="50000"/>
    <s v="Clips"/>
    <s v="Bank"/>
    <m/>
  </r>
  <r>
    <d v="2025-10-04T00:00:00"/>
    <x v="13"/>
    <n v="55500"/>
    <m/>
    <s v="Dyes"/>
    <s v="Bank"/>
    <m/>
  </r>
  <r>
    <d v="2025-10-04T00:00:00"/>
    <x v="8"/>
    <m/>
    <n v="55000"/>
    <s v="madina dyes"/>
    <s v="Bank"/>
    <m/>
  </r>
  <r>
    <d v="2025-10-04T00:00:00"/>
    <x v="9"/>
    <n v="5280"/>
    <m/>
    <s v="LPG"/>
    <s v="Bank"/>
    <m/>
  </r>
  <r>
    <d v="2025-10-04T00:00:00"/>
    <x v="8"/>
    <m/>
    <n v="5280"/>
    <m/>
    <s v="Bank"/>
    <m/>
  </r>
  <r>
    <d v="2025-10-04T00:00:00"/>
    <x v="8"/>
    <m/>
    <n v="250000"/>
    <s v="TID:619049"/>
    <s v="Bank"/>
    <m/>
  </r>
  <r>
    <d v="2025-10-04T00:00:00"/>
    <x v="21"/>
    <n v="100000"/>
    <m/>
    <s v="chain"/>
    <s v="Cash"/>
    <m/>
  </r>
  <r>
    <d v="2025-10-04T00:00:00"/>
    <x v="16"/>
    <m/>
    <n v="500000"/>
    <s v="masjid ke samnay"/>
    <s v="Cash"/>
    <m/>
  </r>
  <r>
    <d v="2025-10-04T00:00:00"/>
    <x v="9"/>
    <n v="5150"/>
    <m/>
    <s v="LPG"/>
    <s v="Bank"/>
    <m/>
  </r>
  <r>
    <d v="2025-10-04T00:00:00"/>
    <x v="2"/>
    <n v="41720"/>
    <m/>
    <s v="LES 1136"/>
    <s v="Cash"/>
    <m/>
  </r>
  <r>
    <d v="2025-10-05T00:00:00"/>
    <x v="2"/>
    <n v="300900"/>
    <m/>
    <s v="TID:222388"/>
    <s v="Bank"/>
    <m/>
  </r>
  <r>
    <d v="2025-10-05T00:00:00"/>
    <x v="10"/>
    <n v="8000"/>
    <m/>
    <s v="Shadi exp"/>
    <s v="Bank"/>
    <m/>
  </r>
  <r>
    <d v="2025-10-06T00:00:00"/>
    <x v="18"/>
    <n v="353250"/>
    <m/>
    <s v="Starch"/>
    <s v="Bank"/>
    <m/>
  </r>
  <r>
    <d v="2025-10-06T00:00:00"/>
    <x v="28"/>
    <n v="219875"/>
    <m/>
    <s v="TID:861529"/>
    <s v="Bank"/>
    <m/>
  </r>
  <r>
    <d v="2025-10-06T00:00:00"/>
    <x v="8"/>
    <m/>
    <n v="219875"/>
    <s v="kaleem ullah wood"/>
    <s v="Bank"/>
    <m/>
  </r>
  <r>
    <d v="2025-10-06T00:00:00"/>
    <x v="9"/>
    <n v="4779"/>
    <m/>
    <s v="LPG"/>
    <s v="Bank"/>
    <m/>
  </r>
  <r>
    <d v="2025-10-06T00:00:00"/>
    <x v="8"/>
    <m/>
    <n v="4779"/>
    <m/>
    <s v="Bank"/>
    <m/>
  </r>
  <r>
    <d v="2025-10-06T00:00:00"/>
    <x v="2"/>
    <n v="68150"/>
    <m/>
    <s v="C 8947"/>
    <s v="Bank"/>
    <m/>
  </r>
  <r>
    <d v="2025-10-04T00:00:00"/>
    <x v="5"/>
    <n v="600"/>
    <m/>
    <s v="clip karaya"/>
    <s v="Bank"/>
    <m/>
  </r>
  <r>
    <d v="2025-10-06T00:00:00"/>
    <x v="26"/>
    <m/>
    <m/>
    <m/>
    <s v="transfer"/>
    <n v="-25000"/>
  </r>
  <r>
    <d v="2025-10-06T00:00:00"/>
    <x v="9"/>
    <n v="1000"/>
    <m/>
    <s v="petrol//bike"/>
    <s v="Bank"/>
    <m/>
  </r>
  <r>
    <d v="2025-10-06T00:00:00"/>
    <x v="2"/>
    <n v="30868"/>
    <m/>
    <s v="SGI 992"/>
    <s v="Bank"/>
    <m/>
  </r>
  <r>
    <d v="2025-10-06T00:00:00"/>
    <x v="8"/>
    <m/>
    <n v="30868"/>
    <s v="Malik zaheer wood"/>
    <s v="Bank"/>
    <m/>
  </r>
  <r>
    <d v="2025-10-06T00:00:00"/>
    <x v="9"/>
    <n v="2515"/>
    <m/>
    <s v="challan"/>
    <s v="Bank"/>
    <m/>
  </r>
  <r>
    <d v="2025-10-06T00:00:00"/>
    <x v="8"/>
    <m/>
    <n v="2515"/>
    <s v="challan"/>
    <s v="Bank"/>
    <m/>
  </r>
  <r>
    <d v="2025-10-06T00:00:00"/>
    <x v="2"/>
    <n v="42500"/>
    <m/>
    <s v="MIB 9374"/>
    <s v="Bank"/>
    <m/>
  </r>
  <r>
    <d v="2025-10-06T00:00:00"/>
    <x v="8"/>
    <m/>
    <n v="68150"/>
    <s v="Malik zaheer wood"/>
    <s v="Bank"/>
    <m/>
  </r>
  <r>
    <d v="2025-10-07T00:00:00"/>
    <x v="9"/>
    <n v="11800"/>
    <m/>
    <s v="Petrol"/>
    <s v="Bank"/>
    <m/>
  </r>
  <r>
    <d v="2025-10-07T00:00:00"/>
    <x v="2"/>
    <n v="302300"/>
    <m/>
    <s v="BAHL"/>
    <s v="Bank"/>
    <m/>
  </r>
  <r>
    <d v="2025-10-07T00:00:00"/>
    <x v="8"/>
    <m/>
    <n v="300000"/>
    <s v="Cash deposit"/>
    <s v="Bank"/>
    <m/>
  </r>
  <r>
    <d v="2025-10-07T00:00:00"/>
    <x v="7"/>
    <n v="5000"/>
    <m/>
    <s v="Master Arshad"/>
    <s v="Cash"/>
    <m/>
  </r>
  <r>
    <d v="2025-10-07T00:00:00"/>
    <x v="7"/>
    <n v="1000"/>
    <m/>
    <s v="Ali ahmad"/>
    <s v="Cash"/>
    <m/>
  </r>
  <r>
    <d v="2025-10-07T00:00:00"/>
    <x v="5"/>
    <m/>
    <m/>
    <s v="kharcha // rashan"/>
    <s v="Cash"/>
    <m/>
  </r>
  <r>
    <d v="2025-10-07T00:00:00"/>
    <x v="17"/>
    <n v="10120"/>
    <m/>
    <s v="4 days"/>
    <s v="Bank"/>
    <m/>
  </r>
  <r>
    <d v="2025-10-07T00:00:00"/>
    <x v="20"/>
    <m/>
    <n v="498000"/>
    <n v="54466"/>
    <s v="Bank"/>
    <m/>
  </r>
  <r>
    <d v="2025-10-07T00:00:00"/>
    <x v="2"/>
    <n v="150000"/>
    <m/>
    <s v="TID:655589"/>
    <s v="Bank"/>
    <m/>
  </r>
  <r>
    <d v="2025-10-07T00:00:00"/>
    <x v="10"/>
    <m/>
    <n v="5000"/>
    <s v="Shadi exp"/>
    <s v="Cash"/>
    <m/>
  </r>
  <r>
    <d v="2025-10-07T00:00:00"/>
    <x v="10"/>
    <n v="3500"/>
    <m/>
    <s v="exp"/>
    <s v="Cash"/>
    <m/>
  </r>
  <r>
    <d v="2025-10-07T00:00:00"/>
    <x v="7"/>
    <n v="4000"/>
    <m/>
    <s v="Khalid Sahab"/>
    <s v="Bank"/>
    <m/>
  </r>
  <r>
    <d v="2025-10-08T00:00:00"/>
    <x v="29"/>
    <n v="200000"/>
    <m/>
    <s v="wood"/>
    <s v="Bank"/>
    <m/>
  </r>
  <r>
    <d v="2025-10-08T00:00:00"/>
    <x v="29"/>
    <n v="56040"/>
    <m/>
    <s v="wood"/>
    <s v="Bank"/>
    <m/>
  </r>
  <r>
    <d v="2025-10-08T00:00:00"/>
    <x v="9"/>
    <n v="5416"/>
    <m/>
    <s v="petrol"/>
    <s v="Bank"/>
    <m/>
  </r>
  <r>
    <d v="2025-10-08T00:00:00"/>
    <x v="11"/>
    <n v="8349"/>
    <m/>
    <s v="Diesel"/>
    <s v="Bank"/>
    <m/>
  </r>
  <r>
    <d v="2025-10-08T00:00:00"/>
    <x v="26"/>
    <m/>
    <m/>
    <m/>
    <s v="transfer"/>
    <n v="60000"/>
  </r>
  <r>
    <d v="2025-10-08T00:00:00"/>
    <x v="11"/>
    <n v="13200"/>
    <m/>
    <s v="clips"/>
    <s v="Bank"/>
    <m/>
  </r>
  <r>
    <d v="2025-10-08T00:00:00"/>
    <x v="8"/>
    <m/>
    <n v="13200"/>
    <s v="clips"/>
    <s v="Bank"/>
    <m/>
  </r>
  <r>
    <d v="2025-10-08T00:00:00"/>
    <x v="5"/>
    <n v="800"/>
    <m/>
    <s v="Package Khalid Sahab"/>
    <s v="Bank"/>
    <m/>
  </r>
  <r>
    <d v="2025-10-08T00:00:00"/>
    <x v="5"/>
    <n v="11837"/>
    <m/>
    <s v="Khalid sahab medicare"/>
    <s v="Cash"/>
    <m/>
  </r>
  <r>
    <d v="2025-10-08T00:00:00"/>
    <x v="7"/>
    <n v="500"/>
    <m/>
    <s v="usman"/>
    <s v="Cash"/>
    <m/>
  </r>
  <r>
    <d v="2025-10-08T00:00:00"/>
    <x v="7"/>
    <n v="1500"/>
    <m/>
    <s v="Qaisar"/>
    <s v="Cash"/>
    <m/>
  </r>
  <r>
    <d v="2025-10-08T00:00:00"/>
    <x v="11"/>
    <n v="26000"/>
    <m/>
    <s v="boiler"/>
    <s v="Bank"/>
    <m/>
  </r>
  <r>
    <d v="2025-10-08T00:00:00"/>
    <x v="8"/>
    <m/>
    <n v="26000"/>
    <s v="boiler sheets"/>
    <s v="Bank"/>
    <m/>
  </r>
  <r>
    <d v="2025-10-08T00:00:00"/>
    <x v="11"/>
    <n v="6200"/>
    <m/>
    <s v="seal"/>
    <s v="Bank"/>
    <m/>
  </r>
  <r>
    <d v="2025-10-08T00:00:00"/>
    <x v="8"/>
    <m/>
    <n v="6200"/>
    <s v="oil seal"/>
    <s v="Bank"/>
    <m/>
  </r>
  <r>
    <d v="2025-10-08T00:00:00"/>
    <x v="9"/>
    <n v="3000"/>
    <m/>
    <s v="kora Transport"/>
    <s v="Cash"/>
    <m/>
  </r>
  <r>
    <d v="2025-10-08T00:00:00"/>
    <x v="2"/>
    <n v="303003"/>
    <m/>
    <s v="BAHL"/>
    <s v="Bank"/>
    <m/>
  </r>
  <r>
    <d v="2025-10-08T00:00:00"/>
    <x v="8"/>
    <m/>
    <n v="245000"/>
    <s v="TID:382169"/>
    <s v="Bank"/>
    <m/>
  </r>
  <r>
    <d v="2025-10-08T00:00:00"/>
    <x v="3"/>
    <m/>
    <n v="100000"/>
    <m/>
    <s v="Bank"/>
    <m/>
  </r>
  <r>
    <d v="2025-10-08T00:00:00"/>
    <x v="30"/>
    <n v="50000"/>
    <m/>
    <s v="Crate (Advance)"/>
    <s v="Bank"/>
    <m/>
  </r>
  <r>
    <d v="2025-10-08T00:00:00"/>
    <x v="10"/>
    <n v="15215"/>
    <m/>
    <s v="Hooria medic"/>
    <s v="Bank"/>
    <m/>
  </r>
  <r>
    <d v="2025-10-08T00:00:00"/>
    <x v="5"/>
    <n v="3000"/>
    <m/>
    <s v="bricks karaya"/>
    <s v="Bank"/>
    <m/>
  </r>
  <r>
    <d v="2025-10-08T00:00:00"/>
    <x v="18"/>
    <n v="8800"/>
    <m/>
    <s v="Starch"/>
    <s v="Bank"/>
    <m/>
  </r>
  <r>
    <d v="2025-10-08T00:00:00"/>
    <x v="5"/>
    <n v="520"/>
    <m/>
    <s v="parts karay"/>
    <s v="Bank"/>
    <m/>
  </r>
  <r>
    <d v="2025-10-09T00:00:00"/>
    <x v="20"/>
    <m/>
    <n v="553266"/>
    <s v="60506 gaz lot"/>
    <s v="Bank"/>
    <m/>
  </r>
  <r>
    <d v="2025-10-09T00:00:00"/>
    <x v="18"/>
    <n v="80600"/>
    <m/>
    <s v="Starch"/>
    <s v="Bank"/>
    <m/>
  </r>
  <r>
    <d v="2025-10-09T00:00:00"/>
    <x v="8"/>
    <m/>
    <n v="1600"/>
    <s v="engine oil"/>
    <s v="Bank"/>
    <m/>
  </r>
  <r>
    <d v="2025-10-09T00:00:00"/>
    <x v="9"/>
    <n v="1600"/>
    <m/>
    <s v="engine oil"/>
    <s v="Bank"/>
    <m/>
  </r>
  <r>
    <d v="2025-10-10T00:00:00"/>
    <x v="22"/>
    <m/>
    <n v="250000"/>
    <s v="cheque( 00000007)"/>
    <s v="Bank"/>
    <m/>
  </r>
  <r>
    <d v="2025-10-10T00:00:00"/>
    <x v="22"/>
    <m/>
    <n v="250000"/>
    <s v="cheque( 00000008)"/>
    <s v="Bank"/>
    <m/>
  </r>
  <r>
    <d v="2025-10-09T00:00:00"/>
    <x v="31"/>
    <n v="500000"/>
    <m/>
    <s v="Against Cheque (Badshah)"/>
    <s v="Bank"/>
    <m/>
  </r>
  <r>
    <d v="2025-10-09T00:00:00"/>
    <x v="11"/>
    <n v="9000"/>
    <m/>
    <s v="compressor"/>
    <s v="Bank"/>
    <m/>
  </r>
  <r>
    <d v="2025-10-09T00:00:00"/>
    <x v="28"/>
    <n v="197150"/>
    <m/>
    <s v="2nd wood"/>
    <s v="Bank"/>
    <m/>
  </r>
  <r>
    <d v="2025-10-09T00:00:00"/>
    <x v="14"/>
    <n v="70000"/>
    <m/>
    <m/>
    <s v="Bank"/>
    <m/>
  </r>
  <r>
    <d v="2025-10-09T00:00:00"/>
    <x v="26"/>
    <m/>
    <m/>
    <m/>
    <s v="transfer"/>
    <n v="170000"/>
  </r>
  <r>
    <d v="2025-10-09T00:00:00"/>
    <x v="9"/>
    <n v="6440"/>
    <m/>
    <m/>
    <s v="Bank"/>
    <m/>
  </r>
  <r>
    <d v="2025-10-09T00:00:00"/>
    <x v="7"/>
    <n v="1500"/>
    <m/>
    <s v="Habib"/>
    <s v="Cash"/>
    <m/>
  </r>
  <r>
    <d v="2025-10-09T00:00:00"/>
    <x v="7"/>
    <n v="500"/>
    <m/>
    <s v="Anayat"/>
    <s v="Cash"/>
    <m/>
  </r>
  <r>
    <d v="2025-10-09T00:00:00"/>
    <x v="10"/>
    <n v="5300"/>
    <m/>
    <s v="mazdoor"/>
    <s v="Bank"/>
    <m/>
  </r>
  <r>
    <d v="2025-10-09T00:00:00"/>
    <x v="17"/>
    <n v="20000"/>
    <m/>
    <s v="Atta"/>
    <s v="Bank"/>
    <m/>
  </r>
  <r>
    <d v="2025-10-09T00:00:00"/>
    <x v="12"/>
    <n v="50000"/>
    <m/>
    <s v="Khalid Sahab"/>
    <s v="Cash"/>
    <m/>
  </r>
  <r>
    <d v="2025-10-09T00:00:00"/>
    <x v="12"/>
    <n v="80000"/>
    <m/>
    <s v="Master Akbar"/>
    <s v="Cash"/>
    <m/>
  </r>
  <r>
    <d v="2025-10-09T00:00:00"/>
    <x v="12"/>
    <n v="50000"/>
    <m/>
    <s v="Waqas"/>
    <s v="Cash"/>
    <m/>
  </r>
  <r>
    <d v="2025-10-09T00:00:00"/>
    <x v="10"/>
    <n v="3000"/>
    <m/>
    <s v="pizza x4"/>
    <s v="Bank"/>
    <m/>
  </r>
  <r>
    <d v="2025-10-09T00:00:00"/>
    <x v="10"/>
    <n v="2640"/>
    <m/>
    <s v="KFC"/>
    <s v="Bank"/>
    <m/>
  </r>
  <r>
    <d v="2025-10-09T00:00:00"/>
    <x v="5"/>
    <n v="140"/>
    <m/>
    <s v="food (self)"/>
    <s v="Bank"/>
    <m/>
  </r>
  <r>
    <d v="2025-10-09T00:00:00"/>
    <x v="26"/>
    <m/>
    <m/>
    <m/>
    <s v="transfer"/>
    <n v="9000"/>
  </r>
  <r>
    <d v="2025-10-09T00:00:00"/>
    <x v="5"/>
    <n v="1710"/>
    <m/>
    <m/>
    <s v="Bank"/>
    <m/>
  </r>
  <r>
    <d v="2025-10-09T00:00:00"/>
    <x v="8"/>
    <m/>
    <n v="1710"/>
    <m/>
    <s v="Bank"/>
    <m/>
  </r>
  <r>
    <d v="2025-10-09T00:00:00"/>
    <x v="11"/>
    <n v="5940"/>
    <m/>
    <m/>
    <s v="Bank"/>
    <m/>
  </r>
  <r>
    <d v="2025-10-09T00:00:00"/>
    <x v="8"/>
    <m/>
    <n v="5940"/>
    <m/>
    <s v="Bank"/>
    <m/>
  </r>
  <r>
    <d v="2025-10-09T00:00:00"/>
    <x v="13"/>
    <n v="106500"/>
    <n v="106500"/>
    <m/>
    <s v="Bank"/>
    <m/>
  </r>
  <r>
    <d v="2025-10-09T00:00:00"/>
    <x v="8"/>
    <n v="106500"/>
    <n v="106500"/>
    <s v="Dyes"/>
    <s v="Bank"/>
    <m/>
  </r>
  <r>
    <d v="2025-10-10T00:00:00"/>
    <x v="4"/>
    <m/>
    <n v="200000"/>
    <m/>
    <s v="Bank"/>
    <m/>
  </r>
  <r>
    <d v="2025-10-10T00:00:00"/>
    <x v="2"/>
    <n v="201255"/>
    <m/>
    <s v="BAHL"/>
    <s v="Bank"/>
    <m/>
  </r>
  <r>
    <d v="2025-10-10T00:00:00"/>
    <x v="10"/>
    <n v="1500"/>
    <m/>
    <s v="grocceries"/>
    <s v="Cash"/>
    <m/>
  </r>
  <r>
    <d v="2025-10-10T00:00:00"/>
    <x v="10"/>
    <n v="15300"/>
    <m/>
    <s v="hooria exam"/>
    <s v="Bank"/>
    <m/>
  </r>
  <r>
    <d v="2025-10-10T00:00:00"/>
    <x v="10"/>
    <n v="4471"/>
    <m/>
    <s v="optix"/>
    <s v="Bank"/>
    <m/>
  </r>
  <r>
    <d v="2025-10-11T00:00:00"/>
    <x v="10"/>
    <n v="650"/>
    <m/>
    <s v="medicine "/>
    <s v="Cash"/>
    <m/>
  </r>
  <r>
    <d v="2025-10-11T00:00:00"/>
    <x v="8"/>
    <m/>
    <n v="67500"/>
    <s v="BP26"/>
    <s v="Bank"/>
    <m/>
  </r>
  <r>
    <d v="2025-10-11T00:00:00"/>
    <x v="18"/>
    <n v="67500"/>
    <m/>
    <s v="BP26"/>
    <s v="Bank"/>
    <m/>
  </r>
  <r>
    <d v="2025-10-12T00:00:00"/>
    <x v="8"/>
    <m/>
    <n v="55000"/>
    <s v="TID:556450"/>
    <s v="Bank"/>
    <m/>
  </r>
  <r>
    <d v="2025-10-12T00:00:00"/>
    <x v="2"/>
    <n v="43600"/>
    <m/>
    <s v="RB 162"/>
    <s v="Bank"/>
    <m/>
  </r>
  <r>
    <d v="2025-10-11T00:00:00"/>
    <x v="18"/>
    <n v="155000"/>
    <m/>
    <s v="Starch"/>
    <s v="Bank"/>
    <m/>
  </r>
  <r>
    <d v="2025-10-11T00:00:00"/>
    <x v="8"/>
    <m/>
    <n v="155000"/>
    <s v="Starch"/>
    <s v="Bank"/>
    <m/>
  </r>
  <r>
    <d v="2025-10-11T00:00:00"/>
    <x v="32"/>
    <n v="60000"/>
    <m/>
    <s v="Acc nill"/>
    <s v="Bank"/>
    <m/>
  </r>
  <r>
    <d v="2025-10-11T00:00:00"/>
    <x v="8"/>
    <m/>
    <n v="60000"/>
    <s v="AS traders"/>
    <s v="Bank"/>
    <m/>
  </r>
  <r>
    <d v="2025-10-12T00:00:00"/>
    <x v="7"/>
    <n v="5000"/>
    <m/>
    <s v="Master Tanveer"/>
    <s v="Bank"/>
    <m/>
  </r>
  <r>
    <m/>
    <x v="33"/>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361230.797366496"/>
    <n v="10"/>
    <n v="3612692.0263350406"/>
  </r>
  <r>
    <x v="1"/>
    <n v="59466.898317483545"/>
    <n v="10"/>
    <n v="624464.15508412581"/>
  </r>
  <r>
    <x v="2"/>
    <n v="66144.842721287496"/>
    <n v="10"/>
    <n v="691036.94220921735"/>
  </r>
  <r>
    <x v="3"/>
    <n v="13635.6986100951"/>
    <n v="10.5"/>
    <n v="143174.83540599854"/>
  </r>
  <r>
    <x v="4"/>
    <n v="381209.76591075351"/>
    <n v="10"/>
    <n v="4037534.7476225314"/>
  </r>
  <r>
    <x v="5"/>
    <n v="130361.1923920995"/>
    <n v="10"/>
    <n v="1303611.9239209951"/>
  </r>
  <r>
    <x v="6"/>
    <n v="23509.509875640091"/>
    <n v="10"/>
    <n v="235095.09875640093"/>
  </r>
  <r>
    <x v="7"/>
    <n v="96059.802487198249"/>
    <n v="10"/>
    <n v="960598.02487198252"/>
  </r>
  <r>
    <x v="8"/>
    <n v="15599.853694220923"/>
    <n v="10"/>
    <n v="155998.53694220923"/>
  </r>
  <r>
    <x v="9"/>
    <n v="0"/>
    <n v="12"/>
    <n v="0"/>
  </r>
  <r>
    <x v="10"/>
    <n v="24747.622531089979"/>
    <m/>
    <n v="247476.22531089978"/>
  </r>
  <r>
    <x v="11"/>
    <n v="233938.36869056331"/>
    <m/>
    <n v="2427723.1163130947"/>
  </r>
  <r>
    <x v="12"/>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r>
    <x v="5"/>
    <s v="Black"/>
    <n v="2"/>
    <n v="920"/>
    <n v="46000"/>
    <x v="2"/>
    <n v="46000"/>
    <n v="0"/>
    <m/>
  </r>
  <r>
    <x v="5"/>
    <s v="Rubine B"/>
    <n v="1"/>
    <n v="1120"/>
    <n v="28000"/>
    <x v="2"/>
    <n v="28000"/>
    <n v="0"/>
    <m/>
  </r>
  <r>
    <x v="5"/>
    <s v="Yellow 4G"/>
    <n v="1"/>
    <n v="1300"/>
    <n v="32500"/>
    <x v="2"/>
    <n v="32500"/>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8"/>
    <x v="2"/>
    <x v="3"/>
    <m/>
    <m/>
    <m/>
    <n v="0"/>
    <n v="50000"/>
    <n v="-5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r>
    <x v="15"/>
    <x v="0"/>
    <x v="19"/>
    <n v="295"/>
    <n v="765"/>
    <n v="40000"/>
    <n v="225675"/>
    <n v="402560"/>
    <n v="-176885"/>
  </r>
  <r>
    <x v="15"/>
    <x v="0"/>
    <x v="20"/>
    <n v="376"/>
    <n v="810"/>
    <n v="62410"/>
    <n v="304560"/>
    <m/>
    <n v="304560"/>
  </r>
  <r>
    <x v="16"/>
    <x v="0"/>
    <x v="21"/>
    <n v="244"/>
    <n v="810"/>
    <n v="39200"/>
    <n v="197640"/>
    <n v="384740"/>
    <n v="-187100"/>
  </r>
  <r>
    <x v="16"/>
    <x v="0"/>
    <x v="22"/>
    <n v="275"/>
    <n v="810"/>
    <n v="44420"/>
    <n v="222750"/>
    <m/>
    <n v="222750"/>
  </r>
  <r>
    <x v="14"/>
    <x v="2"/>
    <x v="3"/>
    <n v="41"/>
    <n v="580"/>
    <m/>
    <n v="23780"/>
    <m/>
    <n v="23780"/>
  </r>
  <r>
    <x v="14"/>
    <x v="3"/>
    <x v="23"/>
    <n v="285"/>
    <n v="775"/>
    <m/>
    <n v="220875"/>
    <m/>
    <n v="220875"/>
  </r>
  <r>
    <x v="16"/>
    <x v="2"/>
    <x v="3"/>
    <m/>
    <m/>
    <m/>
    <n v="0"/>
    <n v="125000"/>
    <n v="-125000"/>
  </r>
  <r>
    <x v="17"/>
    <x v="0"/>
    <x v="24"/>
    <n v="210"/>
    <n v="810"/>
    <n v="34500"/>
    <n v="170100"/>
    <n v="429370"/>
    <n v="-259270"/>
  </r>
  <r>
    <x v="17"/>
    <x v="0"/>
    <x v="25"/>
    <n v="443"/>
    <n v="810"/>
    <n v="92470"/>
    <n v="358830"/>
    <m/>
    <n v="358830"/>
  </r>
  <r>
    <x v="18"/>
    <x v="0"/>
    <x v="26"/>
    <n v="248"/>
    <n v="810"/>
    <n v="41720"/>
    <n v="200880"/>
    <n v="41720"/>
    <n v="159160"/>
  </r>
  <r>
    <x v="18"/>
    <x v="3"/>
    <x v="27"/>
    <n v="256"/>
    <n v="775"/>
    <m/>
    <n v="198400"/>
    <m/>
    <n v="198400"/>
  </r>
  <r>
    <x v="19"/>
    <x v="0"/>
    <x v="3"/>
    <m/>
    <m/>
    <m/>
    <n v="0"/>
    <n v="300900"/>
    <n v="-300900"/>
  </r>
  <r>
    <x v="20"/>
    <x v="3"/>
    <x v="3"/>
    <m/>
    <m/>
    <m/>
    <n v="0"/>
    <n v="219875"/>
    <n v="-219875"/>
  </r>
  <r>
    <x v="20"/>
    <x v="0"/>
    <x v="28"/>
    <n v="292"/>
    <n v="765"/>
    <n v="30868"/>
    <n v="223380"/>
    <n v="141518"/>
    <n v="81862"/>
  </r>
  <r>
    <x v="20"/>
    <x v="0"/>
    <x v="29"/>
    <n v="439"/>
    <n v="810"/>
    <n v="68150"/>
    <n v="355590"/>
    <m/>
    <n v="355590"/>
  </r>
  <r>
    <x v="20"/>
    <x v="0"/>
    <x v="30"/>
    <n v="261"/>
    <n v="810"/>
    <n v="42500"/>
    <n v="211410"/>
    <m/>
    <n v="211410"/>
  </r>
  <r>
    <x v="21"/>
    <x v="0"/>
    <x v="3"/>
    <m/>
    <m/>
    <m/>
    <n v="0"/>
    <n v="452300"/>
    <n v="-452300"/>
  </r>
  <r>
    <x v="22"/>
    <x v="4"/>
    <x v="31"/>
    <n v="336"/>
    <n v="765"/>
    <m/>
    <n v="257040"/>
    <n v="256040"/>
    <n v="1000"/>
  </r>
  <r>
    <x v="22"/>
    <x v="3"/>
    <x v="32"/>
    <n v="269"/>
    <n v="775"/>
    <m/>
    <n v="208475"/>
    <n v="0"/>
    <n v="208475"/>
  </r>
  <r>
    <x v="22"/>
    <x v="5"/>
    <x v="33"/>
    <m/>
    <m/>
    <m/>
    <n v="0"/>
    <n v="50000"/>
    <n v="-50000"/>
  </r>
  <r>
    <x v="22"/>
    <x v="0"/>
    <x v="3"/>
    <m/>
    <m/>
    <m/>
    <n v="0"/>
    <n v="303003"/>
    <n v="-303003"/>
  </r>
  <r>
    <x v="23"/>
    <x v="0"/>
    <x v="3"/>
    <m/>
    <m/>
    <m/>
    <n v="0"/>
    <n v="201255"/>
    <n v="-201255"/>
  </r>
  <r>
    <x v="24"/>
    <x v="0"/>
    <x v="11"/>
    <n v="260"/>
    <n v="810"/>
    <n v="43600"/>
    <n v="210600"/>
    <n v="43600"/>
    <n v="16700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3"/>
    <x v="0"/>
    <x v="11"/>
    <s v="Chamki"/>
    <x v="7"/>
    <m/>
    <m/>
    <e v="#DIV/0!"/>
    <n v="0"/>
    <n v="0"/>
    <m/>
  </r>
  <r>
    <x v="3"/>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4"/>
    <x v="0"/>
    <x v="15"/>
    <s v="Chamki"/>
    <x v="11"/>
    <n v="30808"/>
    <n v="6883"/>
    <n v="1.557148819115568"/>
    <n v="6293.8917337234825"/>
    <n v="62938.917337234823"/>
    <m/>
  </r>
  <r>
    <x v="4"/>
    <x v="0"/>
    <x v="16"/>
    <s v="Chamki"/>
    <x v="7"/>
    <m/>
    <m/>
    <e v="#DIV/0!"/>
    <n v="0"/>
    <n v="0"/>
    <m/>
  </r>
  <r>
    <x v="4"/>
    <x v="0"/>
    <x v="17"/>
    <s v="Chamki"/>
    <x v="7"/>
    <m/>
    <m/>
    <e v="#DIV/0!"/>
    <n v="0"/>
    <n v="0"/>
    <m/>
  </r>
  <r>
    <x v="4"/>
    <x v="7"/>
    <x v="18"/>
    <s v="Chamki"/>
    <x v="9"/>
    <n v="33379"/>
    <n v="10423"/>
    <n v="1.8362034941172141"/>
    <n v="9530.9070958302855"/>
    <n v="95309.070958302851"/>
    <m/>
  </r>
  <r>
    <x v="4"/>
    <x v="7"/>
    <x v="19"/>
    <s v="Chamki"/>
    <x v="9"/>
    <n v="33379"/>
    <n v="22769"/>
    <n v="1.8362034941172141"/>
    <n v="20820.226773957573"/>
    <n v="208202.26773957573"/>
    <m/>
  </r>
  <r>
    <x v="4"/>
    <x v="5"/>
    <x v="20"/>
    <s v="Chamki"/>
    <x v="10"/>
    <n v="25625"/>
    <n v="25407"/>
    <n v="1.5219369457776395"/>
    <n v="23232.44330651061"/>
    <n v="232324.4330651061"/>
    <m/>
  </r>
  <r>
    <x v="4"/>
    <x v="0"/>
    <x v="21"/>
    <s v="Chamki"/>
    <x v="7"/>
    <m/>
    <m/>
    <e v="#DIV/0!"/>
    <n v="0"/>
    <n v="0"/>
    <m/>
  </r>
  <r>
    <x v="5"/>
    <x v="6"/>
    <x v="22"/>
    <s v="Chamki"/>
    <x v="12"/>
    <n v="23958"/>
    <n v="25710"/>
    <n v="1.8719848249432829"/>
    <n v="23509.509875640091"/>
    <n v="235095.09875640093"/>
    <m/>
  </r>
  <r>
    <x v="5"/>
    <x v="4"/>
    <x v="23"/>
    <s v="Chamki"/>
    <x v="13"/>
    <n v="16582"/>
    <n v="18018"/>
    <n v="0.64009440084376479"/>
    <n v="16475.859546452088"/>
    <n v="148282.73591806879"/>
    <m/>
  </r>
  <r>
    <x v="5"/>
    <x v="4"/>
    <x v="24"/>
    <s v="Chamki"/>
    <x v="14"/>
    <n v="100795"/>
    <n v="52061"/>
    <n v="1.3412137225226104"/>
    <n v="47605.157278712511"/>
    <n v="428446.41550841258"/>
    <m/>
  </r>
  <r>
    <x v="5"/>
    <x v="4"/>
    <x v="25"/>
    <s v="Chamki"/>
    <x v="14"/>
    <n v="100795"/>
    <n v="45821"/>
    <n v="1.3412137225226104"/>
    <n v="41899.231894659846"/>
    <n v="377093.08705193864"/>
    <m/>
  </r>
  <r>
    <x v="6"/>
    <x v="11"/>
    <x v="26"/>
    <s v="Chamki"/>
    <x v="15"/>
    <n v="54293"/>
    <n v="41491"/>
    <n v="2.3795014212824981"/>
    <n v="37939.831748354067"/>
    <n v="379398.31748354068"/>
    <m/>
  </r>
  <r>
    <x v="6"/>
    <x v="11"/>
    <x v="27"/>
    <s v="Chamki"/>
    <x v="16"/>
    <n v="21346"/>
    <n v="7116"/>
    <n v="1.8505220462438672"/>
    <n v="6506.9495245062189"/>
    <n v="65069.495245062193"/>
    <m/>
  </r>
  <r>
    <x v="6"/>
    <x v="0"/>
    <x v="28"/>
    <s v="Chamki"/>
    <x v="7"/>
    <m/>
    <m/>
    <e v="#DIV/0!"/>
    <n v="0"/>
    <n v="0"/>
    <m/>
  </r>
  <r>
    <x v="6"/>
    <x v="4"/>
    <x v="29"/>
    <s v="Chamki"/>
    <x v="14"/>
    <n v="100795"/>
    <n v="10869"/>
    <n v="1.3412137225226104"/>
    <n v="9938.7344550109738"/>
    <n v="89448.61009509876"/>
    <m/>
  </r>
  <r>
    <x v="7"/>
    <x v="4"/>
    <x v="30"/>
    <s v="Silky"/>
    <x v="17"/>
    <n v="33574"/>
    <n v="35692"/>
    <n v="2.790368535515924"/>
    <n v="32637.161667885885"/>
    <n v="391645.94001463061"/>
    <m/>
  </r>
  <r>
    <x v="7"/>
    <x v="4"/>
    <x v="31"/>
    <s v="Silky"/>
    <x v="18"/>
    <n v="25839"/>
    <n v="28089"/>
    <n v="0.59640880719001643"/>
    <n v="25684.893928310172"/>
    <n v="308218.72713972209"/>
    <m/>
  </r>
  <r>
    <x v="7"/>
    <x v="4"/>
    <x v="32"/>
    <s v="Silky"/>
    <x v="19"/>
    <n v="13580"/>
    <n v="14996"/>
    <n v="-0.97576689330776389"/>
    <n v="13712.509144111194"/>
    <n v="164550.10972933433"/>
    <m/>
  </r>
  <r>
    <x v="7"/>
    <x v="2"/>
    <x v="33"/>
    <s v="Silky"/>
    <x v="20"/>
    <n v="14869"/>
    <n v="13485"/>
    <n v="0.50267335953205361"/>
    <n v="12330.833942940748"/>
    <n v="147970.00731528897"/>
    <m/>
  </r>
  <r>
    <x v="7"/>
    <x v="4"/>
    <x v="34"/>
    <s v="Silky"/>
    <x v="21"/>
    <n v="13899"/>
    <n v="15066"/>
    <n v="0.88122942328269005"/>
    <n v="13776.517922457939"/>
    <n v="165318.21506949526"/>
    <m/>
  </r>
  <r>
    <x v="7"/>
    <x v="2"/>
    <x v="35"/>
    <s v="Silky"/>
    <x v="20"/>
    <n v="14869"/>
    <n v="2694"/>
    <n v="0.50267335953205361"/>
    <n v="2463.4235552304317"/>
    <n v="29561.08266276518"/>
    <m/>
  </r>
  <r>
    <x v="8"/>
    <x v="11"/>
    <x v="36"/>
    <s v="Silky"/>
    <x v="22"/>
    <n v="30434"/>
    <n v="32937"/>
    <n v="1.038447018525801"/>
    <n v="30117.95903438186"/>
    <n v="361415.50841258233"/>
    <m/>
  </r>
  <r>
    <x v="8"/>
    <x v="0"/>
    <x v="37"/>
    <s v="Chamki"/>
    <x v="23"/>
    <n v="32916"/>
    <n v="25630"/>
    <n v="0.57209755532092288"/>
    <n v="23436.356986100953"/>
    <n v="234363.56986100954"/>
    <m/>
  </r>
  <r>
    <x v="8"/>
    <x v="3"/>
    <x v="38"/>
    <s v="Chamki"/>
    <x v="24"/>
    <n v="9911"/>
    <n v="10710"/>
    <n v="1.1871346276668362"/>
    <n v="9793.3430870519387"/>
    <n v="102830.10241404535"/>
    <m/>
  </r>
  <r>
    <x v="9"/>
    <x v="0"/>
    <x v="39"/>
    <s v="Chamki"/>
    <x v="23"/>
    <n v="32916"/>
    <n v="10161"/>
    <n v="0.57209755532092288"/>
    <n v="9291.331382589613"/>
    <n v="92913.313825896126"/>
    <m/>
  </r>
  <r>
    <x v="9"/>
    <x v="0"/>
    <x v="40"/>
    <s v="Chamki"/>
    <x v="25"/>
    <n v="19125"/>
    <n v="20984"/>
    <n v="-0.32942706465664173"/>
    <n v="19188.002926115583"/>
    <n v="191880.02926115584"/>
    <m/>
  </r>
  <r>
    <x v="9"/>
    <x v="0"/>
    <x v="41"/>
    <s v="Chamki"/>
    <x v="26"/>
    <n v="17080"/>
    <n v="13939"/>
    <n v="1.5616086097695785"/>
    <n v="12745.976591075349"/>
    <n v="127459.76591075349"/>
    <m/>
  </r>
  <r>
    <x v="9"/>
    <x v="0"/>
    <x v="42"/>
    <s v="Silky"/>
    <x v="27"/>
    <n v="190"/>
    <n v="210"/>
    <n v="-1.0664921264389875"/>
    <n v="192.0263350402341"/>
    <n v="2304.3160204828091"/>
    <m/>
  </r>
  <r>
    <x v="9"/>
    <x v="7"/>
    <x v="43"/>
    <s v="Chamki"/>
    <x v="28"/>
    <n v="29554"/>
    <n v="19288"/>
    <n v="1.6158734196102102"/>
    <n v="17637.161667885885"/>
    <n v="176371.61667885885"/>
    <m/>
  </r>
  <r>
    <x v="10"/>
    <x v="7"/>
    <x v="44"/>
    <s v="Chamki"/>
    <x v="28"/>
    <n v="29554"/>
    <n v="12510"/>
    <n v="1.6158734196102102"/>
    <n v="11439.283101682517"/>
    <n v="114392.83101682516"/>
    <m/>
  </r>
  <r>
    <x v="10"/>
    <x v="11"/>
    <x v="45"/>
    <s v="Chamki"/>
    <x v="15"/>
    <n v="54293"/>
    <n v="16471"/>
    <n v="2.3795014212824981"/>
    <n v="15061.265544989028"/>
    <n v="150612.65544989027"/>
    <m/>
  </r>
  <r>
    <x v="10"/>
    <x v="11"/>
    <x v="46"/>
    <s v="Chamki"/>
    <x v="29"/>
    <n v="10376"/>
    <n v="11222"/>
    <n v="1.1033001146644636"/>
    <n v="10261.521580102415"/>
    <n v="102615.21580102415"/>
    <m/>
  </r>
  <r>
    <x v="10"/>
    <x v="11"/>
    <x v="47"/>
    <s v="Chamki"/>
    <x v="16"/>
    <n v="21346"/>
    <n v="15796"/>
    <n v="1.8505220462438672"/>
    <n v="14444.038039502562"/>
    <n v="144440.38039502563"/>
    <m/>
  </r>
  <r>
    <x v="10"/>
    <x v="1"/>
    <x v="48"/>
    <s v="Chamki"/>
    <x v="30"/>
    <n v="28470"/>
    <n v="17234"/>
    <n v="2.0677575106331147"/>
    <n v="15758.961228968546"/>
    <n v="157589.61228968546"/>
    <m/>
  </r>
  <r>
    <x v="10"/>
    <x v="1"/>
    <x v="49"/>
    <s v="Chamki"/>
    <x v="30"/>
    <n v="28470"/>
    <n v="13257"/>
    <n v="2.0677575106331147"/>
    <n v="12122.348207754207"/>
    <n v="121223.48207754207"/>
    <m/>
  </r>
  <r>
    <x v="10"/>
    <x v="0"/>
    <x v="50"/>
    <s v="Chamki"/>
    <x v="26"/>
    <n v="17080"/>
    <n v="4448"/>
    <n v="1.5616086097695785"/>
    <n v="4067.3006583760061"/>
    <n v="40673.006583760063"/>
    <m/>
  </r>
  <r>
    <x v="11"/>
    <x v="0"/>
    <x v="51"/>
    <s v="Chamki"/>
    <x v="31"/>
    <n v="5818"/>
    <n v="1850"/>
    <n v="3.9381099898581624"/>
    <n v="1691.6605705925385"/>
    <n v="16916.605705925387"/>
    <m/>
  </r>
  <r>
    <x v="11"/>
    <x v="0"/>
    <x v="52"/>
    <s v="Chamki"/>
    <x v="32"/>
    <n v="12019"/>
    <n v="12863"/>
    <n v="2.1376967570183893"/>
    <n v="11762.070226773958"/>
    <n v="117620.70226773957"/>
    <m/>
  </r>
  <r>
    <x v="11"/>
    <x v="0"/>
    <x v="53"/>
    <s v="Chamki"/>
    <x v="31"/>
    <n v="5818"/>
    <n v="4262"/>
    <n v="3.9381099898581624"/>
    <n v="3897.2201901975131"/>
    <n v="38972.201901975131"/>
    <m/>
  </r>
  <r>
    <x v="11"/>
    <x v="0"/>
    <x v="54"/>
    <s v="Chamki"/>
    <x v="33"/>
    <n v="3843"/>
    <n v="4440"/>
    <n v="-5.6462495295886725"/>
    <n v="4059.9853694220924"/>
    <n v="40599.853694220925"/>
    <m/>
  </r>
  <r>
    <x v="11"/>
    <x v="2"/>
    <x v="55"/>
    <s v="Chamki"/>
    <x v="34"/>
    <n v="30199"/>
    <n v="16998"/>
    <n v="3.0904073934536882"/>
    <n v="15543.160204828093"/>
    <n v="155431.60204828094"/>
    <m/>
  </r>
  <r>
    <x v="11"/>
    <x v="2"/>
    <x v="56"/>
    <s v="Chamki"/>
    <x v="34"/>
    <n v="30199"/>
    <n v="15007"/>
    <n v="3.0904073934536882"/>
    <n v="13722.567666422825"/>
    <n v="137225.67666422826"/>
    <m/>
  </r>
  <r>
    <x v="11"/>
    <x v="5"/>
    <x v="57"/>
    <s v="Chamki"/>
    <x v="35"/>
    <n v="50317"/>
    <n v="36453"/>
    <n v="1.0298118851136309"/>
    <n v="33333.028529626921"/>
    <n v="333330.28529626923"/>
    <m/>
  </r>
  <r>
    <x v="11"/>
    <x v="5"/>
    <x v="58"/>
    <s v="Chamki"/>
    <x v="35"/>
    <n v="50317"/>
    <n v="18007"/>
    <n v="1.0298118851136309"/>
    <n v="16465.801024140455"/>
    <n v="164658.01024140455"/>
    <m/>
  </r>
  <r>
    <x v="12"/>
    <x v="4"/>
    <x v="59"/>
    <s v="Silky"/>
    <x v="36"/>
    <n v="25118"/>
    <n v="19462"/>
    <n v="3.6369841298594991"/>
    <n v="17796.269202633506"/>
    <n v="213555.23043160207"/>
    <m/>
  </r>
  <r>
    <x v="12"/>
    <x v="4"/>
    <x v="60"/>
    <s v="Silky"/>
    <x v="36"/>
    <n v="25118"/>
    <n v="2846"/>
    <n v="3.6369841298594991"/>
    <n v="2602.4140453547916"/>
    <n v="31228.968544257499"/>
    <m/>
  </r>
  <r>
    <x v="12"/>
    <x v="4"/>
    <x v="61"/>
    <s v="Silky"/>
    <x v="37"/>
    <n v="9526"/>
    <n v="8529"/>
    <n v="-0.37788236284295351"/>
    <n v="7799.0124359912224"/>
    <n v="93588.149231894669"/>
    <m/>
  </r>
  <r>
    <x v="12"/>
    <x v="4"/>
    <x v="62"/>
    <s v="Silky"/>
    <x v="38"/>
    <n v="15626"/>
    <n v="13770"/>
    <n v="1.1387338510993743"/>
    <n v="12591.441111923921"/>
    <n v="151097.29334308705"/>
    <m/>
  </r>
  <r>
    <x v="12"/>
    <x v="4"/>
    <x v="63"/>
    <s v="Silky"/>
    <x v="39"/>
    <n v="11093"/>
    <n v="9238"/>
    <n v="2.5991004693905495"/>
    <n v="8447.3299195318214"/>
    <n v="101367.95903438186"/>
    <m/>
  </r>
  <r>
    <x v="12"/>
    <x v="4"/>
    <x v="64"/>
    <s v="Silky"/>
    <x v="40"/>
    <n v="7371"/>
    <n v="6756"/>
    <n v="-0.9809593081965744"/>
    <n v="6177.7615215801034"/>
    <n v="74133.138258961233"/>
    <m/>
  </r>
  <r>
    <x v="12"/>
    <x v="4"/>
    <x v="65"/>
    <s v="Silky"/>
    <x v="38"/>
    <n v="15626"/>
    <n v="3124"/>
    <n v="1.1387338510993743"/>
    <n v="2856.620336503292"/>
    <n v="34279.444038039503"/>
    <m/>
  </r>
  <r>
    <x v="12"/>
    <x v="4"/>
    <x v="66"/>
    <s v="Silky"/>
    <x v="37"/>
    <n v="9526"/>
    <n v="1928"/>
    <n v="-0.37788236284295351"/>
    <n v="1762.984637893197"/>
    <n v="21155.815654718364"/>
    <m/>
  </r>
  <r>
    <x v="12"/>
    <x v="4"/>
    <x v="67"/>
    <s v="Silky"/>
    <x v="39"/>
    <n v="11093"/>
    <n v="2578"/>
    <n v="2.5991004693905495"/>
    <n v="2357.3518653986835"/>
    <n v="28288.222384784203"/>
    <m/>
  </r>
  <r>
    <x v="12"/>
    <x v="4"/>
    <x v="68"/>
    <s v="Silky"/>
    <x v="36"/>
    <n v="25118"/>
    <n v="4162"/>
    <n v="3.6369841298594991"/>
    <n v="3805.7790782735919"/>
    <n v="45669.348939283103"/>
    <m/>
  </r>
  <r>
    <x v="12"/>
    <x v="4"/>
    <x v="69"/>
    <s v="Silky"/>
    <x v="40"/>
    <n v="7371"/>
    <n v="1384"/>
    <n v="-0.9809593081965744"/>
    <n v="1265.5449890270668"/>
    <n v="15186.539868324802"/>
    <m/>
  </r>
  <r>
    <x v="12"/>
    <x v="11"/>
    <x v="70"/>
    <s v="Silky"/>
    <x v="41"/>
    <n v="14459"/>
    <n v="15367"/>
    <n v="2.8165456162325171"/>
    <n v="14051.755669348941"/>
    <n v="168621.06803218729"/>
    <m/>
  </r>
  <r>
    <x v="12"/>
    <x v="12"/>
    <x v="71"/>
    <m/>
    <x v="0"/>
    <m/>
    <m/>
    <e v="#DIV/0!"/>
    <n v="0"/>
    <m/>
    <m/>
  </r>
  <r>
    <x v="12"/>
    <x v="1"/>
    <x v="72"/>
    <s v="Silky"/>
    <x v="42"/>
    <n v="15029"/>
    <n v="8722"/>
    <n v="0.87440312299413847"/>
    <n v="7975.4937820043897"/>
    <n v="95705.92538405268"/>
    <m/>
  </r>
  <r>
    <x v="12"/>
    <x v="1"/>
    <x v="73"/>
    <s v="Silky"/>
    <x v="42"/>
    <n v="15029"/>
    <n v="7570"/>
    <n v="0.87440312299413847"/>
    <n v="6922.0921726408196"/>
    <n v="83065.106071689836"/>
    <m/>
  </r>
  <r>
    <x v="12"/>
    <x v="4"/>
    <x v="74"/>
    <s v="Chamki"/>
    <x v="43"/>
    <n v="12128"/>
    <n v="6580"/>
    <n v="1.275567320924992"/>
    <n v="6016.8251645940018"/>
    <n v="54151.426481346018"/>
    <m/>
  </r>
  <r>
    <x v="13"/>
    <x v="3"/>
    <x v="75"/>
    <s v="Chamki"/>
    <x v="44"/>
    <n v="3889"/>
    <n v="4202"/>
    <n v="1.1993951390290363"/>
    <n v="3842.3555230431607"/>
    <n v="40344.732991953184"/>
    <m/>
  </r>
  <r>
    <x v="13"/>
    <x v="0"/>
    <x v="76"/>
    <s v="Chamki"/>
    <x v="45"/>
    <n v="16003"/>
    <n v="12967"/>
    <n v="0.28501879745390113"/>
    <n v="11857.168983174837"/>
    <n v="118571.68983174837"/>
    <m/>
  </r>
  <r>
    <x v="13"/>
    <x v="10"/>
    <x v="77"/>
    <s v="Chamki"/>
    <x v="46"/>
    <n v="25001"/>
    <n v="15228"/>
    <n v="1.0134693368666063"/>
    <n v="13924.65252377469"/>
    <n v="139246.52523774689"/>
    <m/>
  </r>
  <r>
    <x v="13"/>
    <x v="0"/>
    <x v="78"/>
    <s v="Chamki"/>
    <x v="47"/>
    <n v="25814"/>
    <n v="16294"/>
    <n v="-0.55901004479235894"/>
    <n v="14899.414776883688"/>
    <n v="148994.14776883688"/>
    <m/>
  </r>
  <r>
    <x v="13"/>
    <x v="4"/>
    <x v="79"/>
    <s v="Chamki"/>
    <x v="48"/>
    <n v="20007"/>
    <n v="13202"/>
    <n v="0.97650167722935066"/>
    <n v="12072.055596196051"/>
    <n v="108648.50036576446"/>
    <m/>
  </r>
  <r>
    <x v="13"/>
    <x v="0"/>
    <x v="80"/>
    <s v="Chamki"/>
    <x v="45"/>
    <n v="16003"/>
    <n v="4484"/>
    <n v="0.28501879745390113"/>
    <n v="4100.2194586686173"/>
    <n v="41002.194586686172"/>
    <m/>
  </r>
  <r>
    <x v="13"/>
    <x v="0"/>
    <x v="81"/>
    <s v="Chamki"/>
    <x v="47"/>
    <n v="25814"/>
    <n v="12094"/>
    <n v="-0.55901004479235894"/>
    <n v="11058.888076079005"/>
    <n v="110588.88076079005"/>
    <m/>
  </r>
  <r>
    <x v="13"/>
    <x v="10"/>
    <x v="82"/>
    <s v="Chamki"/>
    <x v="46"/>
    <n v="25001"/>
    <n v="11836"/>
    <n v="1.0134693368666063"/>
    <n v="10822.970007315291"/>
    <n v="108229.70007315291"/>
    <m/>
  </r>
  <r>
    <x v="13"/>
    <x v="0"/>
    <x v="83"/>
    <s v="Chamki"/>
    <x v="49"/>
    <n v="30174"/>
    <n v="2505"/>
    <n v="3.4525623124478244"/>
    <n v="2290.5998536942211"/>
    <n v="22905.99853694221"/>
    <m/>
  </r>
  <r>
    <x v="14"/>
    <x v="4"/>
    <x v="84"/>
    <s v="Chamki"/>
    <x v="48"/>
    <n v="20007"/>
    <n v="8464"/>
    <n v="0.97650167722935066"/>
    <n v="7739.5757132406734"/>
    <n v="69656.181419166067"/>
    <m/>
  </r>
  <r>
    <x v="14"/>
    <x v="0"/>
    <x v="85"/>
    <s v="Chamki"/>
    <x v="49"/>
    <n v="30174"/>
    <n v="27378"/>
    <n v="3.4525623124478244"/>
    <n v="25034.747622531093"/>
    <n v="250347.47622531094"/>
    <m/>
  </r>
  <r>
    <x v="14"/>
    <x v="0"/>
    <x v="86"/>
    <s v="Chamki"/>
    <x v="50"/>
    <n v="21113"/>
    <n v="2122"/>
    <n v="1.6032481504494172"/>
    <n v="1940.3803950256038"/>
    <n v="19403.803950256039"/>
    <m/>
  </r>
  <r>
    <x v="14"/>
    <x v="5"/>
    <x v="87"/>
    <s v="Chamki"/>
    <x v="51"/>
    <n v="56411"/>
    <n v="5121"/>
    <n v="1.9209743123014249"/>
    <n v="4682.6993416239948"/>
    <n v="46826.993416239944"/>
    <m/>
  </r>
  <r>
    <x v="14"/>
    <x v="5"/>
    <x v="88"/>
    <s v="Chamki"/>
    <x v="51"/>
    <n v="56411"/>
    <n v="40366"/>
    <n v="1.9209743123014249"/>
    <n v="36911.119239209955"/>
    <n v="369111.19239209953"/>
    <m/>
  </r>
  <r>
    <x v="14"/>
    <x v="0"/>
    <x v="89"/>
    <s v="Chamki"/>
    <x v="49"/>
    <n v="30174"/>
    <n v="1976"/>
    <n v="3.4525623124478244"/>
    <n v="1806.8763716166791"/>
    <n v="18068.763716166792"/>
    <m/>
  </r>
  <r>
    <x v="15"/>
    <x v="5"/>
    <x v="90"/>
    <s v="Chamki"/>
    <x v="51"/>
    <n v="56411"/>
    <n v="15019"/>
    <n v="1.9209743123014249"/>
    <n v="13733.540599853695"/>
    <n v="137335.40599853697"/>
    <m/>
  </r>
  <r>
    <x v="15"/>
    <x v="0"/>
    <x v="91"/>
    <s v="Chamki"/>
    <x v="50"/>
    <n v="21113"/>
    <n v="13539"/>
    <n v="1.6032481504494172"/>
    <n v="12380.212143379664"/>
    <n v="123802.12143379664"/>
    <m/>
  </r>
  <r>
    <x v="15"/>
    <x v="0"/>
    <x v="92"/>
    <s v="Chamki"/>
    <x v="52"/>
    <n v="26555"/>
    <n v="13390"/>
    <n v="0.44265004916573503"/>
    <n v="12243.964886613023"/>
    <n v="122439.64886613023"/>
    <m/>
  </r>
  <r>
    <x v="15"/>
    <x v="4"/>
    <x v="93"/>
    <s v="Chamki"/>
    <x v="43"/>
    <n v="12128"/>
    <n v="1718"/>
    <n v="1.275567320924992"/>
    <n v="1570.9583028529628"/>
    <n v="14138.624725676666"/>
    <m/>
  </r>
  <r>
    <x v="15"/>
    <x v="4"/>
    <x v="94"/>
    <s v="Chamki"/>
    <x v="43"/>
    <n v="12128"/>
    <n v="4796"/>
    <n v="1.275567320924992"/>
    <n v="4385.5157278712513"/>
    <n v="39469.641550841261"/>
    <m/>
  </r>
  <r>
    <x v="15"/>
    <x v="4"/>
    <x v="95"/>
    <s v="Chamki"/>
    <x v="53"/>
    <n v="19183"/>
    <n v="15287"/>
    <n v="2.390676699883727"/>
    <n v="13978.602779809804"/>
    <n v="125807.42501828824"/>
    <m/>
  </r>
  <r>
    <x v="15"/>
    <x v="4"/>
    <x v="96"/>
    <s v="Chamki"/>
    <x v="54"/>
    <n v="10815"/>
    <n v="11620"/>
    <n v="1.7525917192822931"/>
    <n v="10625.45720555962"/>
    <n v="95629.114850036582"/>
    <m/>
  </r>
  <r>
    <x v="15"/>
    <x v="13"/>
    <x v="97"/>
    <s v="Chamki"/>
    <x v="55"/>
    <n v="50522"/>
    <n v="4282"/>
    <n v="92.249894278567169"/>
    <n v="3915.5084125822973"/>
    <n v="39155.08412582297"/>
    <m/>
  </r>
  <r>
    <x v="15"/>
    <x v="0"/>
    <x v="98"/>
    <s v="Chamki"/>
    <x v="56"/>
    <n v="2184"/>
    <n v="2298"/>
    <n v="3.7858630031270764"/>
    <n v="2101.3167520117045"/>
    <n v="21013.167520117044"/>
    <m/>
  </r>
  <r>
    <x v="16"/>
    <x v="0"/>
    <x v="99"/>
    <s v="Chamki"/>
    <x v="52"/>
    <n v="26555"/>
    <n v="15522"/>
    <n v="0.44265004916573503"/>
    <n v="14193.489392831018"/>
    <n v="141934.89392831016"/>
    <m/>
  </r>
  <r>
    <x v="16"/>
    <x v="0"/>
    <x v="100"/>
    <s v="Chamki"/>
    <x v="57"/>
    <n v="71295"/>
    <n v="27343"/>
    <n v="1.5996416590904943"/>
    <n v="25002.74323335772"/>
    <n v="250027.43233357719"/>
    <m/>
  </r>
  <r>
    <x v="16"/>
    <x v="0"/>
    <x v="101"/>
    <s v="Chamki"/>
    <x v="57"/>
    <n v="71295"/>
    <n v="18406"/>
    <n v="1.5996416590904943"/>
    <n v="16830.6510607169"/>
    <n v="168306.51060716901"/>
    <m/>
  </r>
  <r>
    <x v="16"/>
    <x v="14"/>
    <x v="102"/>
    <s v="Chamki"/>
    <x v="58"/>
    <n v="9519.0197512801769"/>
    <n v="9750"/>
    <n v="6.3400576368876074"/>
    <n v="8915.5084125822978"/>
    <n v="89155.084125822978"/>
    <m/>
  </r>
  <r>
    <x v="16"/>
    <x v="4"/>
    <x v="103"/>
    <s v="Chamki"/>
    <x v="53"/>
    <n v="19183"/>
    <n v="5190"/>
    <n v="2.390676699883727"/>
    <n v="4745.7937088515"/>
    <n v="42712.143379663503"/>
    <m/>
  </r>
  <r>
    <x v="16"/>
    <x v="4"/>
    <x v="104"/>
    <s v="Chamki"/>
    <x v="59"/>
    <n v="2025"/>
    <n v="2122"/>
    <n v="4.1787459246615555"/>
    <n v="1940.3803950256038"/>
    <n v="17463.423555230434"/>
    <m/>
  </r>
  <r>
    <x v="16"/>
    <x v="0"/>
    <x v="105"/>
    <s v="Chamki"/>
    <x v="60"/>
    <n v="32501"/>
    <n v="25630"/>
    <n v="2.1694611298550512"/>
    <n v="23436.356986100953"/>
    <n v="234363.56986100954"/>
    <m/>
  </r>
  <r>
    <x v="16"/>
    <x v="0"/>
    <x v="106"/>
    <s v="Chamki"/>
    <x v="50"/>
    <n v="21113"/>
    <n v="7058"/>
    <n v="1.6032481504494172"/>
    <n v="6453.9136795903441"/>
    <n v="64539.13679590344"/>
    <m/>
  </r>
  <r>
    <x v="16"/>
    <x v="0"/>
    <x v="107"/>
    <s v="Chamki"/>
    <x v="57"/>
    <n v="71295"/>
    <n v="22380"/>
    <n v="1.5996416590904943"/>
    <n v="20464.52084857352"/>
    <n v="204645.2084857352"/>
    <m/>
  </r>
  <r>
    <x v="17"/>
    <x v="0"/>
    <x v="108"/>
    <s v="Chamki"/>
    <x v="57"/>
    <n v="71295"/>
    <n v="8592"/>
    <n v="1.5996416590904943"/>
    <n v="7856.6203365032925"/>
    <n v="78566.203365032925"/>
    <m/>
  </r>
  <r>
    <x v="17"/>
    <x v="0"/>
    <x v="109"/>
    <s v="Chamki"/>
    <x v="60"/>
    <n v="32501"/>
    <n v="9142"/>
    <n v="2.1694611298550512"/>
    <n v="8359.5464520848582"/>
    <n v="83595.464520848589"/>
    <m/>
  </r>
  <r>
    <x v="17"/>
    <x v="11"/>
    <x v="110"/>
    <s v="Chamki"/>
    <x v="61"/>
    <n v="26073"/>
    <n v="26118"/>
    <n v="1.4429437622817431"/>
    <n v="23882.589612289688"/>
    <n v="238825.89612289687"/>
    <m/>
  </r>
  <r>
    <x v="17"/>
    <x v="11"/>
    <x v="111"/>
    <s v="Chamki"/>
    <x v="61"/>
    <n v="26073"/>
    <n v="1984"/>
    <n v="1.4429437622817431"/>
    <n v="1814.1916605705926"/>
    <n v="18141.916605705926"/>
    <m/>
  </r>
  <r>
    <x v="18"/>
    <x v="11"/>
    <x v="112"/>
    <s v="Chamki"/>
    <x v="62"/>
    <n v="45390"/>
    <n v="42155"/>
    <n v="2.6018189428109935"/>
    <n v="38547.000731528897"/>
    <n v="385470.007315289"/>
    <m/>
  </r>
  <r>
    <x v="18"/>
    <x v="11"/>
    <x v="113"/>
    <s v="Chamki"/>
    <x v="62"/>
    <n v="45390"/>
    <n v="6192"/>
    <n v="2.6018189428109935"/>
    <n v="5662.0336503291883"/>
    <n v="56620.336503291881"/>
    <m/>
  </r>
  <r>
    <x v="18"/>
    <x v="11"/>
    <x v="114"/>
    <s v="Chamki"/>
    <x v="63"/>
    <n v="9022"/>
    <n v="9808"/>
    <n v="0.59250435049688122"/>
    <n v="8968.5442574981716"/>
    <n v="89685.442574981716"/>
    <m/>
  </r>
  <r>
    <x v="18"/>
    <x v="11"/>
    <x v="115"/>
    <s v="Chamki"/>
    <x v="64"/>
    <n v="10006"/>
    <n v="10656"/>
    <n v="2.6187798659502022"/>
    <n v="9743.9648866130228"/>
    <n v="97439.648866130228"/>
    <m/>
  </r>
  <r>
    <x v="18"/>
    <x v="11"/>
    <x v="116"/>
    <s v="Chamki"/>
    <x v="65"/>
    <n v="17211"/>
    <n v="18522"/>
    <n v="1.5936159982066869"/>
    <n v="16936.722750548648"/>
    <n v="169367.22750548649"/>
    <m/>
  </r>
  <r>
    <x v="18"/>
    <x v="1"/>
    <x v="117"/>
    <s v="Chamki"/>
    <x v="66"/>
    <n v="17080"/>
    <n v="18250"/>
    <n v="2.2950648353888567"/>
    <n v="16688.002926115583"/>
    <n v="166880.02926115584"/>
    <m/>
  </r>
  <r>
    <x v="18"/>
    <x v="2"/>
    <x v="118"/>
    <s v="Chamki"/>
    <x v="67"/>
    <n v="50885"/>
    <n v="24152"/>
    <n v="56.598491988080177"/>
    <n v="22084.857351865401"/>
    <n v="220848.57351865401"/>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d v="2025-09-16T00:00:00"/>
    <x v="0"/>
    <s v="August Closing CF"/>
    <m/>
    <m/>
    <n v="0"/>
    <n v="0"/>
    <n v="310500"/>
  </r>
  <r>
    <d v="2025-09-16T00:00:00"/>
    <x v="1"/>
    <s v="August Closing CF"/>
    <m/>
    <m/>
    <n v="0"/>
    <n v="0"/>
    <n v="-5000"/>
  </r>
  <r>
    <d v="2025-09-20T00:00:00"/>
    <x v="2"/>
    <s v="PVA"/>
    <m/>
    <n v="250"/>
    <n v="62500"/>
    <n v="60000"/>
    <n v="0"/>
  </r>
  <r>
    <d v="2025-09-22T00:00:00"/>
    <x v="0"/>
    <s v="Starch"/>
    <m/>
    <m/>
    <n v="310500"/>
    <n v="310500"/>
    <n v="0"/>
  </r>
  <r>
    <d v="2025-09-25T00:00:00"/>
    <x v="0"/>
    <s v="Starch"/>
    <m/>
    <m/>
    <n v="24600"/>
    <n v="24600"/>
    <n v="0"/>
  </r>
  <r>
    <d v="2025-09-25T00:00:00"/>
    <x v="0"/>
    <s v="Starch-45"/>
    <n v="45"/>
    <m/>
    <n v="353250"/>
    <n v="353250"/>
    <n v="0"/>
  </r>
  <r>
    <d v="2025-09-30T00:00:00"/>
    <x v="0"/>
    <s v="BP26"/>
    <m/>
    <m/>
    <n v="82000"/>
    <n v="82000"/>
    <n v="0"/>
  </r>
  <r>
    <d v="2025-10-08T00:00:00"/>
    <x v="0"/>
    <s v="Starch"/>
    <n v="2"/>
    <m/>
    <n v="8800"/>
    <n v="8800"/>
    <n v="0"/>
  </r>
  <r>
    <d v="2025-10-09T00:00:00"/>
    <x v="0"/>
    <s v="Starch"/>
    <m/>
    <m/>
    <n v="80600"/>
    <n v="80600"/>
    <n v="0"/>
  </r>
  <r>
    <d v="2025-10-11T00:00:00"/>
    <x v="0"/>
    <s v="BP26"/>
    <m/>
    <m/>
    <n v="67500"/>
    <n v="67500"/>
    <n v="0"/>
  </r>
  <r>
    <d v="2025-10-11T00:00:00"/>
    <x v="0"/>
    <s v="Starch"/>
    <n v="20"/>
    <m/>
    <n v="155000"/>
    <n v="155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0"/>
        <item x="1"/>
        <item x="2"/>
        <item x="3"/>
        <item x="4"/>
        <item x="5"/>
        <item x="6"/>
        <item x="7"/>
        <item x="8"/>
        <item x="9"/>
        <item x="10"/>
        <item x="11"/>
        <item x="12"/>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60">
      <pivotArea field="0" grandRow="1" outline="0" collapsedLevelsAreSubtotals="1" axis="axisRow" fieldPosition="0">
        <references count="1">
          <reference field="4294967294" count="1" selected="0">
            <x v="1"/>
          </reference>
        </references>
      </pivotArea>
    </format>
    <format dxfId="159">
      <pivotArea field="0" grandRow="1" outline="0" collapsedLevelsAreSubtotals="1" axis="axisRow" fieldPosition="0">
        <references count="1">
          <reference field="4294967294" count="1" selected="0">
            <x v="0"/>
          </reference>
        </references>
      </pivotArea>
    </format>
    <format dxfId="158">
      <pivotArea collapsedLevelsAreSubtotals="1" fieldPosition="0">
        <references count="2">
          <reference field="4294967294" count="1" selected="0">
            <x v="1"/>
          </reference>
          <reference field="0" count="0"/>
        </references>
      </pivotArea>
    </format>
    <format dxfId="157">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1:K161" firstHeaderRow="0" firstDataRow="1" firstDataCol="1"/>
  <pivotFields count="14">
    <pivotField axis="axisRow" numFmtId="14" showAll="0">
      <items count="65">
        <item m="1" x="48"/>
        <item m="1" x="49"/>
        <item m="1" x="50"/>
        <item m="1" x="51"/>
        <item m="1" x="52"/>
        <item m="1" x="53"/>
        <item m="1" x="63"/>
        <item m="1" x="54"/>
        <item m="1" x="55"/>
        <item m="1" x="56"/>
        <item m="1" x="57"/>
        <item m="1" x="58"/>
        <item m="1" x="59"/>
        <item m="1" x="60"/>
        <item m="1" x="61"/>
        <item m="1" x="62"/>
        <item m="1" x="25"/>
        <item m="1" x="24"/>
        <item m="1" x="19"/>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4"/>
        <item x="5"/>
        <item x="6"/>
        <item x="7"/>
        <item x="8"/>
        <item x="9"/>
        <item x="10"/>
        <item x="11"/>
        <item x="12"/>
        <item x="13"/>
        <item m="1" x="20"/>
        <item x="14"/>
        <item x="15"/>
        <item m="1" x="21"/>
        <item x="16"/>
        <item x="17"/>
        <item x="18"/>
        <item m="1" x="22"/>
        <item m="1" x="23"/>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0">
    <i>
      <x v="41"/>
    </i>
    <i>
      <x v="42"/>
    </i>
    <i>
      <x v="43"/>
    </i>
    <i>
      <x v="44"/>
    </i>
    <i>
      <x v="45"/>
    </i>
    <i>
      <x v="46"/>
    </i>
    <i>
      <x v="47"/>
    </i>
    <i>
      <x v="48"/>
    </i>
    <i>
      <x v="49"/>
    </i>
    <i>
      <x v="50"/>
    </i>
    <i>
      <x v="51"/>
    </i>
    <i>
      <x v="52"/>
    </i>
    <i>
      <x v="53"/>
    </i>
    <i>
      <x v="54"/>
    </i>
    <i>
      <x v="56"/>
    </i>
    <i>
      <x v="57"/>
    </i>
    <i>
      <x v="59"/>
    </i>
    <i>
      <x v="60"/>
    </i>
    <i>
      <x v="61"/>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36">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41:G261" firstHeaderRow="0" firstDataRow="1" firstDataCol="1" rowPageCount="3" colPageCount="1"/>
  <pivotFields count="14">
    <pivotField axis="axisPage" showAll="0">
      <items count="65">
        <item m="1" x="48"/>
        <item m="1" x="49"/>
        <item m="1" x="50"/>
        <item m="1" x="51"/>
        <item m="1" x="52"/>
        <item m="1" x="53"/>
        <item m="1" x="63"/>
        <item m="1" x="54"/>
        <item m="1" x="55"/>
        <item m="1" x="56"/>
        <item m="1" x="57"/>
        <item m="1" x="58"/>
        <item m="1" x="59"/>
        <item m="1" x="60"/>
        <item m="1" x="61"/>
        <item m="1" x="62"/>
        <item m="1" x="25"/>
        <item m="1" x="24"/>
        <item m="1" x="19"/>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4"/>
        <item x="5"/>
        <item x="6"/>
        <item x="7"/>
        <item x="8"/>
        <item x="9"/>
        <item x="10"/>
        <item x="11"/>
        <item x="12"/>
        <item x="13"/>
        <item m="1" x="20"/>
        <item x="14"/>
        <item x="15"/>
        <item m="1" x="21"/>
        <item x="16"/>
        <item x="17"/>
        <item x="18"/>
        <item m="1" x="22"/>
        <item m="1" x="23"/>
        <item t="default"/>
      </items>
    </pivotField>
    <pivotField axis="axisPage" multipleItemSelectionAllowed="1" showAll="0">
      <items count="23">
        <item x="2"/>
        <item x="0"/>
        <item m="1" x="21"/>
        <item x="6"/>
        <item m="1" x="20"/>
        <item m="1" x="19"/>
        <item m="1" x="18"/>
        <item x="1"/>
        <item x="3"/>
        <item m="1" x="17"/>
        <item x="4"/>
        <item m="1" x="16"/>
        <item m="1" x="15"/>
        <item x="5"/>
        <item x="10"/>
        <item x="8"/>
        <item x="9"/>
        <item x="7"/>
        <item x="11"/>
        <item x="12"/>
        <item x="13"/>
        <item x="14"/>
        <item t="default"/>
      </items>
    </pivotField>
    <pivotField axis="axisRow" numFmtId="164" showAll="0">
      <items count="33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227"/>
        <item m="1" x="228"/>
        <item m="1" x="229"/>
        <item m="1" x="230"/>
        <item m="1" x="231"/>
        <item m="1" x="232"/>
        <item m="1" x="233"/>
        <item m="1" x="234"/>
        <item m="1" x="235"/>
        <item m="1" x="236"/>
        <item m="1" x="237"/>
        <item m="1" x="238"/>
        <item m="1" x="239"/>
        <item m="1" x="240"/>
        <item m="1" x="241"/>
        <item m="1" x="242"/>
        <item m="1" x="243"/>
        <item m="1" x="244"/>
        <item m="1" x="273"/>
        <item m="1" x="245"/>
        <item m="1" x="246"/>
        <item m="1" x="247"/>
        <item m="1" x="248"/>
        <item m="1" x="249"/>
        <item m="1" x="250"/>
        <item m="1" x="262"/>
        <item m="1" x="251"/>
        <item m="1" x="252"/>
        <item m="1" x="253"/>
        <item m="1" x="254"/>
        <item m="1" x="255"/>
        <item m="1" x="256"/>
        <item m="1" x="257"/>
        <item m="1" x="258"/>
        <item m="1" x="259"/>
        <item m="1" x="260"/>
        <item m="1" x="261"/>
        <item m="1" x="263"/>
        <item m="1" x="264"/>
        <item m="1" x="265"/>
        <item m="1" x="266"/>
        <item m="1" x="267"/>
        <item m="1" x="268"/>
        <item m="1" x="269"/>
        <item m="1" x="270"/>
        <item m="1" x="271"/>
        <item m="1" x="272"/>
        <item m="1" x="274"/>
        <item m="1" x="275"/>
        <item m="1" x="276"/>
        <item m="1" x="277"/>
        <item m="1" x="278"/>
        <item m="1" x="279"/>
        <item m="1" x="280"/>
        <item m="1" x="281"/>
        <item m="1" x="282"/>
        <item m="1" x="283"/>
        <item m="1" x="284"/>
        <item m="1" x="285"/>
        <item m="1" x="286"/>
        <item m="1" x="287"/>
        <item m="1" x="288"/>
        <item m="1" x="119"/>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20"/>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7"/>
        <item m="1" x="218"/>
        <item m="1" x="219"/>
        <item m="1" x="216"/>
        <item m="1" x="220"/>
        <item m="1" x="221"/>
        <item m="1" x="222"/>
        <item m="1" x="223"/>
        <item m="1" x="224"/>
        <item m="1" x="225"/>
        <item m="1" x="2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showAll="0"/>
    <pivotField axis="axisPage" multipleItemSelectionAllowed="1" showAll="0">
      <items count="175">
        <item m="1" x="128"/>
        <item m="1" x="157"/>
        <item m="1" x="158"/>
        <item m="1" x="166"/>
        <item m="1" x="156"/>
        <item m="1" x="155"/>
        <item m="1" x="159"/>
        <item m="1" x="170"/>
        <item m="1" x="162"/>
        <item m="1" x="163"/>
        <item m="1" x="160"/>
        <item m="1" x="161"/>
        <item m="1" x="171"/>
        <item m="1" x="164"/>
        <item m="1" x="165"/>
        <item m="1" x="168"/>
        <item m="1" x="169"/>
        <item m="1" x="167"/>
        <item m="1" x="123"/>
        <item m="1" x="173"/>
        <item m="1" x="122"/>
        <item m="1" x="172"/>
        <item m="1" x="125"/>
        <item m="1" x="124"/>
        <item m="1" x="126"/>
        <item m="1" x="132"/>
        <item m="1" x="127"/>
        <item m="1" x="129"/>
        <item m="1" x="133"/>
        <item m="1" x="134"/>
        <item m="1" x="153"/>
        <item m="1" x="130"/>
        <item m="1" x="131"/>
        <item m="1" x="93"/>
        <item m="1" x="115"/>
        <item m="1" x="154"/>
        <item m="1" x="135"/>
        <item m="1" x="136"/>
        <item m="1" x="137"/>
        <item m="1" x="138"/>
        <item m="1" x="139"/>
        <item m="1" x="69"/>
        <item m="1" x="140"/>
        <item m="1" x="141"/>
        <item m="1" x="142"/>
        <item m="1" x="143"/>
        <item m="1" x="144"/>
        <item m="1" x="145"/>
        <item m="1" x="146"/>
        <item m="1" x="147"/>
        <item m="1" x="148"/>
        <item m="1" x="149"/>
        <item m="1" x="150"/>
        <item m="1" x="151"/>
        <item m="1" x="152"/>
        <item x="0"/>
        <item m="1" x="68"/>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4"/>
        <item m="1" x="95"/>
        <item m="1" x="96"/>
        <item m="1" x="97"/>
        <item m="1" x="98"/>
        <item m="1" x="99"/>
        <item m="1" x="100"/>
        <item m="1" x="101"/>
        <item m="1" x="102"/>
        <item m="1" x="103"/>
        <item m="1" x="104"/>
        <item m="1" x="105"/>
        <item m="1" x="106"/>
        <item m="1" x="107"/>
        <item m="1" x="108"/>
        <item m="1" x="109"/>
        <item m="1" x="110"/>
        <item m="1" x="111"/>
        <item m="1" x="112"/>
        <item m="1" x="113"/>
        <item m="1" x="114"/>
        <item m="1" x="116"/>
        <item m="1" x="117"/>
        <item m="1" x="118"/>
        <item m="1" x="119"/>
        <item m="1" x="120"/>
        <item m="1" x="121"/>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20">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89:I166" firstHeaderRow="0" firstDataRow="1" firstDataCol="1" rowPageCount="1" colPageCount="1"/>
  <pivotFields count="9">
    <pivotField axis="axisRow" numFmtId="14" showAll="0">
      <items count="77">
        <item m="1" x="60"/>
        <item m="1" x="61"/>
        <item m="1" x="62"/>
        <item m="1" x="63"/>
        <item m="1" x="64"/>
        <item m="1" x="65"/>
        <item m="1" x="66"/>
        <item m="1" x="75"/>
        <item m="1" x="56"/>
        <item m="1" x="67"/>
        <item m="1" x="68"/>
        <item m="1" x="69"/>
        <item m="1" x="70"/>
        <item m="1" x="71"/>
        <item m="1" x="72"/>
        <item m="1" x="73"/>
        <item m="1" x="27"/>
        <item m="1" x="28"/>
        <item m="1" x="74"/>
        <item m="1" x="29"/>
        <item m="1" x="26"/>
        <item m="1" x="30"/>
        <item m="1" x="32"/>
        <item m="1" x="33"/>
        <item m="1" x="34"/>
        <item m="1" x="36"/>
        <item m="1" x="37"/>
        <item m="1" x="38"/>
        <item m="1" x="31"/>
        <item m="1" x="35"/>
        <item m="1" x="39"/>
        <item m="1" x="40"/>
        <item m="1" x="41"/>
        <item m="1" x="42"/>
        <item m="1" x="25"/>
        <item m="1" x="43"/>
        <item m="1" x="57"/>
        <item m="1" x="58"/>
        <item m="1" x="59"/>
        <item m="1" x="44"/>
        <item m="1" x="45"/>
        <item m="1" x="46"/>
        <item m="1" x="47"/>
        <item m="1" x="48"/>
        <item m="1" x="49"/>
        <item m="1" x="50"/>
        <item m="1" x="51"/>
        <item m="1" x="52"/>
        <item m="1" x="53"/>
        <item m="1" x="54"/>
        <item m="1" x="55"/>
        <item x="0"/>
        <item x="1"/>
        <item x="2"/>
        <item x="3"/>
        <item x="4"/>
        <item x="5"/>
        <item x="6"/>
        <item x="7"/>
        <item x="9"/>
        <item x="10"/>
        <item x="11"/>
        <item x="8"/>
        <item x="12"/>
        <item x="13"/>
        <item x="14"/>
        <item x="15"/>
        <item x="16"/>
        <item x="17"/>
        <item x="18"/>
        <item x="19"/>
        <item x="20"/>
        <item x="21"/>
        <item x="22"/>
        <item x="23"/>
        <item x="24"/>
        <item t="default"/>
      </items>
    </pivotField>
    <pivotField axis="axisPage" showAll="0">
      <items count="9">
        <item x="1"/>
        <item x="0"/>
        <item m="1" x="6"/>
        <item m="1" x="7"/>
        <item x="2"/>
        <item x="3"/>
        <item x="4"/>
        <item x="5"/>
        <item t="default"/>
      </items>
    </pivotField>
    <pivotField axis="axisRow" showAll="0">
      <items count="87">
        <item m="1" x="76"/>
        <item m="1" x="60"/>
        <item m="1" x="72"/>
        <item m="1" x="42"/>
        <item m="1" x="77"/>
        <item m="1" x="78"/>
        <item m="1" x="73"/>
        <item m="1" x="74"/>
        <item m="1" x="75"/>
        <item x="3"/>
        <item m="1" x="53"/>
        <item m="1" x="79"/>
        <item m="1" x="80"/>
        <item m="1" x="81"/>
        <item m="1" x="82"/>
        <item m="1" x="83"/>
        <item m="1" x="84"/>
        <item m="1" x="49"/>
        <item m="1" x="50"/>
        <item m="1" x="85"/>
        <item m="1" x="51"/>
        <item x="0"/>
        <item m="1" x="52"/>
        <item m="1" x="54"/>
        <item m="1" x="55"/>
        <item m="1" x="56"/>
        <item m="1" x="57"/>
        <item m="1" x="58"/>
        <item m="1" x="59"/>
        <item m="1" x="61"/>
        <item m="1" x="62"/>
        <item m="1" x="44"/>
        <item m="1" x="63"/>
        <item m="1" x="64"/>
        <item m="1" x="65"/>
        <item m="1" x="48"/>
        <item m="1" x="66"/>
        <item m="1" x="67"/>
        <item m="1" x="46"/>
        <item m="1" x="68"/>
        <item m="1" x="69"/>
        <item m="1" x="70"/>
        <item m="1" x="71"/>
        <item m="1" x="34"/>
        <item m="1" x="35"/>
        <item m="1" x="36"/>
        <item m="1" x="37"/>
        <item m="1" x="38"/>
        <item m="1" x="39"/>
        <item m="1" x="40"/>
        <item m="1" x="41"/>
        <item m="1" x="43"/>
        <item m="1" x="45"/>
        <item m="1" x="47"/>
        <item x="17"/>
        <item x="18"/>
        <item x="19"/>
        <item x="20"/>
        <item x="21"/>
        <item x="22"/>
        <item x="23"/>
        <item x="24"/>
        <item x="25"/>
        <item x="26"/>
        <item x="27"/>
        <item x="28"/>
        <item x="29"/>
        <item x="30"/>
        <item x="1"/>
        <item x="2"/>
        <item x="4"/>
        <item x="5"/>
        <item x="6"/>
        <item x="7"/>
        <item x="8"/>
        <item x="9"/>
        <item x="10"/>
        <item x="11"/>
        <item x="12"/>
        <item x="13"/>
        <item x="14"/>
        <item x="15"/>
        <item x="16"/>
        <item x="31"/>
        <item x="32"/>
        <item x="33"/>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77">
    <i>
      <x v="51"/>
    </i>
    <i r="1">
      <x v="9"/>
    </i>
    <i r="1">
      <x v="21"/>
    </i>
    <i r="1">
      <x v="68"/>
    </i>
    <i r="1">
      <x v="69"/>
    </i>
    <i>
      <x v="52"/>
    </i>
    <i r="1">
      <x v="9"/>
    </i>
    <i>
      <x v="53"/>
    </i>
    <i r="1">
      <x v="9"/>
    </i>
    <i r="1">
      <x v="70"/>
    </i>
    <i>
      <x v="54"/>
    </i>
    <i r="1">
      <x v="71"/>
    </i>
    <i>
      <x v="55"/>
    </i>
    <i r="1">
      <x v="9"/>
    </i>
    <i r="1">
      <x v="72"/>
    </i>
    <i r="1">
      <x v="73"/>
    </i>
    <i>
      <x v="56"/>
    </i>
    <i r="1">
      <x v="9"/>
    </i>
    <i r="1">
      <x v="74"/>
    </i>
    <i>
      <x v="57"/>
    </i>
    <i r="1">
      <x v="9"/>
    </i>
    <i r="1">
      <x v="75"/>
    </i>
    <i>
      <x v="58"/>
    </i>
    <i r="1">
      <x v="9"/>
    </i>
    <i r="1">
      <x v="76"/>
    </i>
    <i r="1">
      <x v="77"/>
    </i>
    <i>
      <x v="59"/>
    </i>
    <i r="1">
      <x v="9"/>
    </i>
    <i>
      <x v="60"/>
    </i>
    <i r="1">
      <x v="78"/>
    </i>
    <i r="1">
      <x v="79"/>
    </i>
    <i>
      <x v="61"/>
    </i>
    <i r="1">
      <x v="80"/>
    </i>
    <i>
      <x v="62"/>
    </i>
    <i r="1">
      <x v="9"/>
    </i>
    <i>
      <x v="63"/>
    </i>
    <i r="1">
      <x v="9"/>
    </i>
    <i r="1">
      <x v="81"/>
    </i>
    <i r="1">
      <x v="82"/>
    </i>
    <i>
      <x v="64"/>
    </i>
    <i r="1">
      <x v="54"/>
    </i>
    <i>
      <x v="65"/>
    </i>
    <i r="1">
      <x v="9"/>
    </i>
    <i r="1">
      <x v="55"/>
    </i>
    <i r="1">
      <x v="60"/>
    </i>
    <i>
      <x v="66"/>
    </i>
    <i r="1">
      <x v="56"/>
    </i>
    <i r="1">
      <x v="57"/>
    </i>
    <i>
      <x v="67"/>
    </i>
    <i r="1">
      <x v="9"/>
    </i>
    <i r="1">
      <x v="58"/>
    </i>
    <i r="1">
      <x v="59"/>
    </i>
    <i>
      <x v="68"/>
    </i>
    <i r="1">
      <x v="61"/>
    </i>
    <i r="1">
      <x v="62"/>
    </i>
    <i>
      <x v="69"/>
    </i>
    <i r="1">
      <x v="63"/>
    </i>
    <i r="1">
      <x v="64"/>
    </i>
    <i>
      <x v="70"/>
    </i>
    <i r="1">
      <x v="9"/>
    </i>
    <i>
      <x v="71"/>
    </i>
    <i r="1">
      <x v="9"/>
    </i>
    <i r="1">
      <x v="65"/>
    </i>
    <i r="1">
      <x v="66"/>
    </i>
    <i r="1">
      <x v="67"/>
    </i>
    <i>
      <x v="72"/>
    </i>
    <i r="1">
      <x v="9"/>
    </i>
    <i>
      <x v="73"/>
    </i>
    <i r="1">
      <x v="9"/>
    </i>
    <i r="1">
      <x v="83"/>
    </i>
    <i r="1">
      <x v="84"/>
    </i>
    <i r="1">
      <x v="85"/>
    </i>
    <i>
      <x v="74"/>
    </i>
    <i r="1">
      <x v="9"/>
    </i>
    <i>
      <x v="75"/>
    </i>
    <i r="1">
      <x v="77"/>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15">
      <pivotArea dataOnly="0" labelOnly="1" outline="0" fieldPosition="0">
        <references count="1">
          <reference field="1" count="1">
            <x v="1"/>
          </reference>
        </references>
      </pivotArea>
    </format>
    <format dxfId="114">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8" firstHeaderRow="0" firstDataRow="1" firstDataCol="1"/>
  <pivotFields count="7">
    <pivotField numFmtId="14" showAll="0"/>
    <pivotField axis="axisRow" showAll="0">
      <items count="47">
        <item x="7"/>
        <item x="4"/>
        <item x="8"/>
        <item x="26"/>
        <item m="1" x="35"/>
        <item x="18"/>
        <item x="2"/>
        <item x="5"/>
        <item x="11"/>
        <item x="17"/>
        <item x="12"/>
        <item m="1" x="44"/>
        <item x="24"/>
        <item x="9"/>
        <item m="1" x="37"/>
        <item m="1" x="42"/>
        <item x="10"/>
        <item x="19"/>
        <item x="6"/>
        <item x="1"/>
        <item x="33"/>
        <item x="20"/>
        <item m="1" x="45"/>
        <item x="16"/>
        <item x="3"/>
        <item m="1" x="43"/>
        <item m="1" x="34"/>
        <item x="25"/>
        <item m="1" x="36"/>
        <item m="1" x="38"/>
        <item m="1" x="39"/>
        <item m="1" x="40"/>
        <item x="23"/>
        <item m="1" x="41"/>
        <item x="27"/>
        <item x="14"/>
        <item x="13"/>
        <item x="15"/>
        <item x="0"/>
        <item x="21"/>
        <item x="22"/>
        <item x="28"/>
        <item x="29"/>
        <item x="30"/>
        <item x="31"/>
        <item x="32"/>
        <item t="default"/>
      </items>
    </pivotField>
    <pivotField dataField="1" showAll="0"/>
    <pivotField dataField="1" showAll="0"/>
    <pivotField showAll="0"/>
    <pivotField showAll="0"/>
    <pivotField showAll="0"/>
  </pivotFields>
  <rowFields count="1">
    <field x="1"/>
  </rowFields>
  <rowItems count="35">
    <i>
      <x/>
    </i>
    <i>
      <x v="1"/>
    </i>
    <i>
      <x v="2"/>
    </i>
    <i>
      <x v="3"/>
    </i>
    <i>
      <x v="5"/>
    </i>
    <i>
      <x v="6"/>
    </i>
    <i>
      <x v="7"/>
    </i>
    <i>
      <x v="8"/>
    </i>
    <i>
      <x v="9"/>
    </i>
    <i>
      <x v="10"/>
    </i>
    <i>
      <x v="12"/>
    </i>
    <i>
      <x v="13"/>
    </i>
    <i>
      <x v="16"/>
    </i>
    <i>
      <x v="17"/>
    </i>
    <i>
      <x v="18"/>
    </i>
    <i>
      <x v="19"/>
    </i>
    <i>
      <x v="20"/>
    </i>
    <i>
      <x v="21"/>
    </i>
    <i>
      <x v="23"/>
    </i>
    <i>
      <x v="24"/>
    </i>
    <i>
      <x v="27"/>
    </i>
    <i>
      <x v="32"/>
    </i>
    <i>
      <x v="34"/>
    </i>
    <i>
      <x v="35"/>
    </i>
    <i>
      <x v="36"/>
    </i>
    <i>
      <x v="37"/>
    </i>
    <i>
      <x v="38"/>
    </i>
    <i>
      <x v="39"/>
    </i>
    <i>
      <x v="40"/>
    </i>
    <i>
      <x v="41"/>
    </i>
    <i>
      <x v="42"/>
    </i>
    <i>
      <x v="43"/>
    </i>
    <i>
      <x v="44"/>
    </i>
    <i>
      <x v="45"/>
    </i>
    <i t="grand">
      <x/>
    </i>
  </rowItems>
  <colFields count="1">
    <field x="-2"/>
  </colFields>
  <colItems count="2">
    <i>
      <x/>
    </i>
    <i i="1">
      <x v="1"/>
    </i>
  </colItems>
  <dataFields count="2">
    <dataField name="Sum of Credit" fld="3" baseField="0" baseItem="0"/>
    <dataField name="Sum of Debit" fld="2" baseField="0" baseItem="0"/>
  </dataFields>
  <formats count="1">
    <format dxfId="10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26">
        <item m="1" x="20"/>
        <item m="1" x="21"/>
        <item m="1" x="22"/>
        <item m="1" x="23"/>
        <item m="1" x="24"/>
        <item m="1" x="19"/>
        <item m="1" x="7"/>
        <item m="1" x="8"/>
        <item m="1" x="12"/>
        <item m="1" x="13"/>
        <item m="1" x="9"/>
        <item m="1" x="14"/>
        <item m="1" x="15"/>
        <item m="1" x="16"/>
        <item m="1" x="17"/>
        <item m="1" x="18"/>
        <item m="1" x="6"/>
        <item m="1" x="10"/>
        <item m="1" x="11"/>
        <item x="0"/>
        <item x="1"/>
        <item x="2"/>
        <item x="3"/>
        <item x="4"/>
        <item x="5"/>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4">
    <i>
      <x v="19"/>
    </i>
    <i>
      <x v="22"/>
    </i>
    <i>
      <x v="23"/>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72" firstHeaderRow="0" firstDataRow="1" firstDataCol="1" rowPageCount="1" colPageCount="1"/>
  <pivotFields count="14">
    <pivotField showAll="0"/>
    <pivotField axis="axisPage" showAll="0">
      <items count="23">
        <item m="1" x="19"/>
        <item x="2"/>
        <item x="0"/>
        <item x="1"/>
        <item m="1" x="21"/>
        <item m="1" x="17"/>
        <item x="6"/>
        <item m="1" x="20"/>
        <item x="3"/>
        <item x="4"/>
        <item m="1" x="18"/>
        <item m="1" x="16"/>
        <item m="1" x="15"/>
        <item x="5"/>
        <item x="10"/>
        <item x="8"/>
        <item x="9"/>
        <item x="7"/>
        <item x="11"/>
        <item x="12"/>
        <item x="13"/>
        <item x="14"/>
        <item t="default"/>
      </items>
    </pivotField>
    <pivotField showAll="0"/>
    <pivotField showAll="0"/>
    <pivotField axis="axisRow" showAll="0">
      <items count="175">
        <item m="1" x="157"/>
        <item m="1" x="158"/>
        <item m="1" x="156"/>
        <item m="1" x="155"/>
        <item m="1" x="159"/>
        <item m="1" x="161"/>
        <item m="1" x="160"/>
        <item m="1" x="162"/>
        <item m="1" x="163"/>
        <item m="1" x="164"/>
        <item m="1" x="165"/>
        <item m="1" x="166"/>
        <item m="1" x="167"/>
        <item m="1" x="168"/>
        <item m="1" x="93"/>
        <item m="1" x="115"/>
        <item m="1" x="169"/>
        <item m="1" x="170"/>
        <item m="1" x="171"/>
        <item m="1" x="123"/>
        <item m="1" x="122"/>
        <item m="1" x="172"/>
        <item m="1" x="173"/>
        <item m="1" x="132"/>
        <item m="1" x="124"/>
        <item m="1" x="125"/>
        <item m="1" x="126"/>
        <item m="1" x="127"/>
        <item m="1" x="128"/>
        <item m="1" x="129"/>
        <item m="1" x="130"/>
        <item m="1" x="131"/>
        <item m="1" x="133"/>
        <item m="1" x="153"/>
        <item m="1" x="134"/>
        <item m="1" x="154"/>
        <item m="1" x="135"/>
        <item m="1" x="136"/>
        <item m="1" x="137"/>
        <item m="1" x="138"/>
        <item m="1" x="139"/>
        <item m="1" x="69"/>
        <item m="1" x="140"/>
        <item m="1" x="141"/>
        <item m="1" x="142"/>
        <item m="1" x="143"/>
        <item m="1" x="144"/>
        <item m="1" x="145"/>
        <item m="1" x="146"/>
        <item m="1" x="147"/>
        <item m="1" x="148"/>
        <item m="1" x="149"/>
        <item m="1" x="150"/>
        <item m="1" x="151"/>
        <item m="1" x="152"/>
        <item x="0"/>
        <item m="1" x="68"/>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4"/>
        <item m="1" x="95"/>
        <item m="1" x="96"/>
        <item m="1" x="97"/>
        <item m="1" x="98"/>
        <item m="1" x="99"/>
        <item m="1" x="100"/>
        <item m="1" x="101"/>
        <item m="1" x="102"/>
        <item m="1" x="103"/>
        <item m="1" x="104"/>
        <item m="1" x="105"/>
        <item m="1" x="106"/>
        <item m="1" x="107"/>
        <item m="1" x="108"/>
        <item m="1" x="109"/>
        <item m="1" x="110"/>
        <item m="1" x="111"/>
        <item m="1" x="112"/>
        <item m="1" x="113"/>
        <item m="1" x="114"/>
        <item m="1" x="116"/>
        <item m="1" x="117"/>
        <item m="1" x="118"/>
        <item m="1" x="119"/>
        <item m="1" x="120"/>
        <item m="1" x="121"/>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69">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62">
      <pivotArea type="all" dataOnly="0" outline="0" fieldPosition="0"/>
    </format>
    <format dxfId="61">
      <pivotArea outline="0" collapsedLevelsAreSubtotals="1" fieldPosition="0"/>
    </format>
    <format dxfId="60">
      <pivotArea field="4" type="button" dataOnly="0" labelOnly="1" outline="0" axis="axisRow" fieldPosition="0"/>
    </format>
    <format dxfId="59">
      <pivotArea dataOnly="0" labelOnly="1" fieldPosition="0">
        <references count="1">
          <reference field="4" count="0"/>
        </references>
      </pivotArea>
    </format>
    <format dxfId="58">
      <pivotArea dataOnly="0" labelOnly="1" grandRow="1" outline="0" fieldPosition="0"/>
    </format>
    <format dxfId="57">
      <pivotArea dataOnly="0" labelOnly="1" outline="0" fieldPosition="0">
        <references count="1">
          <reference field="4294967294" count="2">
            <x v="0"/>
            <x v="1"/>
          </reference>
        </references>
      </pivotArea>
    </format>
    <format dxfId="56">
      <pivotArea grandRow="1" outline="0" collapsedLevelsAreSubtotals="1" fieldPosition="0"/>
    </format>
    <format dxfId="55">
      <pivotArea field="4" type="button" dataOnly="0" labelOnly="1" outline="0" axis="axisRow" fieldPosition="0"/>
    </format>
    <format dxfId="54">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74">
        <i x="58" s="1"/>
        <i x="10" s="1"/>
        <i x="12" s="1"/>
        <i x="6" s="1"/>
        <i x="59" s="1"/>
        <i x="9" s="1"/>
        <i x="8" s="1"/>
        <i x="28" s="1"/>
        <i x="33" s="1"/>
        <i x="54" s="1"/>
        <i x="1" s="1"/>
        <i x="14" s="1"/>
        <i x="55" s="1"/>
        <i x="53" s="1"/>
        <i x="5" s="1"/>
        <i x="11" s="1"/>
        <i x="2" s="1"/>
        <i x="43" s="1"/>
        <i x="48" s="1"/>
        <i x="3" s="1"/>
        <i x="4" s="1"/>
        <i x="15" s="1"/>
        <i x="20" s="1"/>
        <i x="29" s="1"/>
        <i x="17" s="1"/>
        <i x="24" s="1"/>
        <i x="21" s="1"/>
        <i x="16" s="1"/>
        <i x="46" s="1"/>
        <i x="62" s="1"/>
        <i x="25" s="1"/>
        <i x="51" s="1"/>
        <i x="64" s="1"/>
        <i x="35" s="1"/>
        <i x="34" s="1"/>
        <i x="30" s="1"/>
        <i x="26" s="1"/>
        <i x="27" s="1"/>
        <i x="47" s="1"/>
        <i x="36" s="1"/>
        <i x="37" s="1"/>
        <i x="32" s="1"/>
        <i x="39" s="1"/>
        <i x="40" s="1"/>
        <i x="38" s="1"/>
        <i x="56" s="1"/>
        <i x="44" s="1"/>
        <i x="41" s="1"/>
        <i x="45" s="1"/>
        <i x="42" s="1"/>
        <i x="49" s="1"/>
        <i x="63" s="1"/>
        <i x="50" s="1"/>
        <i x="61" s="1"/>
        <i x="52" s="1"/>
        <i x="60" s="1"/>
        <i x="67" s="1"/>
        <i x="65" s="1"/>
        <i x="57" s="1"/>
        <i x="13" s="1"/>
        <i x="19" s="1"/>
        <i x="18" s="1"/>
        <i x="23" s="1"/>
        <i x="31" s="1"/>
        <i x="22" s="1"/>
        <i x="66" s="1"/>
        <i x="128" s="1" nd="1"/>
        <i x="157" s="1" nd="1"/>
        <i x="158" s="1" nd="1"/>
        <i x="166" s="1" nd="1"/>
        <i x="156" s="1" nd="1"/>
        <i x="155" s="1" nd="1"/>
        <i x="159" s="1" nd="1"/>
        <i x="170" s="1" nd="1"/>
        <i x="162" s="1" nd="1"/>
        <i x="163" s="1" nd="1"/>
        <i x="160" s="1" nd="1"/>
        <i x="161" s="1" nd="1"/>
        <i x="171" s="1" nd="1"/>
        <i x="164" s="1" nd="1"/>
        <i x="165" s="1" nd="1"/>
        <i x="168" s="1" nd="1"/>
        <i x="169" s="1" nd="1"/>
        <i x="167" s="1" nd="1"/>
        <i x="123" s="1" nd="1"/>
        <i x="173" s="1" nd="1"/>
        <i x="122" s="1" nd="1"/>
        <i x="172" s="1" nd="1"/>
        <i x="125" s="1" nd="1"/>
        <i x="86" s="1" nd="1"/>
        <i x="124" s="1" nd="1"/>
        <i x="126" s="1" nd="1"/>
        <i x="132" s="1" nd="1"/>
        <i x="127" s="1" nd="1"/>
        <i x="129" s="1" nd="1"/>
        <i x="145" s="1" nd="1"/>
        <i x="68" s="1" nd="1"/>
        <i x="133" s="1" nd="1"/>
        <i x="73" s="1" nd="1"/>
        <i x="139" s="1" nd="1"/>
        <i x="134" s="1" nd="1"/>
        <i x="137" s="1" nd="1"/>
        <i x="142" s="1" nd="1"/>
        <i x="153" s="1" nd="1"/>
        <i x="135" s="1" nd="1"/>
        <i x="147" s="1" nd="1"/>
        <i x="150" s="1" nd="1"/>
        <i x="141" s="1" nd="1"/>
        <i x="130" s="1" nd="1"/>
        <i x="138" s="1" nd="1"/>
        <i x="131" s="1" nd="1"/>
        <i x="136" s="1" nd="1"/>
        <i x="69" s="1" nd="1"/>
        <i x="140" s="1" nd="1"/>
        <i x="146" s="1" nd="1"/>
        <i x="83" s="1" nd="1"/>
        <i x="143" s="1" nd="1"/>
        <i x="148" s="1" nd="1"/>
        <i x="144" s="1" nd="1"/>
        <i x="110" s="1" nd="1"/>
        <i x="149" s="1" nd="1"/>
        <i x="151" s="1" nd="1"/>
        <i x="71" s="1" nd="1"/>
        <i x="78" s="1" nd="1"/>
        <i x="152" s="1" nd="1"/>
        <i x="75" s="1" nd="1"/>
        <i x="76" s="1" nd="1"/>
        <i x="70" s="1" nd="1"/>
        <i x="74" s="1" nd="1"/>
        <i x="72" s="1" nd="1"/>
        <i x="81" s="1" nd="1"/>
        <i x="77" s="1" nd="1"/>
        <i x="79" s="1" nd="1"/>
        <i x="82" s="1" nd="1"/>
        <i x="90" s="1" nd="1"/>
        <i x="80" s="1" nd="1"/>
        <i x="89" s="1" nd="1"/>
        <i x="94" s="1" nd="1"/>
        <i x="88" s="1" nd="1"/>
        <i x="91" s="1" nd="1"/>
        <i x="101" s="1" nd="1"/>
        <i x="87" s="1" nd="1"/>
        <i x="84" s="1" nd="1"/>
        <i x="85" s="1" nd="1"/>
        <i x="100" s="1" nd="1"/>
        <i x="93" s="1" nd="1"/>
        <i x="104" s="1" nd="1"/>
        <i x="99" s="1" nd="1"/>
        <i x="92" s="1" nd="1"/>
        <i x="116" s="1" nd="1"/>
        <i x="97" s="1" nd="1"/>
        <i x="107" s="1" nd="1"/>
        <i x="105" s="1" nd="1"/>
        <i x="95" s="1" nd="1"/>
        <i x="103" s="1" nd="1"/>
        <i x="102" s="1" nd="1"/>
        <i x="98" s="1" nd="1"/>
        <i x="108" s="1" nd="1"/>
        <i x="106" s="1" nd="1"/>
        <i x="109" s="1" nd="1"/>
        <i x="96" s="1" nd="1"/>
        <i x="111" s="1" nd="1"/>
        <i x="112" s="1" nd="1"/>
        <i x="119" s="1" nd="1"/>
        <i x="113" s="1" nd="1"/>
        <i x="114" s="1" nd="1"/>
        <i x="121" s="1" nd="1"/>
        <i x="120" s="1" nd="1"/>
        <i x="115" s="1" nd="1"/>
        <i x="118" s="1" nd="1"/>
        <i x="117" s="1" nd="1"/>
        <i x="7" s="1" nd="1"/>
        <i x="154"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6"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56">
      <calculatedColumnFormula>B26</calculatedColumnFormula>
    </tableColumn>
    <tableColumn id="2" xr3:uid="{7EDCC2ED-0339-42B3-9633-FFEA7A3DD9F3}" name="Tiyaar" dataDxfId="155">
      <calculatedColumnFormula>SUMIFS(ledger!G:G, ledger!B:B, B4, ledger!E:E, "&lt;&gt;*RD*") / 1.0936</calculatedColumnFormula>
    </tableColumn>
    <tableColumn id="3" xr3:uid="{CC1535DD-3FE7-4F55-8040-E7643388A78E}" name="Rate"/>
    <tableColumn id="4" xr3:uid="{059CB70B-ADAD-4985-84AA-0D530BAC5567}" name="Total" dataDxfId="154">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53" dataDxfId="152">
  <autoFilter ref="B7:E20" xr:uid="{449E5D32-DF9C-4018-96AB-CA98E118D910}"/>
  <tableColumns count="4">
    <tableColumn id="1" xr3:uid="{F663704C-91DD-4BB9-B7EB-EEB0C5EDED6C}" name="Description" dataDxfId="151"/>
    <tableColumn id="2" xr3:uid="{6D94D495-CD0B-4FD3-9771-81D731982A97}" name="Rate" dataDxfId="150" dataCellStyle="Comma"/>
    <tableColumn id="3" xr3:uid="{2D14CEAD-3602-40E7-A488-3584EBC9141E}" name="gazana" dataDxfId="149" dataCellStyle="Comma"/>
    <tableColumn id="4" xr3:uid="{06FEE63C-6480-4079-8426-51BC26B38B34}" name="sum" dataDxfId="148"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47" totalsRowDxfId="146"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45" dataDxfId="144" headerRowCellStyle="Comma" dataCellStyle="Comma">
  <autoFilter ref="B2:C5" xr:uid="{136E8F7F-D03F-4198-8335-91A003EA9E45}"/>
  <tableColumns count="2">
    <tableColumn id="1" xr3:uid="{279FA697-9952-479A-AC05-0D4992B41374}" name="Column1" dataDxfId="143" dataCellStyle="Comma"/>
    <tableColumn id="2" xr3:uid="{8A64998B-65EF-41CD-BCB0-3DDB7B359C54}" name="Column2" dataDxfId="142"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41"/>
    <tableColumn id="2" xr3:uid="{51D27FA2-8DDF-4369-BAF7-7D1FE90E16A0}" name="Column2" dataDxfId="14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39" totalsRowDxfId="138"/>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37">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33" totalsRowCount="1" headerRowDxfId="135" dataDxfId="134" headerRowCellStyle="Comma" dataCellStyle="Comma">
  <autoFilter ref="A1:K132" xr:uid="{11DACEC6-751B-4B1D-817F-5C5BCD38EF6D}">
    <filterColumn colId="2">
      <filters>
        <filter val="835"/>
        <filter val="836"/>
        <filter val="837"/>
        <filter val="838"/>
        <filter val="839"/>
        <filter val="840"/>
        <filter val="841"/>
        <filter val="842"/>
        <filter val="843"/>
        <filter val="844"/>
        <filter val="845"/>
        <filter val="846"/>
        <filter val="847"/>
        <filter val="848"/>
        <filter val="849"/>
        <filter val="850"/>
        <filter val="851"/>
        <filter val="852"/>
        <filter val="853"/>
        <filter val="854"/>
        <filter val="855"/>
        <filter val="856"/>
        <filter val="857"/>
        <filter val="858"/>
        <filter val="859"/>
        <filter val="860"/>
        <filter val="861"/>
        <filter val="862"/>
        <filter val="863"/>
        <filter val="864"/>
        <filter val="865"/>
        <filter val="866"/>
        <filter val="867"/>
        <filter val="868"/>
        <filter val="869"/>
        <filter val="870"/>
        <filter val="871"/>
        <filter val="872"/>
        <filter val="873"/>
        <filter val="874"/>
        <filter val="875"/>
        <filter val="876"/>
        <filter val="877"/>
        <filter val="878"/>
        <filter val="879"/>
        <filter val="880"/>
        <filter val="881"/>
        <filter val="882"/>
        <filter val="883"/>
        <filter val="884"/>
        <filter val="885"/>
        <filter val="886"/>
        <filter val="887"/>
        <filter val="888"/>
        <filter val="889"/>
        <filter val="890"/>
        <filter val="891"/>
        <filter val="892"/>
        <filter val="893"/>
        <filter val="894"/>
        <filter val="895"/>
        <filter val="896"/>
        <filter val="897"/>
        <filter val="898"/>
        <filter val="899-a"/>
        <filter val="899-b"/>
        <filter val="899-c"/>
        <filter val="900-a"/>
        <filter val="900-b"/>
        <filter val="901"/>
        <filter val="902"/>
        <filter val="903"/>
        <filter val="904"/>
        <filter val="905"/>
        <filter val="906"/>
        <filter val="907"/>
        <filter val="908"/>
        <filter val="909"/>
        <filter val="910"/>
        <filter val="911"/>
        <filter val="912"/>
        <filter val="913"/>
        <filter val="914"/>
        <filter val="915"/>
        <filter val="916"/>
        <filter val="917"/>
        <filter val="918"/>
        <filter val="919"/>
        <filter val="920"/>
        <filter val="921"/>
        <filter val="922"/>
        <filter val="923"/>
        <filter val="924"/>
        <filter val="925"/>
        <filter val="926"/>
        <filter val="927"/>
        <filter val="928"/>
        <filter val="929"/>
        <filter val="930"/>
        <filter val="931"/>
        <filter val="932"/>
        <filter val="933"/>
        <filter val="934"/>
        <filter val="935"/>
        <filter val="936"/>
        <filter val="937"/>
        <filter val="938"/>
        <filter val="939"/>
        <filter val="940"/>
        <filter val="941"/>
        <filter val="942"/>
        <filter val="943"/>
        <filter val="944"/>
        <filter val="945"/>
        <filter val="946"/>
        <filter val="947"/>
        <filter val="948"/>
        <filter val="949"/>
      </filters>
    </filterColumn>
  </autoFilter>
  <tableColumns count="11">
    <tableColumn id="1" xr3:uid="{2FCE3FA8-A48C-4685-8919-AE44C6C71FD9}" name="Date" dataDxfId="133" dataCellStyle="Comma"/>
    <tableColumn id="2" xr3:uid="{5780FD5F-0890-44E6-B59C-8E37A559FE36}" name="Party Name" dataDxfId="132" dataCellStyle="Comma"/>
    <tableColumn id="3" xr3:uid="{5B3ECD85-9174-40AC-BFBD-49CAC97A83D3}" name="Bill Number" dataDxfId="131" dataCellStyle="Comma"/>
    <tableColumn id="4" xr3:uid="{11B50761-04B6-4262-AD4D-7182450037D1}" name="Quality" dataDxfId="130" dataCellStyle="Comma"/>
    <tableColumn id="5" xr3:uid="{2C556969-B713-4967-BD24-466AACCBE5F5}" name="Shipment Number" dataDxfId="129" totalsRowDxfId="128" dataCellStyle="Comma"/>
    <tableColumn id="6" xr3:uid="{F4E1FD2B-9017-4DEB-B772-BF447ECE56F7}" name="Kora/metre" dataDxfId="127" totalsRowDxfId="126" dataCellStyle="Comma"/>
    <tableColumn id="7" xr3:uid="{52ACC1DA-7A76-4A90-B809-3A1AE728E7EA}" name="Tiyaar/gaz" dataDxfId="125" totalsRowDxfId="124" dataCellStyle="Comma"/>
    <tableColumn id="8" xr3:uid="{31A0FF5E-56F0-44D1-9865-73256B964660}" name="shortage %" dataDxfId="123" totalsRowDxfId="122" dataCellStyle="Comma">
      <calculatedColumnFormula>_xlfn.XLOOKUP(Table1[[#This Row],[Shipment Number]], 'pivot '!A:A,'pivot '!G:G, "NF")</calculatedColumnFormula>
    </tableColumn>
    <tableColumn id="9" xr3:uid="{F99075E0-AC8E-094D-BB85-272AD2C6C568}" name="tiyar/meters" totalsRowFunction="custom" dataDxfId="121" totalsRowDxfId="120"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119" totalsRowDxfId="118"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117" totalsRowDxfId="116"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71" totalsRowCount="1" headerRowDxfId="113" headerRowBorderDxfId="112" tableBorderDxfId="111">
  <autoFilter ref="A1:I70" xr:uid="{F8E8C957-ABE7-4E4F-8D4E-7D44E26B334F}">
    <filterColumn colId="1">
      <filters>
        <filter val="Malik Zaheer"/>
      </filters>
    </filterColumn>
  </autoFilter>
  <tableColumns count="9">
    <tableColumn id="1" xr3:uid="{C2E817D6-AB98-4DDD-8890-736B27F261CD}" name="Date" totalsRowLabel="." dataDxfId="110" totalsRowDxfId="42"/>
    <tableColumn id="2" xr3:uid="{CFB51890-CCDC-463C-81C9-3F8BD7469CB9}" name="Party Name"/>
    <tableColumn id="3" xr3:uid="{A113D971-1C9D-4733-99C4-BD0CC4333209}" name="Vehicle Number"/>
    <tableColumn id="4" xr3:uid="{49780304-3DD1-4AE9-98EE-2BC7EB8F3B57}" name="Weight" dataDxfId="109" totalsRowDxfId="41" dataCellStyle="Comma"/>
    <tableColumn id="5" xr3:uid="{FCAF1BC6-1D8C-42AD-8BBC-F924BF2DC7FE}" name="Rate" dataDxfId="108" totalsRowDxfId="40" dataCellStyle="Comma"/>
    <tableColumn id="6" xr3:uid="{8C70A624-4134-410C-9C45-9FDEB51D51BF}" name="Rent" dataDxfId="107" totalsRowDxfId="39" dataCellStyle="Comma"/>
    <tableColumn id="7" xr3:uid="{EBCE10AE-9634-4982-9C95-37ABC8A7078C}" name="Total" totalsRowFunction="sum" dataDxfId="106" totalsRowDxfId="38" dataCellStyle="Comma">
      <calculatedColumnFormula>D2*E2</calculatedColumnFormula>
    </tableColumn>
    <tableColumn id="9" xr3:uid="{D4788559-C94A-44D9-B9AE-E72B214355AC}" name="Paid" totalsRowFunction="sum" dataDxfId="105" totalsRowDxfId="37" dataCellStyle="Comma"/>
    <tableColumn id="8" xr3:uid="{E26F5BF0-1875-4FC6-994D-49F202ED562B}" name="balance" totalsRowFunction="sum" dataDxfId="104" totalsRowDxfId="36"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364" totalsRowCount="1">
  <autoFilter ref="A1:G363" xr:uid="{CB032221-B416-47A8-9A76-693DE76CFD04}">
    <filterColumn colId="1">
      <filters>
        <filter val="Malik Zaheer"/>
      </filters>
    </filterColumn>
  </autoFilter>
  <tableColumns count="7">
    <tableColumn id="1" xr3:uid="{554B1EED-65B6-4E9A-B646-82727FAC40DE}" name="Date" dataDxfId="102" totalsRowDxfId="46"/>
    <tableColumn id="2" xr3:uid="{32259059-42CF-4947-83DE-115AA430BE2B}" name="Party"/>
    <tableColumn id="3" xr3:uid="{A1320223-D55D-483C-91C3-AB19B95CC9D8}" name="Debit" totalsRowFunction="sum" dataDxfId="101" totalsRowDxfId="45" dataCellStyle="Comma"/>
    <tableColumn id="4" xr3:uid="{E9745767-9FF0-4B1C-9052-FF335D1D7588}" name="Credit" totalsRowFunction="sum" dataDxfId="100" totalsRowDxfId="44" dataCellStyle="Comma"/>
    <tableColumn id="5" xr3:uid="{5C88A48E-2467-4E6D-B626-2442B7FD0BE4}" name="Description"/>
    <tableColumn id="6" xr3:uid="{63CA4666-144E-4BE6-8B7C-7CB992BD3041}" name="Mode" totalsRowFunction="custom" dataDxfId="99" totalsRowDxfId="43">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98" tableBorderDxfId="97" totalsRowBorderDxfId="96">
  <autoFilter ref="J3:K6" xr:uid="{DCE01694-23ED-48BF-8B92-4186B9ED10A8}"/>
  <tableColumns count="2">
    <tableColumn id="1" xr3:uid="{C8484DAF-2989-4C2F-9AEC-A6917E1C57F6}" name="Type" dataDxfId="95"/>
    <tableColumn id="2" xr3:uid="{B07B7A2A-4D4E-4654-BED6-FE2F0A7BEC34}" name="Amount" dataDxfId="9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93" headerRowBorderDxfId="92" tableBorderDxfId="91" totalsRowBorderDxfId="90">
  <autoFilter ref="M3:O6" xr:uid="{D166BDD1-ACD7-45D7-8AE9-7350373F8CEB}"/>
  <tableColumns count="3">
    <tableColumn id="1" xr3:uid="{64F0205E-DEA7-4571-BA86-E4374A5FEE28}" name="Type" totalsRowLabel="Total" dataDxfId="89" totalsRowDxfId="88"/>
    <tableColumn id="2" xr3:uid="{15FA05F9-789C-4459-9BE0-5C1EC84D3365}" name="amount" totalsRowFunction="custom" dataDxfId="87" totalsRowDxfId="86">
      <totalsRowFormula>SUM(N5:N6)</totalsRowFormula>
    </tableColumn>
    <tableColumn id="3" xr3:uid="{3681D409-90C6-44D0-BDE2-4B5943A516F0}" name="Actual" totalsRowFunction="custom" totalsRowDxfId="85">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84" totalsRowDxfId="83"/>
    <tableColumn id="2" xr3:uid="{5B9D0FEE-4304-4C5C-A05C-5B27CF7841D3}" name="Type"/>
    <tableColumn id="3" xr3:uid="{6A91CA0D-C802-4C6F-9F39-CA53687E8EDE}" name="Description"/>
    <tableColumn id="4" xr3:uid="{A251D40C-AB87-4BB4-85F8-444B20E32FDF}" name="Total" totalsRowFunction="custom" dataDxfId="82" totalsRowDxfId="81"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8" totalsRowCount="1" headerRowDxfId="80" headerRowBorderDxfId="79">
  <autoFilter ref="A1:I1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78"/>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77">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6" totalsRowCount="1" headerRowDxfId="76" headerRowBorderDxfId="75">
  <autoFilter ref="A4:H15" xr:uid="{A4C80688-A8BA-4BA7-90B4-791CD99446B4}"/>
  <sortState xmlns:xlrd2="http://schemas.microsoft.com/office/spreadsheetml/2017/richdata2" ref="A5:H6">
    <sortCondition ref="A4:A6"/>
  </sortState>
  <tableColumns count="8">
    <tableColumn id="1" xr3:uid="{4A818912-918E-4111-ACFC-BC93FEF7C1AD}" name="Date" dataDxfId="74" totalsRowDxfId="18"/>
    <tableColumn id="8" xr3:uid="{477ACFD5-62AF-4F69-974B-E9B974C11D7D}" name="Party Name" dataDxfId="73"/>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72">
      <calculatedColumnFormula>Table2[[#This Row],[Quantity]]*250</calculatedColumnFormula>
    </tableColumn>
    <tableColumn id="6" xr3:uid="{30432929-CBD4-4BA8-B63F-CD0F6CF6405F}" name="Paid" totalsRowFunction="sum" dataDxfId="71">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70">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69" totalsRowDxfId="68"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67" totalsRowDxfId="66"/>
    <tableColumn id="2" xr3:uid="{053BFC14-4828-417C-9F9F-95B6E232A945}" name="Amount" totalsRowFunction="custom" dataDxfId="65" totalsRowDxfId="64"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63" totalsRowDxfId="0"/>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53" totalsRowDxfId="52"/>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51" totalsRowDxfId="50"/>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49">
      <calculatedColumnFormula>Billing!O5</calculatedColumnFormula>
    </tableColumn>
    <tableColumn id="2" xr3:uid="{7093A59E-B58F-487D-888A-9AA8156B5F9A}" name="Amount Paid" dataDxfId="48">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Credit" dataDxfId="47"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75"/>
  <sheetViews>
    <sheetView topLeftCell="A32" zoomScale="103" workbookViewId="0">
      <selection activeCell="E56" sqref="E56"/>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361230.797366496</v>
      </c>
      <c r="D4">
        <v>10</v>
      </c>
      <c r="E4" s="14">
        <f>(SUMIFS(ledger!G:G, ledger!B:B, B4, ledger!E:E, "&lt;&gt;*RD*",ledger!D:D, "Silky") / 1.0936)*12 + (SUMIFS(ledger!G:G, ledger!B:B, B4, ledger!E:E, "&lt;&gt;*RD*",ledger!D:D, "Chamki") / 1.0936)*10</f>
        <v>3612692.0263350406</v>
      </c>
      <c r="I4" s="4" t="s">
        <v>21</v>
      </c>
      <c r="J4" s="5">
        <v>361230.797366496</v>
      </c>
      <c r="K4" s="18">
        <v>3612692.0263350406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59466.898317483545</v>
      </c>
      <c r="D5">
        <v>10</v>
      </c>
      <c r="E5" s="14">
        <f>(SUMIFS(ledger!G:G, ledger!B:B, B5, ledger!E:E, "&lt;&gt;*RD*",ledger!D:D, "Silky") / 1.0936)*12 + (SUMIFS(ledger!G:G, ledger!B:B, B5, ledger!E:E, "&lt;&gt;*RD*",ledger!D:D, "Chamki") / 1.0936)*10</f>
        <v>624464.15508412581</v>
      </c>
      <c r="I5" s="4" t="s">
        <v>22</v>
      </c>
      <c r="J5" s="5">
        <v>59466.898317483545</v>
      </c>
      <c r="K5" s="18">
        <v>624464.15508412581</v>
      </c>
      <c r="O5" s="25" t="str" cm="1">
        <f t="array" ref="O5:O19">_xlfn.UNIQUE(Table1[Party Name])</f>
        <v>BSC</v>
      </c>
      <c r="P5" s="23" cm="1">
        <f t="array" ref="P5">_xlfn.BYROW(B26,_xlfn.LAMBDA(_xlpm.party,SUMIFS(ledger!G:G,ledger!B:B,_xlpm.party,ledger!E:E,"&lt;&gt;*RD*")))+_xlfn.IFNA(C61,0)</f>
        <v>1584863</v>
      </c>
      <c r="Q5" s="23" cm="1">
        <f t="array" ref="Q5">_xlfn.BYROW(B26, _xlfn.LAMBDA(_xlpm.party, SUMIFS(ledger!G:G, ledger!B:B, _xlpm.party, ledger!E:E, "&lt;&gt;*RD*") / 1.0936 ))+_xlfn.IFNA(D61,0)</f>
        <v>1449216.349670812</v>
      </c>
      <c r="R5" s="23" cm="1">
        <f t="array" ref="R5">(_xlfn.BYROW(B26,_xlfn.LAMBDA(_xlpm.party,SUMIFS(ledger!G:G,ledger!B:B,_xlpm.party,ledger!E:E,"&lt;&gt;*RD*",ledger!D:D,"Chamki")+SUMIFS(ledger!G:G, ledger!B:B, _xlpm.party, ledger!E:E, "&lt;&gt;*RD*", ledger!D:D, "Crinkle")))/1.0936)+_xlfn.IFNA(E61,0)</f>
        <v>1434472.3847841991</v>
      </c>
      <c r="S5" s="78" cm="1">
        <f t="array" ref="S5">(_xlfn.BYROW(B26,_xlfn.LAMBDA(_xlpm.party,SUMIFS(ledger!G:G,ledger!B:B,_xlpm.party,ledger!E:E,"&lt;&gt;*RD*",ledger!D:D,"Silky")))/1.0936)+_xlfn.IFNA(F61,0)</f>
        <v>14743.964886613023</v>
      </c>
      <c r="T5" s="23" cm="1">
        <f t="array" ref="T5">(_xlfn.BYROW(B26,_xlfn.LAMBDA(_xlpm.party,(SUMIFS(ledger!G:G,ledger!B:B,_xlpm.party,ledger!E:E,"&lt;&gt;*RD*",ledger!D:D, "Chamki")+SUMIFS(ledger!G:G, ledger!B:B, _xlpm.party, ledger!E:E, "&lt;&gt;*RD*", ledger!D:D, "Crinkle"))/1.0936))*L26)+_xlfn.IFNA(G61,0)</f>
        <v>14344723.847841993</v>
      </c>
      <c r="U5" s="23" cm="1">
        <f t="array" ref="U5">(_xlfn.BYROW(B26,_xlfn.LAMBDA(_xlpm.party,SUMIFS(ledger!G:G,ledger!B:B,_xlpm.party,ledger!E:E,"&lt;&gt;*RD*",ledger!D:D, "Silky")/1.0936))* 12)+_xlfn.IFNA(H61,0)</f>
        <v>176927.57863935624</v>
      </c>
      <c r="V5" s="44">
        <f>T5+U5</f>
        <v>14521651.426481349</v>
      </c>
      <c r="W5" s="23">
        <f>(SUMIF(Table14[Party],O5,Table14[Credit]))+_xlfn.IFNA(J61,0)</f>
        <v>11275843</v>
      </c>
      <c r="X5" s="97">
        <f>V5-W5</f>
        <v>3245808.4264813494</v>
      </c>
      <c r="Y5" s="22">
        <v>10</v>
      </c>
      <c r="Z5" s="22">
        <v>12</v>
      </c>
    </row>
    <row r="6" spans="2:26" x14ac:dyDescent="0.3">
      <c r="B6" t="str">
        <f t="shared" si="0"/>
        <v>Arshad</v>
      </c>
      <c r="C6" s="18">
        <f>SUMIFS(ledger!G:G, ledger!B:B, B6, ledger!E:E, "&lt;&gt;*RD*") / 1.0936</f>
        <v>66144.842721287496</v>
      </c>
      <c r="D6">
        <v>10</v>
      </c>
      <c r="E6" s="14">
        <f>(SUMIFS(ledger!G:G, ledger!B:B, B6, ledger!E:E, "&lt;&gt;*RD*",ledger!D:D, "Silky") / 1.0936)*12 + (SUMIFS(ledger!G:G, ledger!B:B, B6, ledger!E:E, "&lt;&gt;*RD*",ledger!D:D, "Chamki") / 1.0936)*10</f>
        <v>691036.94220921735</v>
      </c>
      <c r="I6" s="4" t="s">
        <v>9</v>
      </c>
      <c r="J6" s="5">
        <v>66144.842721287496</v>
      </c>
      <c r="K6" s="18">
        <v>691036.94220921735</v>
      </c>
      <c r="O6" s="25" t="str">
        <v>Ejaz Sahab</v>
      </c>
      <c r="P6" s="23" cm="1">
        <f t="array" ref="P6">_xlfn.BYROW(B27,_xlfn.LAMBDA(_xlpm.party,SUMIFS(ledger!G:G,ledger!B:B,_xlpm.party,ledger!E:E,"&lt;&gt;*RD*")))+_xlfn.IFNA(C62,0)</f>
        <v>159072</v>
      </c>
      <c r="Q6" s="23" cm="1">
        <f t="array" ref="Q6">_xlfn.BYROW(B27, _xlfn.LAMBDA(_xlpm.party, SUMIFS(ledger!G:G, ledger!B:B, _xlpm.party, ledger!E:E, "&lt;&gt;*RD*") / 1.0936 ))+_xlfn.IFNA(D62,0)</f>
        <v>145457.20555961962</v>
      </c>
      <c r="R6" s="23" cm="1">
        <f t="array" ref="R6">(_xlfn.BYROW(B27,_xlfn.LAMBDA(_xlpm.party,SUMIFS(ledger!G:G,ledger!B:B,_xlpm.party,ledger!E:E,"&lt;&gt;*RD*",ledger!D:D,"Chamki")+SUMIFS(ledger!G:G, ledger!B:B, _xlpm.party, ledger!E:E, "&lt;&gt;*RD*", ledger!D:D, "Crinkle")))/1.0936)+_xlfn.IFNA(E62,0)</f>
        <v>130559.6196049744</v>
      </c>
      <c r="S6" s="78" cm="1">
        <f t="array" ref="S6">(_xlfn.BYROW(B27,_xlfn.LAMBDA(_xlpm.party,SUMIFS(ledger!G:G,ledger!B:B,_xlpm.party,ledger!E:E,"&lt;&gt;*RD*",ledger!D:D,"Silky")))/1.0936)+_xlfn.IFNA(F62,0)</f>
        <v>14897.58595464521</v>
      </c>
      <c r="T6" s="23" cm="1">
        <f t="array" ref="T6">(_xlfn.BYROW(B27,_xlfn.LAMBDA(_xlpm.party,(SUMIFS(ledger!G:G,ledger!B:B,_xlpm.party,ledger!E:E,"&lt;&gt;*RD*",ledger!D:D, "Chamki")+SUMIFS(ledger!G:G, ledger!B:B, _xlpm.party, ledger!E:E, "&lt;&gt;*RD*", ledger!D:D, "Crinkle"))/1.0936))*L27)+_xlfn.IFNA(G62,0)</f>
        <v>1305596.196049744</v>
      </c>
      <c r="U6" s="23" cm="1">
        <f t="array" ref="U6">(_xlfn.BYROW(B27,_xlfn.LAMBDA(_xlpm.party,SUMIFS(ledger!G:G,ledger!B:B,_xlpm.party,ledger!E:E,"&lt;&gt;*RD*",ledger!D:D, "Silky")/1.0936))* 12)+_xlfn.IFNA(H62,0)</f>
        <v>178771.03145574252</v>
      </c>
      <c r="V6" s="44">
        <f t="shared" ref="V6:V12" si="1">T6+U6</f>
        <v>1484367.2275054865</v>
      </c>
      <c r="W6" s="23">
        <f>(SUMIF(Table14[Party],O6,Table14[Credit]))+_xlfn.IFNA(J62,0)</f>
        <v>859904</v>
      </c>
      <c r="X6" s="97">
        <f>V6-W6</f>
        <v>624463.22750548646</v>
      </c>
      <c r="Y6" s="22">
        <v>10</v>
      </c>
      <c r="Z6" s="22">
        <v>12</v>
      </c>
    </row>
    <row r="7" spans="2:26" x14ac:dyDescent="0.3">
      <c r="B7" t="str">
        <f t="shared" si="0"/>
        <v>Shehzad Kamoki</v>
      </c>
      <c r="C7" s="18">
        <f>SUMIFS(ledger!G:G, ledger!B:B, B7, ledger!E:E, "&lt;&gt;*RD*") / 1.0936</f>
        <v>13635.6986100951</v>
      </c>
      <c r="D7">
        <v>10.5</v>
      </c>
      <c r="E7" s="14">
        <f>(SUMIFS(ledger!G:G, ledger!B:B, B7, ledger!E:E, "&lt;&gt;*RD*",ledger!D:D, "Silky") / 1.0936)*12 + (SUMIFS(ledger!G:G, ledger!B:B, B7, ledger!E:E, "&lt;&gt;*RD*",ledger!D:D, "Chamki") / 1.0936)*10.5</f>
        <v>143174.83540599854</v>
      </c>
      <c r="I7" s="4" t="s">
        <v>23</v>
      </c>
      <c r="J7" s="5">
        <v>13635.6986100951</v>
      </c>
      <c r="K7" s="18">
        <v>143174.83540599854</v>
      </c>
      <c r="O7" s="25" t="str">
        <v>Arshad</v>
      </c>
      <c r="P7" s="23" cm="1">
        <f t="array" ref="P7">_xlfn.BYROW(B28,_xlfn.LAMBDA(_xlpm.party,SUMIFS(ledger!G:G,ledger!B:B,_xlpm.party,ledger!E:E,"&lt;&gt;*RD*")))+_xlfn.IFNA(C63,0)</f>
        <v>229444</v>
      </c>
      <c r="Q7" s="23" cm="1">
        <f t="array" ref="Q7">_xlfn.BYROW(B28, _xlfn.LAMBDA(_xlpm.party, SUMIFS(ledger!G:G, ledger!B:B, _xlpm.party, ledger!E:E, "&lt;&gt;*RD*") / 1.0936 ))+_xlfn.IFNA(D63,0)</f>
        <v>209806.14484272129</v>
      </c>
      <c r="R7" s="23" cm="1">
        <f t="array" ref="R7">(_xlfn.BYROW(B28,_xlfn.LAMBDA(_xlpm.party,SUMIFS(ledger!G:G,ledger!B:B,_xlpm.party,ledger!E:E,"&lt;&gt;*RD*",ledger!D:D,"Chamki")+SUMIFS(ledger!G:G, ledger!B:B, _xlpm.party, ledger!E:E, "&lt;&gt;*RD*", ledger!D:D, "Crinkle")))/1.0936)+_xlfn.IFNA(E63,0)</f>
        <v>195011.88734455011</v>
      </c>
      <c r="S7" s="78" cm="1">
        <f t="array" ref="S7">(_xlfn.BYROW(B28,_xlfn.LAMBDA(_xlpm.party,SUMIFS(ledger!G:G,ledger!B:B,_xlpm.party,ledger!E:E,"&lt;&gt;*RD*",ledger!D:D,"Silky")))/1.0936)+_xlfn.IFNA(F63,0)</f>
        <v>14794.257498171179</v>
      </c>
      <c r="T7" s="23" cm="1">
        <f t="array" ref="T7">(_xlfn.BYROW(B28,_xlfn.LAMBDA(_xlpm.party,(SUMIFS(ledger!G:G,ledger!B:B,_xlpm.party,ledger!E:E,"&lt;&gt;*RD*",ledger!D:D, "Chamki")+SUMIFS(ledger!G:G, ledger!B:B, _xlpm.party, ledger!E:E, "&lt;&gt;*RD*", ledger!D:D, "Crinkle"))/1.0936))*L28)+_xlfn.IFNA(G63,0)</f>
        <v>1950118.8734455011</v>
      </c>
      <c r="U7" s="23" cm="1">
        <f t="array" ref="U7">(_xlfn.BYROW(B28,_xlfn.LAMBDA(_xlpm.party,SUMIFS(ledger!G:G,ledger!B:B,_xlpm.party,ledger!E:E,"&lt;&gt;*RD*",ledger!D:D, "Silky")/1.0936))* 12)+_xlfn.IFNA(H63,0)</f>
        <v>177531.08997805414</v>
      </c>
      <c r="V7" s="44">
        <f t="shared" si="1"/>
        <v>2127649.9634235553</v>
      </c>
      <c r="W7" s="23">
        <f>(SUMIF(Table14[Party],O7,Table14[Credit]))+_xlfn.IFNA(J63,0)</f>
        <v>2106701</v>
      </c>
      <c r="X7" s="97">
        <f>V7-W7</f>
        <v>20948.963423555251</v>
      </c>
      <c r="Y7" s="22">
        <v>10</v>
      </c>
      <c r="Z7" s="22">
        <v>12</v>
      </c>
    </row>
    <row r="8" spans="2:26" x14ac:dyDescent="0.3">
      <c r="B8" t="str">
        <f t="shared" si="0"/>
        <v>Sufi Nawaz Sahab</v>
      </c>
      <c r="C8" s="18">
        <f>SUMIFS(ledger!G:G, ledger!B:B, B8, ledger!E:E, "&lt;&gt;*RD*") / 1.0936</f>
        <v>381209.76591075351</v>
      </c>
      <c r="D8">
        <v>10</v>
      </c>
      <c r="E8" s="14">
        <f>((SUMIFS(ledger!G:G, ledger!B:B, B8, ledger!E:E, "&lt;&gt;*RD*",ledger!D:D, "Silky") / 1.0936) *12) + ((SUMIFS(ledger!G:G, ledger!B:B, B8, ledger!E:E, "&lt;&gt;*RD*",ledger!D:D, "Chamki") / 1.0936)* 9)</f>
        <v>4037534.7476225314</v>
      </c>
      <c r="I8" s="4" t="s">
        <v>24</v>
      </c>
      <c r="J8" s="5">
        <v>381209.76591075351</v>
      </c>
      <c r="K8" s="18">
        <v>4037534.7476225314</v>
      </c>
      <c r="O8" s="25" t="str">
        <v>Shehzad Kamoki</v>
      </c>
      <c r="P8" s="23" cm="1">
        <f t="array" ref="P8">_xlfn.BYROW(B29,_xlfn.LAMBDA(_xlpm.party,SUMIFS(ledger!G:G,ledger!B:B,_xlpm.party,ledger!E:E,"&lt;&gt;*RD*")))+_xlfn.IFNA(C64,0)</f>
        <v>134607</v>
      </c>
      <c r="Q8" s="23" cm="1">
        <f t="array" ref="Q8">_xlfn.BYROW(B29, _xlfn.LAMBDA(_xlpm.party, SUMIFS(ledger!G:G, ledger!B:B, _xlpm.party, ledger!E:E, "&lt;&gt;*RD*") / 1.0936 ))+_xlfn.IFNA(D64,0)</f>
        <v>123086.13752743235</v>
      </c>
      <c r="R8" s="23" cm="1">
        <f t="array" ref="R8">(_xlfn.BYROW(B29,_xlfn.LAMBDA(_xlpm.party,SUMIFS(ledger!G:G,ledger!B:B,_xlpm.party,ledger!E:E,"&lt;&gt;*RD*",ledger!D:D,"Chamki")+SUMIFS(ledger!G:G, ledger!B:B, _xlpm.party, ledger!E:E, "&lt;&gt;*RD*", ledger!D:D, "Crinkle")))/1.0936)+_xlfn.IFNA(E64,0)</f>
        <v>123086.13752743235</v>
      </c>
      <c r="S8" s="78" cm="1">
        <f t="array" ref="S8">(_xlfn.BYROW(B29,_xlfn.LAMBDA(_xlpm.party,SUMIFS(ledger!G:G,ledger!B:B,_xlpm.party,ledger!E:E,"&lt;&gt;*RD*",ledger!D:D,"Silky")))/1.0936)+_xlfn.IFNA(F64,0)</f>
        <v>0</v>
      </c>
      <c r="T8" s="23" cm="1">
        <f t="array" ref="T8">(_xlfn.BYROW(B29,_xlfn.LAMBDA(_xlpm.party,(SUMIFS(ledger!G:G,ledger!B:B,_xlpm.party,ledger!E:E,"&lt;&gt;*RD*",ledger!D:D, "Chamki")+SUMIFS(ledger!G:G, ledger!B:B, _xlpm.party, ledger!E:E, "&lt;&gt;*RD*", ledger!D:D, "Crinkle"))/1.0936))*L29)+_xlfn.IFNA(G64,0)</f>
        <v>1269270.3440380397</v>
      </c>
      <c r="U8" s="23" cm="1">
        <f t="array" ref="U8">(_xlfn.BYROW(B29,_xlfn.LAMBDA(_xlpm.party,SUMIFS(ledger!G:G,ledger!B:B,_xlpm.party,ledger!E:E,"&lt;&gt;*RD*",ledger!D:D, "Silky")/1.0936))* 12)+_xlfn.IFNA(H64,0)</f>
        <v>0</v>
      </c>
      <c r="V8" s="44">
        <f t="shared" si="1"/>
        <v>1269270.3440380397</v>
      </c>
      <c r="W8" s="23">
        <f>(SUMIF(Table14[Party],O8,Table14[Credit]))+_xlfn.IFNA(J64,0)</f>
        <v>1268740</v>
      </c>
      <c r="X8" s="97">
        <f>V8-W8</f>
        <v>530.34403803967871</v>
      </c>
      <c r="Y8" s="22">
        <v>10.5</v>
      </c>
      <c r="Z8" s="22">
        <v>13</v>
      </c>
    </row>
    <row r="9" spans="2:26" x14ac:dyDescent="0.3">
      <c r="B9" t="str">
        <f t="shared" si="0"/>
        <v>Sajad Khan</v>
      </c>
      <c r="C9" s="18">
        <f>SUMIFS(ledger!G:G, ledger!B:B, B9, ledger!E:E, "&lt;&gt;*RD*") / 1.0936</f>
        <v>130361.1923920995</v>
      </c>
      <c r="D9">
        <v>10</v>
      </c>
      <c r="E9" s="14" cm="1">
        <f t="array" ref="E9">(SUMIFS(ledger!G:G, ledger!B:B, B9, ledger!E:E, "&lt;&gt;*RD*",ledger!D:D, "Silky") / 1.0936)*12 + (SUMIFS(ledger!G:G, ledger!B:B, B9, ledger!E:E, "&lt;&gt;*RD*",ledger!D:D, "Chamki") / 1.0936)*10 +(SUMIFS(ledger!G:G, ledger!B:B, party, ledger!E:E, "&lt;&gt;*RD*", ledger!D:D, "Crinkle")/ 1.0936)*10</f>
        <v>1303611.9239209951</v>
      </c>
      <c r="I9" s="4" t="s">
        <v>25</v>
      </c>
      <c r="J9" s="5">
        <v>130361.1923920995</v>
      </c>
      <c r="K9" s="18">
        <v>1303611.9239209951</v>
      </c>
      <c r="O9" s="25" t="str">
        <v>Sufi Nawaz Sahab</v>
      </c>
      <c r="P9" s="23" cm="1">
        <f t="array" ref="P9">_xlfn.BYROW(B30,_xlfn.LAMBDA(_xlpm.party,SUMIFS(ledger!G:G,ledger!B:B,_xlpm.party,ledger!E:E,"&lt;&gt;*RD*")))+_xlfn.IFNA(C65,0)</f>
        <v>1048250</v>
      </c>
      <c r="Q9" s="23" cm="1">
        <f t="array" ref="Q9">_xlfn.BYROW(B30, _xlfn.LAMBDA(_xlpm.party, SUMIFS(ledger!G:G, ledger!B:B, _xlpm.party, ledger!E:E, "&lt;&gt;*RD*") / 1.0936 ))+_xlfn.IFNA(D65,0)</f>
        <v>958531.45574250189</v>
      </c>
      <c r="R9" s="23" cm="1">
        <f t="array" ref="R9">(_xlfn.BYROW(B30,_xlfn.LAMBDA(_xlpm.party,SUMIFS(ledger!G:G,ledger!B:B,_xlpm.party,ledger!E:E,"&lt;&gt;*RD*",ledger!D:D,"Chamki")+SUMIFS(ledger!G:G, ledger!B:B, _xlpm.party, ledger!E:E, "&lt;&gt;*RD*", ledger!D:D, "Crinkle")))/1.0936)+_xlfn.IFNA(E65,0)</f>
        <v>538397.9517190929</v>
      </c>
      <c r="S9" s="78" cm="1">
        <f t="array" ref="S9">(_xlfn.BYROW(B30,_xlfn.LAMBDA(_xlpm.party,SUMIFS(ledger!G:G,ledger!B:B,_xlpm.party,ledger!E:E,"&lt;&gt;*RD*",ledger!D:D,"Silky")))/1.0936)+_xlfn.IFNA(F65,0)</f>
        <v>420133.50402340892</v>
      </c>
      <c r="T9" s="23" cm="1">
        <f t="array" ref="T9">(_xlfn.BYROW(B30,_xlfn.LAMBDA(_xlpm.party,(SUMIFS(ledger!G:G,ledger!B:B,_xlpm.party,ledger!E:E,"&lt;&gt;*RD*",ledger!D:D, "Chamki")+SUMIFS(ledger!G:G, ledger!B:B, _xlpm.party, ledger!E:E, "&lt;&gt;*RD*", ledger!D:D, "Crinkle"))/1.0936))*L30)+_xlfn.IFNA(G65,0)</f>
        <v>4845581.5654718373</v>
      </c>
      <c r="U9" s="23" cm="1">
        <f t="array" ref="U9">(_xlfn.BYROW(B30,_xlfn.LAMBDA(_xlpm.party,SUMIFS(ledger!G:G,ledger!B:B,_xlpm.party,ledger!E:E,"&lt;&gt;*RD*",ledger!D:D, "Silky")/1.0936))* 12)+_xlfn.IFNA(H65,0)</f>
        <v>5041602.0482809078</v>
      </c>
      <c r="V9" s="44">
        <f t="shared" si="1"/>
        <v>9887183.6137527451</v>
      </c>
      <c r="W9" s="23">
        <f>(SUMIF(Table14[Party],O9,Table14[Credit]))+_xlfn.IFNA(J65,0)</f>
        <v>8629100</v>
      </c>
      <c r="X9" s="97">
        <f t="shared" ref="X9:X17" si="2">V9-W9</f>
        <v>1258083.6137527451</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26</v>
      </c>
      <c r="J10" s="5">
        <v>23509.509875640091</v>
      </c>
      <c r="K10" s="18">
        <v>235095.09875640093</v>
      </c>
      <c r="O10" s="25" t="str">
        <v>Sajad Khan</v>
      </c>
      <c r="P10" s="23" cm="1">
        <f t="array" ref="P10">_xlfn.BYROW(B31,_xlfn.LAMBDA(_xlpm.party,SUMIFS(ledger!G:G,ledger!B:B,_xlpm.party,ledger!E:E,"&lt;&gt;*RD*")))+_xlfn.IFNA(C66,0)</f>
        <v>417119</v>
      </c>
      <c r="Q10" s="23" cm="1">
        <f t="array" ref="Q10">_xlfn.BYROW(B31, _xlfn.LAMBDA(_xlpm.party, SUMIFS(ledger!G:G, ledger!B:B, _xlpm.party, ledger!E:E, "&lt;&gt;*RD*") / 1.0936 ))+_xlfn.IFNA(D66,0)</f>
        <v>381418.25164594001</v>
      </c>
      <c r="R10" s="23" cm="1">
        <f t="array" ref="R10">(_xlfn.BYROW(B31,_xlfn.LAMBDA(_xlpm.party,SUMIFS(ledger!G:G,ledger!B:B,_xlpm.party,ledger!E:E,"&lt;&gt;*RD*",ledger!D:D,"Chamki")+SUMIFS(ledger!G:G, ledger!B:B, _xlpm.party, ledger!E:E, "&lt;&gt;*RD*", ledger!D:D, "Crinkle")))/1.0936)+_xlfn.IFNA(E66,0)</f>
        <v>381418.25164594001</v>
      </c>
      <c r="S10" s="78" cm="1">
        <f t="array" ref="S10">(_xlfn.BYROW(B31,_xlfn.LAMBDA(_xlpm.party,SUMIFS(ledger!G:G,ledger!B:B,_xlpm.party,ledger!E:E,"&lt;&gt;*RD*",ledger!D:D,"Silky")))/1.0936)+_xlfn.IFNA(F66,0)</f>
        <v>0</v>
      </c>
      <c r="T10" s="23" cm="1">
        <f t="array" ref="T10">(_xlfn.BYROW(B31,_xlfn.LAMBDA(_xlpm.party,(SUMIFS(ledger!G:G,ledger!B:B,_xlpm.party,ledger!E:E,"&lt;&gt;*RD*",ledger!D:D, "Chamki")+SUMIFS(ledger!G:G, ledger!B:B, _xlpm.party, ledger!E:E, "&lt;&gt;*RD*", ledger!D:D, "Crinkle"))/1.0936))*L31)+_xlfn.IFNA(G66,0)</f>
        <v>3814182.5164594003</v>
      </c>
      <c r="U10" s="23" cm="1">
        <f t="array" ref="U10">(_xlfn.BYROW(B31,_xlfn.LAMBDA(_xlpm.party,SUMIFS(ledger!G:G,ledger!B:B,_xlpm.party,ledger!E:E,"&lt;&gt;*RD*",ledger!D:D, "Silky")/1.0936))* 12)+_xlfn.IFNA(H66,0)</f>
        <v>0</v>
      </c>
      <c r="V10" s="44">
        <f t="shared" si="1"/>
        <v>3814182.5164594003</v>
      </c>
      <c r="W10" s="23">
        <f>(SUMIF(Table14[Party],O10,Table14[Credit]))+_xlfn.IFNA(J66,0)</f>
        <v>3751266</v>
      </c>
      <c r="X10" s="97">
        <f t="shared" si="2"/>
        <v>62916.5164594003</v>
      </c>
      <c r="Y10" s="22">
        <v>10</v>
      </c>
      <c r="Z10" s="22">
        <v>12</v>
      </c>
    </row>
    <row r="11" spans="2:26" x14ac:dyDescent="0.3">
      <c r="B11" t="str">
        <f t="shared" si="0"/>
        <v>Azam</v>
      </c>
      <c r="C11" s="18">
        <f>SUMIFS(ledger!G:G, ledger!B:B, B11, ledger!E:E, "&lt;&gt;*RD*") / 1.0936</f>
        <v>96059.802487198249</v>
      </c>
      <c r="D11">
        <v>10</v>
      </c>
      <c r="E11" s="14">
        <f>(SUMIFS(ledger!G:G, ledger!B:B, B11, ledger!E:E, "&lt;&gt;*RD*",ledger!D:D, "Silky") / 1.0936)*12 + (SUMIFS(ledger!G:G, ledger!B:B, B11, ledger!E:E, "&lt;&gt;*RD*",ledger!D:D, "Chamki") / 1.0936)*10</f>
        <v>960598.02487198252</v>
      </c>
      <c r="I11" s="4" t="s">
        <v>162</v>
      </c>
      <c r="J11" s="5">
        <v>96059.802487198249</v>
      </c>
      <c r="K11" s="18">
        <v>960598.02487198252</v>
      </c>
      <c r="O11" s="25" t="str">
        <v>Raaz Fabrics</v>
      </c>
      <c r="P11" s="23" cm="1">
        <f t="array" ref="P11">_xlfn.BYROW(B32,_xlfn.LAMBDA(_xlpm.party,SUMIFS(ledger!G:G,ledger!B:B,_xlpm.party,ledger!E:E,"&lt;&gt;*RD*")))+_xlfn.IFNA(C67,0)</f>
        <v>75559</v>
      </c>
      <c r="Q11" s="23" cm="1">
        <f t="array" ref="Q11">_xlfn.BYROW(B32, _xlfn.LAMBDA(_xlpm.party, SUMIFS(ledger!G:G, ledger!B:B, _xlpm.party, ledger!E:E, "&lt;&gt;*RD*") / 1.0936 ))+_xlfn.IFNA(D67,0)</f>
        <v>69091.989758595475</v>
      </c>
      <c r="R11" s="23" cm="1">
        <f t="array" ref="R11">(_xlfn.BYROW(B32,_xlfn.LAMBDA(_xlpm.party,SUMIFS(ledger!G:G,ledger!B:B,_xlpm.party,ledger!E:E,"&lt;&gt;*RD*",ledger!D:D,"Chamki")+SUMIFS(ledger!G:G, ledger!B:B, _xlpm.party, ledger!E:E, "&lt;&gt;*RD*", ledger!D:D, "Crinkle")))/1.0936)+_xlfn.IFNA(E67,0)</f>
        <v>69091.989758595475</v>
      </c>
      <c r="S11" s="78" cm="1">
        <f t="array" ref="S11">(_xlfn.BYROW(B32,_xlfn.LAMBDA(_xlpm.party,SUMIFS(ledger!G:G,ledger!B:B,_xlpm.party,ledger!E:E,"&lt;&gt;*RD*",ledger!D:D,"Silky")))/1.0936)+_xlfn.IFNA(F67,0)</f>
        <v>0</v>
      </c>
      <c r="T11" s="23" cm="1">
        <f t="array" ref="T11">(_xlfn.BYROW(B32,_xlfn.LAMBDA(_xlpm.party,(SUMIFS(ledger!G:G,ledger!B:B,_xlpm.party,ledger!E:E,"&lt;&gt;*RD*",ledger!D:D, "Chamki")+SUMIFS(ledger!G:G, ledger!B:B, _xlpm.party, ledger!E:E, "&lt;&gt;*RD*", ledger!D:D, "Crinkle"))/1.0936))*L32)+_xlfn.IFNA(G67,0)</f>
        <v>690919.89758595475</v>
      </c>
      <c r="U11" s="23" cm="1">
        <f t="array" ref="U11">(_xlfn.BYROW(B32,_xlfn.LAMBDA(_xlpm.party,SUMIFS(ledger!G:G,ledger!B:B,_xlpm.party,ledger!E:E,"&lt;&gt;*RD*",ledger!D:D, "Silky")/1.0936))* 12)+_xlfn.IFNA(H67,0)</f>
        <v>0</v>
      </c>
      <c r="V11" s="44">
        <f t="shared" si="1"/>
        <v>690919.89758595475</v>
      </c>
      <c r="W11" s="23">
        <f>(SUMIF(Table14[Party],O11,Table14[Credit]))+_xlfn.IFNA(J67,0)</f>
        <v>600000</v>
      </c>
      <c r="X11" s="97">
        <f t="shared" si="2"/>
        <v>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35</v>
      </c>
      <c r="J12" s="5">
        <v>15599.853694220923</v>
      </c>
      <c r="K12" s="18">
        <v>155998.53694220923</v>
      </c>
      <c r="M12" s="33"/>
      <c r="N12" s="33"/>
      <c r="O12" s="25" t="str">
        <v>Azam</v>
      </c>
      <c r="P12" s="23" cm="1">
        <f t="array" ref="P12">_xlfn.BYROW(B33,_xlfn.LAMBDA(_xlpm.party,SUMIFS(ledger!G:G,ledger!B:B,_xlpm.party,ledger!E:E,"&lt;&gt;*RD*")))+_xlfn.IFNA(C68,0)</f>
        <v>133600</v>
      </c>
      <c r="Q12" s="23" cm="1">
        <f t="array" ref="Q12">_xlfn.BYROW(B33, _xlfn.LAMBDA(_xlpm.party, SUMIFS(ledger!G:G, ledger!B:B, _xlpm.party, ledger!E:E, "&lt;&gt;*RD*") / 1.0936 ))+_xlfn.IFNA(D68,0)</f>
        <v>122165.32553035846</v>
      </c>
      <c r="R12" s="23" cm="1">
        <f t="array" ref="R12">(_xlfn.BYROW(B33,_xlfn.LAMBDA(_xlpm.party,SUMIFS(ledger!G:G,ledger!B:B,_xlpm.party,ledger!E:E,"&lt;&gt;*RD*",ledger!D:D,"Chamki")+SUMIFS(ledger!G:G, ledger!B:B, _xlpm.party, ledger!E:E, "&lt;&gt;*RD*", ledger!D:D, "Crinkle")))/1.0936)+_xlfn.IFNA(E68,0)</f>
        <v>122165.32553035846</v>
      </c>
      <c r="S12" s="78" cm="1">
        <f t="array" ref="S12">(_xlfn.BYROW(B33,_xlfn.LAMBDA(_xlpm.party,SUMIFS(ledger!G:G,ledger!B:B,_xlpm.party,ledger!E:E,"&lt;&gt;*RD*",ledger!D:D,"Silky")))/1.0936)+_xlfn.IFNA(F68,0)</f>
        <v>0</v>
      </c>
      <c r="T12" s="23" cm="1">
        <f t="array" ref="T12">(_xlfn.BYROW(B33,_xlfn.LAMBDA(_xlpm.party,(SUMIFS(ledger!G:G,ledger!B:B,_xlpm.party,ledger!E:E,"&lt;&gt;*RD*",ledger!D:D, "Chamki")+SUMIFS(ledger!G:G, ledger!B:B, _xlpm.party, ledger!E:E, "&lt;&gt;*RD*", ledger!D:D, "Crinkle"))/1.0936))*L33)+_xlfn.IFNA(G68,0)</f>
        <v>1221653.2553035845</v>
      </c>
      <c r="U12" s="23" cm="1">
        <f t="array" ref="U12">(_xlfn.BYROW(B33,_xlfn.LAMBDA(_xlpm.party,SUMIFS(ledger!G:G,ledger!B:B,_xlpm.party,ledger!E:E,"&lt;&gt;*RD*",ledger!D:D, "Silky")/1.0936))* 12)+_xlfn.IFNA(H68,0)</f>
        <v>0</v>
      </c>
      <c r="V12" s="44">
        <f t="shared" si="1"/>
        <v>1221653.2553035845</v>
      </c>
      <c r="W12" s="23">
        <f>(SUMIF(Table14[Party],O12,Table14[Credit]))+_xlfn.IFNA(J68,0)</f>
        <v>1221620</v>
      </c>
      <c r="X12" s="97">
        <f t="shared" si="2"/>
        <v>33.255303584504873</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157</v>
      </c>
      <c r="J13" s="5">
        <v>0</v>
      </c>
      <c r="K13" s="18">
        <v>0</v>
      </c>
      <c r="O13" s="25" t="str">
        <v>Ubaidullah</v>
      </c>
      <c r="P13" s="23" cm="1">
        <f t="array" ref="P13">_xlfn.BYROW(B34,_xlfn.LAMBDA(_xlpm.party,SUMIFS(ledger!G:G,ledger!B:B,_xlpm.party,ledger!E:E,"&lt;&gt;*RD*")))+_xlfn.IFNA(C69,0)</f>
        <v>49353</v>
      </c>
      <c r="Q13" s="23" cm="1">
        <f t="array" ref="Q13">_xlfn.BYROW(B34, _xlfn.LAMBDA(_xlpm.party, SUMIFS(ledger!G:G, ledger!B:B, _xlpm.party, ledger!E:E, "&lt;&gt;*RD*") / 1.0936 ))+_xlfn.IFNA(D69,0)</f>
        <v>45128.931967812736</v>
      </c>
      <c r="R13" s="23" cm="1">
        <f t="array" ref="R13">(_xlfn.BYROW(B34,_xlfn.LAMBDA(_xlpm.party,SUMIFS(ledger!G:G,ledger!B:B,_xlpm.party,ledger!E:E,"&lt;&gt;*RD*",ledger!D:D,"Chamki")+SUMIFS(ledger!G:G, ledger!B:B, _xlpm.party, ledger!E:E, "&lt;&gt;*RD*", ledger!D:D, "Crinkle")))/1.0936)+_xlfn.IFNA(E69,0)</f>
        <v>45128.931967812736</v>
      </c>
      <c r="S13" s="78" cm="1">
        <f t="array" ref="S13">(_xlfn.BYROW(B34,_xlfn.LAMBDA(_xlpm.party,SUMIFS(ledger!G:G,ledger!B:B,_xlpm.party,ledger!E:E,"&lt;&gt;*RD*",ledger!D:D,"Silky")))/1.0936)+_xlfn.IFNA(F69,0)</f>
        <v>0</v>
      </c>
      <c r="T13" s="23" cm="1">
        <f t="array" ref="T13">(_xlfn.BYROW(B34,_xlfn.LAMBDA(_xlpm.party,(SUMIFS(ledger!G:G,ledger!B:B,_xlpm.party,ledger!E:E,"&lt;&gt;*RD*",ledger!D:D, "Chamki")+SUMIFS(ledger!G:G, ledger!B:B, _xlpm.party, ledger!E:E, "&lt;&gt;*RD*", ledger!D:D, "Crinkle"))/1.0936))*L34)+_xlfn.IFNA(G69,0)</f>
        <v>451289.31967812736</v>
      </c>
      <c r="U13" s="23" cm="1">
        <f t="array" ref="U13">(_xlfn.BYROW(B34,_xlfn.LAMBDA(_xlpm.party,SUMIFS(ledger!G:G,ledger!B:B,_xlpm.party,ledger!E:E,"&lt;&gt;*RD*",ledger!D:D, "Silky")/1.0936))* 12)+_xlfn.IFNA(H69,0)</f>
        <v>0</v>
      </c>
      <c r="V13" s="44">
        <f t="shared" ref="V13:V17" si="4">T13+U13</f>
        <v>451289.31967812736</v>
      </c>
      <c r="W13" s="23">
        <f>(SUMIF(Table14[Party],O13,Table14[Credit]))+_xlfn.IFNA(J69,0)</f>
        <v>451150</v>
      </c>
      <c r="X13" s="97">
        <f t="shared" si="2"/>
        <v>139.3196781273582</v>
      </c>
      <c r="Y13" s="22">
        <v>10</v>
      </c>
      <c r="Z13" s="22">
        <v>12</v>
      </c>
    </row>
    <row r="14" spans="2:26" x14ac:dyDescent="0.3">
      <c r="B14" t="str">
        <f>B36</f>
        <v>Hafiz Qureshi</v>
      </c>
      <c r="C14" s="18">
        <f>SUMIFS(ledger!G:G, ledger!B:B, B14, ledger!E:E, "&lt;&gt;*RD*") / 1.0936</f>
        <v>24747.622531089979</v>
      </c>
      <c r="E14" s="14">
        <f>(SUMIFS(ledger!G:G, ledger!B:B, B14, ledger!E:E, "&lt;&gt;*RD*",ledger!D:D, "Silky") / 1.0936)*12 + (SUMIFS(ledger!G:G, ledger!B:B, B14, ledger!E:E, "&lt;&gt;*RD*",ledger!D:D, "Chamki") / 1.0936)*10</f>
        <v>247476.22531089978</v>
      </c>
      <c r="I14" s="4" t="s">
        <v>27</v>
      </c>
      <c r="J14" s="5">
        <v>24747.622531089979</v>
      </c>
      <c r="K14" s="18">
        <v>247476.22531089978</v>
      </c>
      <c r="O14" s="25" t="str">
        <v>Ashraf Zia</v>
      </c>
      <c r="P14" s="23" cm="1">
        <f t="array" ref="P14">_xlfn.BYROW(B35,_xlfn.LAMBDA(_xlpm.party,SUMIFS(ledger!G:G,ledger!B:B,_xlpm.party,ledger!E:E,"&lt;&gt;*RD*")))+_xlfn.IFNA(C70,0)</f>
        <v>23305</v>
      </c>
      <c r="Q14" s="23" cm="1">
        <f t="array" ref="Q14">_xlfn.BYROW(B35, _xlfn.LAMBDA(_xlpm.party, SUMIFS(ledger!G:G, ledger!B:B, _xlpm.party, ledger!E:E, "&lt;&gt;*RD*") / 1.0936 ))+_xlfn.IFNA(D70,0)</f>
        <v>21310.35113386979</v>
      </c>
      <c r="R14" s="23" cm="1">
        <f t="array" ref="R14">(_xlfn.BYROW(B35,_xlfn.LAMBDA(_xlpm.party,SUMIFS(ledger!G:G,ledger!B:B,_xlpm.party,ledger!E:E,"&lt;&gt;*RD*",ledger!D:D,"Chamki")+SUMIFS(ledger!G:G, ledger!B:B, _xlpm.party, ledger!E:E, "&lt;&gt;*RD*", ledger!D:D, "Crinkle")))/1.0936)+_xlfn.IFNA(E70,0)</f>
        <v>21310.35113386979</v>
      </c>
      <c r="S14" s="78" cm="1">
        <f t="array" ref="S14">(_xlfn.BYROW(B35,_xlfn.LAMBDA(_xlpm.party,SUMIFS(ledger!G:G,ledger!B:B,_xlpm.party,ledger!E:E,"&lt;&gt;*RD*",ledger!D:D,"Silky")))/1.0936)+_xlfn.IFNA(F70,0)</f>
        <v>0</v>
      </c>
      <c r="T14" s="23" cm="1">
        <f t="array" ref="T14">(_xlfn.BYROW(B35,_xlfn.LAMBDA(_xlpm.party,(SUMIFS(ledger!G:G,ledger!B:B,_xlpm.party,ledger!E:E,"&lt;&gt;*RD*",ledger!D:D, "Chamki")+SUMIFS(ledger!G:G, ledger!B:B, _xlpm.party, ledger!E:E, "&lt;&gt;*RD*", ledger!D:D, "Crinkle"))/1.0936))*L35)+_xlfn.IFNA(G70,0)</f>
        <v>255724.21360643749</v>
      </c>
      <c r="U14" s="23" cm="1">
        <f t="array" ref="U14">(_xlfn.BYROW(B35,_xlfn.LAMBDA(_xlpm.party,SUMIFS(ledger!G:G,ledger!B:B,_xlpm.party,ledger!E:E,"&lt;&gt;*RD*",ledger!D:D, "Silky")/1.0936))* 12)+_xlfn.IFNA(H70,0)</f>
        <v>0</v>
      </c>
      <c r="V14" s="44">
        <f t="shared" si="4"/>
        <v>255724.21360643749</v>
      </c>
      <c r="W14" s="23">
        <f>(SUMIF(Table14[Party],O14,Table14[Credit]))+_xlfn.IFNA(J70,0)</f>
        <v>0</v>
      </c>
      <c r="X14" s="42">
        <f t="shared" si="2"/>
        <v>255724.21360643749</v>
      </c>
      <c r="Y14" s="22">
        <v>12</v>
      </c>
      <c r="Z14" s="22">
        <v>12</v>
      </c>
    </row>
    <row r="15" spans="2:26" x14ac:dyDescent="0.3">
      <c r="B15" t="str">
        <f>B37</f>
        <v>Badshah Fabrics</v>
      </c>
      <c r="C15" s="18">
        <f>SUMIFS(ledger!G:G, ledger!B:B, B15, ledger!E:E, "&lt;&gt;*RD*") / 1.0936</f>
        <v>233938.36869056331</v>
      </c>
      <c r="E15" s="14">
        <f>(SUMIFS(ledger!G:G, ledger!B:B, B15, ledger!E:E, "&lt;&gt;*RD*",ledger!D:D, "Silky") / 1.0936)*12 + (SUMIFS(ledger!G:G, ledger!B:B, B15, ledger!E:E, "&lt;&gt;*RD*",ledger!D:D, "Chamki") / 1.0936)*10</f>
        <v>2427723.1163130947</v>
      </c>
      <c r="I15" s="4" t="s">
        <v>243</v>
      </c>
      <c r="J15" s="5">
        <v>233938.36869056331</v>
      </c>
      <c r="K15" s="18">
        <v>2427723.1163130947</v>
      </c>
      <c r="O15" s="25" t="str">
        <v>Hafiz Qureshi</v>
      </c>
      <c r="P15" s="23" cm="1">
        <f t="array" ref="P15">_xlfn.BYROW(B36,_xlfn.LAMBDA(_xlpm.party,SUMIFS(ledger!G:G,ledger!B:B,_xlpm.party,ledger!E:E,"&lt;&gt;*RD*")))+_xlfn.IFNA(C71,0)</f>
        <v>48871</v>
      </c>
      <c r="Q15" s="23" cm="1">
        <f t="array" ref="Q15">_xlfn.BYROW(B36, _xlfn.LAMBDA(_xlpm.party, SUMIFS(ledger!G:G, ledger!B:B, _xlpm.party, ledger!E:E, "&lt;&gt;*RD*") / 1.0936 ))+_xlfn.IFNA(D71,0)</f>
        <v>44688.185808339433</v>
      </c>
      <c r="R15" s="23" cm="1">
        <f t="array" ref="R15">(_xlfn.BYROW(B36,_xlfn.LAMBDA(_xlpm.party,SUMIFS(ledger!G:G,ledger!B:B,_xlpm.party,ledger!E:E,"&lt;&gt;*RD*",ledger!D:D,"Chamki")+SUMIFS(ledger!G:G, ledger!B:B, _xlpm.party, ledger!E:E, "&lt;&gt;*RD*", ledger!D:D, "Crinkle")))/1.0936)+_xlfn.IFNA(E71,0)</f>
        <v>44688.185808339433</v>
      </c>
      <c r="S15" s="78" cm="1">
        <f t="array" ref="S15">(_xlfn.BYROW(B36,_xlfn.LAMBDA(_xlpm.party,SUMIFS(ledger!G:G,ledger!B:B,_xlpm.party,ledger!E:E,"&lt;&gt;*RD*",ledger!D:D,"Silky")))/1.0936)+_xlfn.IFNA(F71,0)</f>
        <v>0</v>
      </c>
      <c r="T15" s="23" cm="1">
        <f t="array" ref="T15">(_xlfn.BYROW(B36,_xlfn.LAMBDA(_xlpm.party,(SUMIFS(ledger!G:G,ledger!B:B,_xlpm.party,ledger!E:E,"&lt;&gt;*RD*",ledger!D:D, "Chamki")+SUMIFS(ledger!G:G, ledger!B:B, _xlpm.party, ledger!E:E, "&lt;&gt;*RD*", ledger!D:D, "Crinkle"))/1.0936))*L36)+_xlfn.IFNA(G71,0)</f>
        <v>446881.85808339436</v>
      </c>
      <c r="U15" s="23" cm="1">
        <f t="array" ref="U15">(_xlfn.BYROW(B36,_xlfn.LAMBDA(_xlpm.party,SUMIFS(ledger!G:G,ledger!B:B,_xlpm.party,ledger!E:E,"&lt;&gt;*RD*",ledger!D:D, "Silky")/1.0936))* 12)+_xlfn.IFNA(H71,0)</f>
        <v>0</v>
      </c>
      <c r="V15" s="44">
        <f t="shared" si="4"/>
        <v>446881.85808339436</v>
      </c>
      <c r="W15" s="23">
        <f>(SUMIF(Table14[Party],O15,Table14[Credit]))+_xlfn.IFNA(J71,0)</f>
        <v>400000</v>
      </c>
      <c r="X15" s="42">
        <f t="shared" si="2"/>
        <v>46881.858083394356</v>
      </c>
      <c r="Y15" s="22">
        <v>10</v>
      </c>
      <c r="Z15" s="22">
        <v>12</v>
      </c>
    </row>
    <row r="16" spans="2:26" x14ac:dyDescent="0.3">
      <c r="B16" t="str">
        <f>B38</f>
        <v>Reject</v>
      </c>
      <c r="C16" s="18">
        <f>SUMIFS(ledger!G:G, ledger!B:B, B16, ledger!E:E, "&lt;&gt;*RD*") / 1.0936</f>
        <v>0</v>
      </c>
      <c r="E16" s="14">
        <f>(SUMIFS(ledger!G:G, ledger!B:B, B16, ledger!E:E, "&lt;&gt;*RD*",ledger!D:D, "Silky") / 1.0936)*12 + (SUMIFS(ledger!G:G, ledger!B:B, B16, ledger!E:E, "&lt;&gt;*RD*",ledger!D:D, "Chamki") / 1.0936)*10</f>
        <v>0</v>
      </c>
      <c r="I16" s="4" t="s">
        <v>316</v>
      </c>
      <c r="J16" s="5">
        <v>0</v>
      </c>
      <c r="K16" s="18">
        <v>0</v>
      </c>
      <c r="O16" s="25" t="str">
        <v>Badshah Fabrics</v>
      </c>
      <c r="P16" s="23" cm="1">
        <f t="array" ref="P16">_xlfn.BYROW(B37,_xlfn.LAMBDA(_xlpm.party,SUMIFS(ledger!G:G,ledger!B:B,_xlpm.party,ledger!E:E,"&lt;&gt;*RD*")))+_xlfn.IFNA(C72,0)</f>
        <v>255835</v>
      </c>
      <c r="Q16" s="23" cm="1">
        <f t="array" ref="Q16">_xlfn.BYROW(B37, _xlfn.LAMBDA(_xlpm.party, SUMIFS(ledger!G:G, ledger!B:B, _xlpm.party, ledger!E:E, "&lt;&gt;*RD*") / 1.0936 ))+_xlfn.IFNA(D72,0)</f>
        <v>233938.36869056331</v>
      </c>
      <c r="R16" s="23" cm="1">
        <f t="array" ref="R16">(_xlfn.BYROW(B37,_xlfn.LAMBDA(_xlpm.party,SUMIFS(ledger!G:G,ledger!B:B,_xlpm.party,ledger!E:E,"&lt;&gt;*RD*",ledger!D:D,"Chamki")+SUMIFS(ledger!G:G, ledger!B:B, _xlpm.party, ledger!E:E, "&lt;&gt;*RD*", ledger!D:D, "Crinkle")))/1.0936)+_xlfn.IFNA(E72,0)</f>
        <v>189768.65398683251</v>
      </c>
      <c r="S16" s="78" cm="1">
        <f t="array" ref="S16">(_xlfn.BYROW(B37,_xlfn.LAMBDA(_xlpm.party,SUMIFS(ledger!G:G,ledger!B:B,_xlpm.party,ledger!E:E,"&lt;&gt;*RD*",ledger!D:D,"Silky")))/1.0936)+_xlfn.IFNA(F72,0)</f>
        <v>44169.714703730802</v>
      </c>
      <c r="T16" s="23" cm="1">
        <f t="array" ref="T16">(_xlfn.BYROW(B37,_xlfn.LAMBDA(_xlpm.party,(SUMIFS(ledger!G:G,ledger!B:B,_xlpm.party,ledger!E:E,"&lt;&gt;*RD*",ledger!D:D, "Chamki")+SUMIFS(ledger!G:G, ledger!B:B, _xlpm.party, ledger!E:E, "&lt;&gt;*RD*", ledger!D:D, "Crinkle"))/1.0936))*L37)+_xlfn.IFNA(G72,0)</f>
        <v>1897686.539868325</v>
      </c>
      <c r="U16" s="23" cm="1">
        <f t="array" ref="U16">(_xlfn.BYROW(B37,_xlfn.LAMBDA(_xlpm.party,SUMIFS(ledger!G:G,ledger!B:B,_xlpm.party,ledger!E:E,"&lt;&gt;*RD*",ledger!D:D, "Silky")/1.0936))* 12)+_xlfn.IFNA(H72,0)</f>
        <v>530036.57644476963</v>
      </c>
      <c r="V16" s="44">
        <f t="shared" si="4"/>
        <v>2427723.1163130947</v>
      </c>
      <c r="W16" s="23">
        <f>(SUMIF(Table14[Party],O16,Table14[Credit]))+_xlfn.IFNA(J72,0)</f>
        <v>1370000</v>
      </c>
      <c r="X16" s="42">
        <f t="shared" si="2"/>
        <v>1057723.1163130947</v>
      </c>
      <c r="Y16" s="22">
        <v>10</v>
      </c>
      <c r="Z16" s="22">
        <v>12</v>
      </c>
    </row>
    <row r="17" spans="1:26" x14ac:dyDescent="0.3">
      <c r="I17" s="4" t="s">
        <v>28</v>
      </c>
      <c r="J17" s="14">
        <v>1405904.3525969277</v>
      </c>
      <c r="K17" s="14">
        <v>14439405.632772496</v>
      </c>
      <c r="O17" s="25" t="str">
        <v>Reject</v>
      </c>
      <c r="P17" s="23" cm="1">
        <f t="array" ref="P17">_xlfn.BYROW(B38,_xlfn.LAMBDA(_xlpm.party,SUMIFS(ledger!G:G,ledger!B:B,_xlpm.party,ledger!E:E,"&lt;&gt;*RD*")))+_xlfn.IFNA(C73,0)</f>
        <v>0</v>
      </c>
      <c r="Q17" s="23" cm="1">
        <f t="array" ref="Q17">_xlfn.BYROW(B38, _xlfn.LAMBDA(_xlpm.party, SUMIFS(ledger!G:G, ledger!B:B, _xlpm.party, ledger!E:E, "&lt;&gt;*RD*") / 1.0936 ))+_xlfn.IFNA(D73,0)</f>
        <v>0</v>
      </c>
      <c r="R17" s="23" cm="1">
        <f t="array" ref="R17">(_xlfn.BYROW(B38,_xlfn.LAMBDA(_xlpm.party,SUMIFS(ledger!G:G,ledger!B:B,_xlpm.party,ledger!E:E,"&lt;&gt;*RD*",ledger!D:D,"Chamki")+SUMIFS(ledger!G:G, ledger!B:B, _xlpm.party, ledger!E:E, "&lt;&gt;*RD*", ledger!D:D, "Crinkle")))/1.0936)+_xlfn.IFNA(E73,0)</f>
        <v>0</v>
      </c>
      <c r="S17" s="78" cm="1">
        <f t="array" ref="S17">(_xlfn.BYROW(B38,_xlfn.LAMBDA(_xlpm.party,SUMIFS(ledger!G:G,ledger!B:B,_xlpm.party,ledger!E:E,"&lt;&gt;*RD*",ledger!D:D,"Silky")))/1.0936)+_xlfn.IFNA(F73,0)</f>
        <v>0</v>
      </c>
      <c r="T17" s="23" cm="1">
        <f t="array" ref="T17">(_xlfn.BYROW(B38,_xlfn.LAMBDA(_xlpm.party,(SUMIFS(ledger!G:G,ledger!B:B,_xlpm.party,ledger!E:E,"&lt;&gt;*RD*",ledger!D:D, "Chamki")+SUMIFS(ledger!G:G, ledger!B:B, _xlpm.party, ledger!E:E, "&lt;&gt;*RD*", ledger!D:D, "Crinkle"))/1.0936))*L38)+_xlfn.IFNA(G73,0)</f>
        <v>0</v>
      </c>
      <c r="U17" s="23" cm="1">
        <f t="array" ref="U17">(_xlfn.BYROW(B38,_xlfn.LAMBDA(_xlpm.party,SUMIFS(ledger!G:G,ledger!B:B,_xlpm.party,ledger!E:E,"&lt;&gt;*RD*",ledger!D:D, "Silky")/1.0936))* 12)+_xlfn.IFNA(H73,0)</f>
        <v>0</v>
      </c>
      <c r="V17" s="44">
        <f t="shared" si="4"/>
        <v>0</v>
      </c>
      <c r="W17" s="23">
        <f>(SUMIF(Table14[Party],O17,Table14[Credit]))+_xlfn.IFNA(J73,0)</f>
        <v>0</v>
      </c>
      <c r="X17" s="42">
        <f t="shared" si="2"/>
        <v>0</v>
      </c>
      <c r="Y17" s="22">
        <v>10</v>
      </c>
      <c r="Z17" s="22">
        <v>12</v>
      </c>
    </row>
    <row r="18" spans="1:26" x14ac:dyDescent="0.3">
      <c r="O18" t="str">
        <v>Amjad 7up</v>
      </c>
      <c r="P18" s="23" cm="1">
        <f t="array" ref="P18">_xlfn.BYROW(B39,_xlfn.LAMBDA(_xlpm.party,SUMIFS(ledger!G:G,ledger!B:B,_xlpm.party,ledger!E:E,"&lt;&gt;*RD*")))+_xlfn.IFNA(C74,0)</f>
        <v>4282</v>
      </c>
      <c r="Q18" s="23" cm="1">
        <f t="array" ref="Q18">_xlfn.BYROW(B39, _xlfn.LAMBDA(_xlpm.party, SUMIFS(ledger!G:G, ledger!B:B, _xlpm.party, ledger!E:E, "&lt;&gt;*RD*") / 1.0936 ))+_xlfn.IFNA(D74,0)</f>
        <v>3915.5084125822973</v>
      </c>
      <c r="R18" s="23" cm="1">
        <f t="array" ref="R18">(_xlfn.BYROW(B39,_xlfn.LAMBDA(_xlpm.party,SUMIFS(ledger!G:G,ledger!B:B,_xlpm.party,ledger!E:E,"&lt;&gt;*RD*",ledger!D:D,"Chamki")+SUMIFS(ledger!G:G, ledger!B:B, _xlpm.party, ledger!E:E, "&lt;&gt;*RD*", ledger!D:D, "Crinkle")))/1.0936)+_xlfn.IFNA(E74,0)</f>
        <v>3915.5084125822973</v>
      </c>
      <c r="S18" s="78" cm="1">
        <f t="array" ref="S18">(_xlfn.BYROW(B39,_xlfn.LAMBDA(_xlpm.party,SUMIFS(ledger!G:G,ledger!B:B,_xlpm.party,ledger!E:E,"&lt;&gt;*RD*",ledger!D:D,"Silky")))/1.0936)+_xlfn.IFNA(F74,0)</f>
        <v>0</v>
      </c>
      <c r="T18" s="23" cm="1">
        <f t="array" ref="T18">(_xlfn.BYROW(B39,_xlfn.LAMBDA(_xlpm.party,(SUMIFS(ledger!G:G,ledger!B:B,_xlpm.party,ledger!E:E,"&lt;&gt;*RD*",ledger!D:D, "Chamki")+SUMIFS(ledger!G:G, ledger!B:B, _xlpm.party, ledger!E:E, "&lt;&gt;*RD*", ledger!D:D, "Crinkle"))/1.0936))*L39)+_xlfn.IFNA(G74,0)</f>
        <v>39155.08412582297</v>
      </c>
      <c r="U18" s="23" cm="1">
        <f t="array" ref="U18">(_xlfn.BYROW(B39,_xlfn.LAMBDA(_xlpm.party,SUMIFS(ledger!G:G,ledger!B:B,_xlpm.party,ledger!E:E,"&lt;&gt;*RD*",ledger!D:D, "Silky")/1.0936))* 12)+_xlfn.IFNA(H74,0)</f>
        <v>0</v>
      </c>
      <c r="V18" s="44">
        <f t="shared" ref="V18:V19" si="5">T18+U18</f>
        <v>39155.08412582297</v>
      </c>
      <c r="W18" s="23">
        <f>(SUMIF(Table14[Party],O18,Table14[Credit]))+_xlfn.IFNA(J74,0)</f>
        <v>0</v>
      </c>
      <c r="X18" s="42">
        <f t="shared" ref="X18:X19" si="6">V18-W18</f>
        <v>39155.08412582297</v>
      </c>
      <c r="Y18" s="22">
        <v>10</v>
      </c>
      <c r="Z18" s="22">
        <v>12</v>
      </c>
    </row>
    <row r="19" spans="1:26" x14ac:dyDescent="0.3">
      <c r="O19" t="str">
        <v>Hazrat Khan</v>
      </c>
      <c r="P19" s="23" cm="1">
        <f t="array" ref="P19">_xlfn.BYROW(B40,_xlfn.LAMBDA(_xlpm.party,SUMIFS(ledger!G:G,ledger!B:B,_xlpm.party,ledger!E:E,"&lt;&gt;*RD*")))+_xlfn.IFNA(C75,0)</f>
        <v>9750</v>
      </c>
      <c r="Q19" s="23" cm="1">
        <f t="array" ref="Q19">_xlfn.BYROW(B40, _xlfn.LAMBDA(_xlpm.party, SUMIFS(ledger!G:G, ledger!B:B, _xlpm.party, ledger!E:E, "&lt;&gt;*RD*") / 1.0936 ))+_xlfn.IFNA(D75,0)</f>
        <v>8915.5084125822978</v>
      </c>
      <c r="R19" s="23" cm="1">
        <f t="array" ref="R19">(_xlfn.BYROW(B40,_xlfn.LAMBDA(_xlpm.party,SUMIFS(ledger!G:G,ledger!B:B,_xlpm.party,ledger!E:E,"&lt;&gt;*RD*",ledger!D:D,"Chamki")+SUMIFS(ledger!G:G, ledger!B:B, _xlpm.party, ledger!E:E, "&lt;&gt;*RD*", ledger!D:D, "Crinkle")))/1.0936)+_xlfn.IFNA(E75,0)</f>
        <v>8915.5084125822978</v>
      </c>
      <c r="S19" s="78" cm="1">
        <f t="array" ref="S19">(_xlfn.BYROW(B40,_xlfn.LAMBDA(_xlpm.party,SUMIFS(ledger!G:G,ledger!B:B,_xlpm.party,ledger!E:E,"&lt;&gt;*RD*",ledger!D:D,"Silky")))/1.0936)+_xlfn.IFNA(F75,0)</f>
        <v>0</v>
      </c>
      <c r="T19" s="23" cm="1">
        <f t="array" ref="T19">(_xlfn.BYROW(B40,_xlfn.LAMBDA(_xlpm.party,(SUMIFS(ledger!G:G,ledger!B:B,_xlpm.party,ledger!E:E,"&lt;&gt;*RD*",ledger!D:D, "Chamki")+SUMIFS(ledger!G:G, ledger!B:B, _xlpm.party, ledger!E:E, "&lt;&gt;*RD*", ledger!D:D, "Crinkle"))/1.0936))*L40)+_xlfn.IFNA(G75,0)</f>
        <v>89155.084125822978</v>
      </c>
      <c r="U19" s="23" cm="1">
        <f t="array" ref="U19">(_xlfn.BYROW(B40,_xlfn.LAMBDA(_xlpm.party,SUMIFS(ledger!G:G,ledger!B:B,_xlpm.party,ledger!E:E,"&lt;&gt;*RD*",ledger!D:D, "Silky")/1.0936))* 12)+_xlfn.IFNA(H75,0)</f>
        <v>0</v>
      </c>
      <c r="V19" s="44">
        <f t="shared" si="5"/>
        <v>89155.084125822978</v>
      </c>
      <c r="W19" s="23">
        <f>(SUMIF(Table14[Party],O19,Table14[Credit]))+_xlfn.IFNA(J75,0)</f>
        <v>0</v>
      </c>
      <c r="X19" s="42">
        <f t="shared" si="6"/>
        <v>89155.084125822978</v>
      </c>
      <c r="Y19" s="22">
        <v>10</v>
      </c>
      <c r="Z19" s="22">
        <v>12</v>
      </c>
    </row>
    <row r="20" spans="1:26" x14ac:dyDescent="0.3">
      <c r="B20" s="45" t="s">
        <v>29</v>
      </c>
      <c r="C20" s="46">
        <f>SUM(G26:G46)+SUM(H26:H46)</f>
        <v>14567715.801024143</v>
      </c>
      <c r="D20" t="s">
        <v>30</v>
      </c>
    </row>
    <row r="21" spans="1:26" x14ac:dyDescent="0.3">
      <c r="C21" s="18"/>
      <c r="O21" s="14"/>
    </row>
    <row r="22" spans="1:26" x14ac:dyDescent="0.3">
      <c r="B22" s="25" t="s">
        <v>31</v>
      </c>
      <c r="C22" s="42">
        <f ca="1">SUM(OFFSET(I26,0,0,COUNTA(I:I)-ROW(I26)+1))</f>
        <v>14567715.801024141</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40">_xlfn.UNIQUE(Table1[Party Name])</f>
        <v>BSC</v>
      </c>
      <c r="C26" s="23" cm="1">
        <f t="array" ref="C26:C40">_xlfn.BYROW(_xlfn.ANCHORARRAY(B26),_xlfn.LAMBDA(_xlpm.party,SUMIFS(ledger!G:G,ledger!B:B,_xlpm.party,ledger!E:E,"&lt;&gt;*RD*")))</f>
        <v>395042</v>
      </c>
      <c r="D26" s="23" cm="1">
        <f t="array" ref="D26:D40">_xlfn.BYROW(_xlfn.ANCHORARRAY(B26), _xlfn.LAMBDA(_xlpm.party, SUMIFS(ledger!G:G, ledger!B:B, _xlpm.party, ledger!E:E, "&lt;&gt;*RD*") / 1.0936 ))</f>
        <v>361230.797366496</v>
      </c>
      <c r="E26" s="71" cm="1">
        <f t="array" ref="E26:E40">(_xlfn.BYROW(_xlfn.ANCHORARRAY(B26),_xlfn.LAMBDA(_xlpm.party,SUMIFS(ledger!G:G,ledger!B:B,_xlpm.party,ledger!E:E,"&lt;&gt;*RD*",ledger!D:D,"Chamki")+SUMIFS(ledger!G:G, ledger!B:B, _xlpm.party, ledger!E:E, "&lt;&gt;*RD*", ledger!D:D, "Crinkle")))/1.0936)</f>
        <v>361038.77103145578</v>
      </c>
      <c r="F26" s="78" cm="1">
        <f t="array" ref="F26:F40">(_xlfn.BYROW(_xlfn.ANCHORARRAY(B26),_xlfn.LAMBDA(_xlpm.party,SUMIFS(ledger!G:G,ledger!B:B,_xlpm.party,ledger!E:E,"&lt;&gt;*RD*",ledger!D:D,"Silky")))/1.0936)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3610387.7103145579</v>
      </c>
      <c r="H26" s="23" cm="1">
        <f t="array" ref="H26">(_xlfn.BYROW(B26,_xlfn.LAMBDA(_xlpm.party,SUMIFS(ledger!G:G,ledger!B:B,_xlpm.party,ledger!E:E,"&lt;&gt;*RD*",ledger!D:D, "Silky")/1.0936))* M26)</f>
        <v>2304.3160204828091</v>
      </c>
      <c r="I26" s="44">
        <f t="shared" ref="I26:I34" si="7">G26+H26</f>
        <v>3612692.0263350406</v>
      </c>
      <c r="J26" s="23">
        <f>(SUMIF(Table14[Party],B26,Table14[Credit]))</f>
        <v>4117060</v>
      </c>
      <c r="K26" s="42">
        <f>I26-J26</f>
        <v>-504367.97366495943</v>
      </c>
      <c r="L26" s="22">
        <v>10</v>
      </c>
      <c r="M26" s="22">
        <v>12</v>
      </c>
    </row>
    <row r="27" spans="1:26" x14ac:dyDescent="0.3">
      <c r="B27" s="25" t="str">
        <v>Ejaz Sahab</v>
      </c>
      <c r="C27" s="23">
        <v>65033</v>
      </c>
      <c r="D27" s="23">
        <v>59466.898317483545</v>
      </c>
      <c r="E27" s="71">
        <v>44569.312362838333</v>
      </c>
      <c r="F27" s="78">
        <v>14897.58595464521</v>
      </c>
      <c r="G27" s="23" cm="1">
        <f t="array" ref="G27">(_xlfn.BYROW(B27,_xlfn.LAMBDA(_xlpm.party,(SUMIFS(ledger!G:G,ledger!B:B,_xlpm.party,ledger!E:E,"&lt;&gt;*RD*",ledger!D:D, "Chamki")+SUMIFS(ledger!G:G, ledger!B:B, _xlpm.party, ledger!E:E, "&lt;&gt;*RD*", ledger!D:D, "Crinkle"))/1.0936))*L27)</f>
        <v>445693.12362838333</v>
      </c>
      <c r="H27" s="23" cm="1">
        <f t="array" ref="H27">(_xlfn.BYROW(B27,_xlfn.LAMBDA(_xlpm.party,SUMIFS(ledger!G:G,ledger!B:B,_xlpm.party,ledger!E:E,"&lt;&gt;*RD*",ledger!D:D, "Silky")/1.0936))* M27)</f>
        <v>178771.03145574252</v>
      </c>
      <c r="I27" s="44">
        <f t="shared" si="7"/>
        <v>624464.15508412581</v>
      </c>
      <c r="J27" s="23">
        <f>(SUMIF(Table14[Party],B27,Table14[Credit]))</f>
        <v>247550</v>
      </c>
      <c r="K27" s="42">
        <f>I27-J27</f>
        <v>376914.15508412581</v>
      </c>
      <c r="L27" s="22">
        <v>10</v>
      </c>
      <c r="M27" s="22">
        <v>12</v>
      </c>
    </row>
    <row r="28" spans="1:26" x14ac:dyDescent="0.3">
      <c r="B28" s="25" t="str">
        <v>Arshad</v>
      </c>
      <c r="C28" s="23">
        <v>72336</v>
      </c>
      <c r="D28" s="23">
        <v>66144.842721287496</v>
      </c>
      <c r="E28" s="71">
        <v>51350.585223116315</v>
      </c>
      <c r="F28" s="78">
        <v>14794.257498171179</v>
      </c>
      <c r="G28" s="23" cm="1">
        <f t="array" ref="G28">(_xlfn.BYROW(B28,_xlfn.LAMBDA(_xlpm.party,(SUMIFS(ledger!G:G,ledger!B:B,_xlpm.party,ledger!E:E,"&lt;&gt;*RD*",ledger!D:D, "Chamki")+SUMIFS(ledger!G:G, ledger!B:B, _xlpm.party, ledger!E:E, "&lt;&gt;*RD*", ledger!D:D, "Crinkle"))/1.0936))*L28)</f>
        <v>513505.85223116318</v>
      </c>
      <c r="H28" s="23" cm="1">
        <f t="array" ref="H28">(_xlfn.BYROW(B28,_xlfn.LAMBDA(_xlpm.party,SUMIFS(ledger!G:G,ledger!B:B,_xlpm.party,ledger!E:E,"&lt;&gt;*RD*",ledger!D:D, "Silky")/1.0936))* M28)</f>
        <v>177531.08997805414</v>
      </c>
      <c r="I28" s="44">
        <f t="shared" si="7"/>
        <v>691036.94220921735</v>
      </c>
      <c r="J28" s="23">
        <f>(SUMIF(Table14[Party],B28,Table14[Credit]))</f>
        <v>1352491</v>
      </c>
      <c r="K28" s="42">
        <f>I28-J28</f>
        <v>-661454.05779078265</v>
      </c>
      <c r="L28" s="22">
        <v>10</v>
      </c>
      <c r="M28" s="22">
        <v>12</v>
      </c>
    </row>
    <row r="29" spans="1:26" x14ac:dyDescent="0.3">
      <c r="B29" s="25" t="str">
        <v>Shehzad Kamoki</v>
      </c>
      <c r="C29" s="23">
        <v>14912</v>
      </c>
      <c r="D29" s="23">
        <v>13635.6986100951</v>
      </c>
      <c r="E29" s="71">
        <v>13635.6986100951</v>
      </c>
      <c r="F29" s="78">
        <v>0</v>
      </c>
      <c r="G29" s="23" cm="1">
        <f t="array" ref="G29">(_xlfn.BYROW(B29,_xlfn.LAMBDA(_xlpm.party,(SUMIFS(ledger!G:G,ledger!B:B,_xlpm.party,ledger!E:E,"&lt;&gt;*RD*",ledger!D:D, "Chamki")+SUMIFS(ledger!G:G, ledger!B:B, _xlpm.party, ledger!E:E, "&lt;&gt;*RD*", ledger!D:D, "Crinkle"))/1.0936))*L29)</f>
        <v>143174.83540599854</v>
      </c>
      <c r="H29" s="23" cm="1">
        <f t="array" ref="H29">(_xlfn.BYROW(B29,_xlfn.LAMBDA(_xlpm.party,SUMIFS(ledger!G:G,ledger!B:B,_xlpm.party,ledger!E:E,"&lt;&gt;*RD*",ledger!D:D, "Silky")/1.0936))* M29)</f>
        <v>0</v>
      </c>
      <c r="I29" s="44">
        <f t="shared" si="7"/>
        <v>143174.83540599854</v>
      </c>
      <c r="J29" s="23">
        <f>(SUMIF(Table14[Party],B29,Table14[Credit]))</f>
        <v>142800</v>
      </c>
      <c r="K29" s="42">
        <f t="shared" ref="K29:K32" si="8">I29-J29</f>
        <v>374.83540599854314</v>
      </c>
      <c r="L29" s="22">
        <v>10.5</v>
      </c>
      <c r="M29" s="22">
        <v>13</v>
      </c>
    </row>
    <row r="30" spans="1:26" x14ac:dyDescent="0.3">
      <c r="B30" s="25" t="str">
        <v>Sufi Nawaz Sahab</v>
      </c>
      <c r="C30" s="23">
        <v>416891</v>
      </c>
      <c r="D30" s="23">
        <v>381209.76591075351</v>
      </c>
      <c r="E30" s="71">
        <v>178994.14776883688</v>
      </c>
      <c r="F30" s="78">
        <v>202215.61814191661</v>
      </c>
      <c r="G30" s="23" cm="1">
        <f t="array" ref="G30">(_xlfn.BYROW(B30,_xlfn.LAMBDA(_xlpm.party,(SUMIFS(ledger!G:G,ledger!B:B,_xlpm.party,ledger!E:E,"&lt;&gt;*RD*",ledger!D:D, "Chamki")+SUMIFS(ledger!G:G, ledger!B:B, _xlpm.party, ledger!E:E, "&lt;&gt;*RD*", ledger!D:D, "Crinkle"))/1.0936))*L30)</f>
        <v>1610947.3299195319</v>
      </c>
      <c r="H30" s="23" cm="1">
        <f t="array" ref="H30">(_xlfn.BYROW(B30,_xlfn.LAMBDA(_xlpm.party,SUMIFS(ledger!G:G,ledger!B:B,_xlpm.party,ledger!E:E,"&lt;&gt;*RD*",ledger!D:D, "Silky")/1.0936))* M30)</f>
        <v>2426587.4177029994</v>
      </c>
      <c r="I30" s="44">
        <f t="shared" si="7"/>
        <v>4037534.7476225314</v>
      </c>
      <c r="J30" s="23">
        <f>(SUMIF(Table14[Party],B30,Table14[Credit]))</f>
        <v>4550000</v>
      </c>
      <c r="K30" s="42">
        <f t="shared" si="8"/>
        <v>-512465.25237746863</v>
      </c>
      <c r="L30" s="22">
        <v>9</v>
      </c>
      <c r="M30" s="22">
        <v>12</v>
      </c>
    </row>
    <row r="31" spans="1:26" x14ac:dyDescent="0.3">
      <c r="B31" s="25" t="str">
        <v>Sajad Khan</v>
      </c>
      <c r="C31" s="23">
        <v>142563</v>
      </c>
      <c r="D31" s="23">
        <v>130361.1923920995</v>
      </c>
      <c r="E31" s="71">
        <v>130361.1923920995</v>
      </c>
      <c r="F31" s="22">
        <v>0</v>
      </c>
      <c r="G31" s="23" cm="1">
        <f t="array" ref="G31">(_xlfn.BYROW(B31,_xlfn.LAMBDA(_xlpm.party,(SUMIFS(ledger!G:G,ledger!B:B,_xlpm.party,ledger!E:E,"&lt;&gt;*RD*",ledger!D:D, "Chamki")+SUMIFS(ledger!G:G, ledger!B:B, _xlpm.party, ledger!E:E, "&lt;&gt;*RD*", ledger!D:D, "Crinkle"))/1.0936))*L31)</f>
        <v>1303611.9239209951</v>
      </c>
      <c r="H31" s="23" cm="1">
        <f t="array" ref="H31">(_xlfn.BYROW(B31,_xlfn.LAMBDA(_xlpm.party,SUMIFS(ledger!G:G,ledger!B:B,_xlpm.party,ledger!E:E,"&lt;&gt;*RD*",ledger!D:D, "Silky")/1.0936))* M31)</f>
        <v>0</v>
      </c>
      <c r="I31" s="44">
        <f t="shared" si="7"/>
        <v>1303611.9239209951</v>
      </c>
      <c r="J31" s="23">
        <f>(SUMIF(Table14[Party],B31,Table14[Credit]))</f>
        <v>1451266</v>
      </c>
      <c r="K31" s="42">
        <f t="shared" si="8"/>
        <v>-147654.07607900491</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400000</v>
      </c>
      <c r="K32" s="42">
        <f t="shared" si="8"/>
        <v>-164904.90124359907</v>
      </c>
      <c r="L32" s="22">
        <v>10</v>
      </c>
      <c r="M32" s="22">
        <v>12</v>
      </c>
    </row>
    <row r="33" spans="2:13" x14ac:dyDescent="0.3">
      <c r="B33" s="25" t="str">
        <v>Azam</v>
      </c>
      <c r="C33" s="23">
        <v>105051</v>
      </c>
      <c r="D33" s="23">
        <v>96059.802487198249</v>
      </c>
      <c r="E33" s="71">
        <v>96059.802487198249</v>
      </c>
      <c r="F33" s="22">
        <v>0</v>
      </c>
      <c r="G33" s="23" cm="1">
        <f t="array" ref="G33">(_xlfn.BYROW(B33,_xlfn.LAMBDA(_xlpm.party,(SUMIFS(ledger!G:G,ledger!B:B,_xlpm.party,ledger!E:E,"&lt;&gt;*RD*",ledger!D:D, "Chamki")+SUMIFS(ledger!G:G, ledger!B:B, _xlpm.party, ledger!E:E, "&lt;&gt;*RD*", ledger!D:D, "Crinkle"))/1.0936))*L33)</f>
        <v>960598.02487198252</v>
      </c>
      <c r="H33" s="23" cm="1">
        <f t="array" ref="H33">(_xlfn.BYROW(B33,_xlfn.LAMBDA(_xlpm.party,SUMIFS(ledger!G:G,ledger!B:B,_xlpm.party,ledger!E:E,"&lt;&gt;*RD*",ledger!D:D, "Silky")/1.0936))* M33)</f>
        <v>0</v>
      </c>
      <c r="I33" s="44">
        <f t="shared" si="7"/>
        <v>960598.02487198252</v>
      </c>
      <c r="J33" s="23">
        <f>(SUMIF(Table14[Party],B33,Table14[Credit]))</f>
        <v>1021620</v>
      </c>
      <c r="K33" s="42">
        <f t="shared" ref="K33:K46" si="9">I33-J33</f>
        <v>-61021.975128017482</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7" si="10">G35+H35</f>
        <v>0</v>
      </c>
      <c r="J35" s="23">
        <f>SUMIF(Table14[Party], B35, Table14[Credit])</f>
        <v>0</v>
      </c>
      <c r="K35" s="42">
        <f t="shared" si="9"/>
        <v>0</v>
      </c>
      <c r="L35" s="22">
        <v>12</v>
      </c>
      <c r="M35" s="22">
        <v>12</v>
      </c>
    </row>
    <row r="36" spans="2:13" x14ac:dyDescent="0.3">
      <c r="B36" s="25" t="str">
        <v>Hafiz Qureshi</v>
      </c>
      <c r="C36" s="23">
        <v>27064</v>
      </c>
      <c r="D36" s="23">
        <v>24747.622531089979</v>
      </c>
      <c r="E36" s="71">
        <v>24747.622531089979</v>
      </c>
      <c r="F36" s="22">
        <v>0</v>
      </c>
      <c r="G36" s="23" cm="1">
        <f t="array" ref="G36">(_xlfn.BYROW(B36,_xlfn.LAMBDA(_xlpm.party,(SUMIFS(ledger!G:G,ledger!B:B,_xlpm.party,ledger!E:E,"&lt;&gt;*RD*",ledger!D:D, "Chamki")+SUMIFS(ledger!G:G, ledger!B:B, _xlpm.party, ledger!E:E, "&lt;&gt;*RD*", ledger!D:D, "Crinkle"))/1.0936))*L36)</f>
        <v>247476.22531089978</v>
      </c>
      <c r="H36" s="23" cm="1">
        <f t="array" ref="H36">(_xlfn.BYROW(B36,_xlfn.LAMBDA(_xlpm.party,SUMIFS(ledger!G:G,ledger!B:B,_xlpm.party,ledger!E:E,"&lt;&gt;*RD*",ledger!D:D, "Silky")/1.0936))* M36)</f>
        <v>0</v>
      </c>
      <c r="I36" s="44">
        <f t="shared" si="10"/>
        <v>247476.22531089978</v>
      </c>
      <c r="J36" s="23">
        <f>SUMIF(Table14[Party], B36, Table14[Credit])</f>
        <v>300000</v>
      </c>
      <c r="K36" s="42">
        <f t="shared" si="9"/>
        <v>-52523.774689100217</v>
      </c>
      <c r="L36" s="22">
        <v>10</v>
      </c>
      <c r="M36" s="22">
        <v>12</v>
      </c>
    </row>
    <row r="37" spans="2:13" x14ac:dyDescent="0.3">
      <c r="B37" s="25" t="str">
        <v>Badshah Fabrics</v>
      </c>
      <c r="C37" s="23">
        <v>255835</v>
      </c>
      <c r="D37" s="23">
        <v>233938.36869056331</v>
      </c>
      <c r="E37" s="71">
        <v>189768.65398683251</v>
      </c>
      <c r="F37" s="22">
        <v>44169.714703730802</v>
      </c>
      <c r="G37" s="23" cm="1">
        <f t="array" ref="G37">(_xlfn.BYROW(B37,_xlfn.LAMBDA(_xlpm.party,(SUMIFS(ledger!G:G,ledger!B:B,_xlpm.party,ledger!E:E,"&lt;&gt;*RD*",ledger!D:D, "Chamki")+SUMIFS(ledger!G:G, ledger!B:B, _xlpm.party, ledger!E:E, "&lt;&gt;*RD*", ledger!D:D, "Crinkle"))/1.0936))*L37)</f>
        <v>1897686.539868325</v>
      </c>
      <c r="H37" s="23" cm="1">
        <f t="array" ref="H37">(_xlfn.BYROW(B37,_xlfn.LAMBDA(_xlpm.party,SUMIFS(ledger!G:G,ledger!B:B,_xlpm.party,ledger!E:E,"&lt;&gt;*RD*",ledger!D:D, "Silky")/1.0936))* M37)</f>
        <v>530036.57644476963</v>
      </c>
      <c r="I37" s="44">
        <f t="shared" si="10"/>
        <v>2427723.1163130947</v>
      </c>
      <c r="J37" s="23">
        <f>SUMIF(Table14[Party], B37, Table14[Credit])</f>
        <v>1370000</v>
      </c>
      <c r="K37" s="42">
        <f t="shared" si="9"/>
        <v>1057723.1163130947</v>
      </c>
      <c r="L37" s="22">
        <v>10</v>
      </c>
      <c r="M37" s="22">
        <v>12</v>
      </c>
    </row>
    <row r="38" spans="2:13" x14ac:dyDescent="0.3">
      <c r="B38" s="25" t="str">
        <v>Reject</v>
      </c>
      <c r="C38" s="23">
        <v>0</v>
      </c>
      <c r="D38" s="23">
        <v>0</v>
      </c>
      <c r="E38" s="71">
        <v>0</v>
      </c>
      <c r="F38" s="22">
        <v>0</v>
      </c>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ref="I38:I46" si="11">G38+H38</f>
        <v>0</v>
      </c>
      <c r="J38" s="23">
        <f>SUMIF(Table14[Party], B38, Table14[Credit])</f>
        <v>0</v>
      </c>
      <c r="K38" s="42">
        <f t="shared" si="9"/>
        <v>0</v>
      </c>
      <c r="L38" s="22">
        <v>10</v>
      </c>
      <c r="M38" s="22">
        <v>12</v>
      </c>
    </row>
    <row r="39" spans="2:13" x14ac:dyDescent="0.3">
      <c r="B39" t="str">
        <v>Amjad 7up</v>
      </c>
      <c r="C39" s="23">
        <v>4282</v>
      </c>
      <c r="D39" s="23">
        <v>3915.5084125822973</v>
      </c>
      <c r="E39" s="71">
        <v>3915.5084125822973</v>
      </c>
      <c r="F39" s="22">
        <v>0</v>
      </c>
      <c r="G39" s="23" cm="1">
        <f t="array" ref="G39">(_xlfn.BYROW(B39,_xlfn.LAMBDA(_xlpm.party,(SUMIFS(ledger!G:G,ledger!B:B,_xlpm.party,ledger!E:E,"&lt;&gt;*RD*",ledger!D:D, "Chamki")+SUMIFS(ledger!G:G, ledger!B:B, _xlpm.party, ledger!E:E, "&lt;&gt;*RD*", ledger!D:D, "Crinkle"))/1.0936))*L39)</f>
        <v>39155.08412582297</v>
      </c>
      <c r="H39" s="23" cm="1">
        <f t="array" ref="H39">(_xlfn.BYROW(B39,_xlfn.LAMBDA(_xlpm.party,SUMIFS(ledger!G:G,ledger!B:B,_xlpm.party,ledger!E:E,"&lt;&gt;*RD*",ledger!D:D, "Silky")/1.0936))* M39)</f>
        <v>0</v>
      </c>
      <c r="I39" s="44">
        <f t="shared" si="11"/>
        <v>39155.08412582297</v>
      </c>
      <c r="J39" s="23">
        <f>SUMIF(Table14[Party], B39, Table14[Credit])</f>
        <v>0</v>
      </c>
      <c r="K39" s="42">
        <f t="shared" si="9"/>
        <v>39155.08412582297</v>
      </c>
      <c r="L39" s="22">
        <v>10</v>
      </c>
      <c r="M39" s="22">
        <v>12</v>
      </c>
    </row>
    <row r="40" spans="2:13" x14ac:dyDescent="0.3">
      <c r="B40" t="str">
        <v>Hazrat Khan</v>
      </c>
      <c r="C40" s="23">
        <v>9750</v>
      </c>
      <c r="D40" s="23">
        <v>8915.5084125822978</v>
      </c>
      <c r="E40" s="71">
        <v>8915.5084125822978</v>
      </c>
      <c r="F40" s="22">
        <v>0</v>
      </c>
      <c r="G40" s="23" cm="1">
        <f t="array" ref="G40">(_xlfn.BYROW(B40,_xlfn.LAMBDA(_xlpm.party,(SUMIFS(ledger!G:G,ledger!B:B,_xlpm.party,ledger!E:E,"&lt;&gt;*RD*",ledger!D:D, "Chamki")+SUMIFS(ledger!G:G, ledger!B:B, _xlpm.party, ledger!E:E, "&lt;&gt;*RD*", ledger!D:D, "Crinkle"))/1.0936))*L40)</f>
        <v>89155.084125822978</v>
      </c>
      <c r="H40" s="23" cm="1">
        <f t="array" ref="H40">(_xlfn.BYROW(B40,_xlfn.LAMBDA(_xlpm.party,SUMIFS(ledger!G:G,ledger!B:B,_xlpm.party,ledger!E:E,"&lt;&gt;*RD*",ledger!D:D, "Silky")/1.0936))* M40)</f>
        <v>0</v>
      </c>
      <c r="I40" s="44">
        <f t="shared" si="11"/>
        <v>89155.084125822978</v>
      </c>
      <c r="J40" s="23">
        <f>SUMIF(Table14[Party], B40, Table14[Credit])</f>
        <v>0</v>
      </c>
      <c r="K40" s="42">
        <f t="shared" si="9"/>
        <v>89155.084125822978</v>
      </c>
      <c r="L40" s="22">
        <v>10</v>
      </c>
      <c r="M40" s="22">
        <v>12</v>
      </c>
    </row>
    <row r="41" spans="2:13" x14ac:dyDescent="0.3">
      <c r="C41" s="23"/>
      <c r="D41" s="23"/>
      <c r="E41" s="71"/>
      <c r="F41" s="22"/>
      <c r="G41" s="23" cm="1">
        <f t="array" ref="G41">(_xlfn.BYROW(B58,_xlfn.LAMBDA(_xlpm.party,(SUMIFS(ledger!G:G,ledger!B:B,_xlpm.party,ledger!E:E,"&lt;&gt;*RD*",ledger!D:D, "Chamki")+SUMIFS(ledger!G:G, ledger!B:B, _xlpm.party, ledger!E:E, "&lt;&gt;*RD*", ledger!D:D, "Crinkle"))/1.0936))*L41)</f>
        <v>0</v>
      </c>
      <c r="H41" s="23" cm="1">
        <f t="array" ref="H41">(_xlfn.BYROW(B58,_xlfn.LAMBDA(_xlpm.party,SUMIFS(ledger!G:G,ledger!B:B,_xlpm.party,ledger!E:E,"&lt;&gt;*RD*",ledger!D:D, "Silky")/1.0936))* M41)</f>
        <v>0</v>
      </c>
      <c r="I41" s="44">
        <f t="shared" si="11"/>
        <v>0</v>
      </c>
      <c r="J41" s="23">
        <f>SUMIF(Table14[Party], B58, Table14[Credit])</f>
        <v>0</v>
      </c>
      <c r="K41" s="42">
        <f t="shared" si="9"/>
        <v>0</v>
      </c>
      <c r="L41" s="22">
        <v>10</v>
      </c>
      <c r="M41" s="22">
        <v>12</v>
      </c>
    </row>
    <row r="42" spans="2:13" x14ac:dyDescent="0.3">
      <c r="C42" s="23"/>
      <c r="D42" s="23"/>
      <c r="E42" s="71"/>
      <c r="F42" s="22"/>
      <c r="G42" s="23" cm="1">
        <f t="array" ref="G42">(_xlfn.BYROW(B42,_xlfn.LAMBDA(_xlpm.party,(SUMIFS(ledger!G:G,ledger!B:B,_xlpm.party,ledger!E:E,"&lt;&gt;*RD*",ledger!D:D, "Chamki")+SUMIFS(ledger!G:G, ledger!B:B, _xlpm.party, ledger!E:E, "&lt;&gt;*RD*", ledger!D:D, "Crinkle"))/1.0936))*L42)</f>
        <v>0</v>
      </c>
      <c r="H42" s="23" cm="1">
        <f t="array" ref="H42">(_xlfn.BYROW(B42,_xlfn.LAMBDA(_xlpm.party,SUMIFS(ledger!G:G,ledger!B:B,_xlpm.party,ledger!E:E,"&lt;&gt;*RD*",ledger!D:D, "Silky")/1.0936))* M42)</f>
        <v>0</v>
      </c>
      <c r="I42" s="44">
        <f t="shared" si="11"/>
        <v>0</v>
      </c>
      <c r="J42" s="23">
        <f>SUMIF(Table14[Party], B42, Table14[Credit])</f>
        <v>0</v>
      </c>
      <c r="K42" s="42">
        <f t="shared" si="9"/>
        <v>0</v>
      </c>
      <c r="L42" s="22">
        <v>10</v>
      </c>
      <c r="M42" s="22">
        <v>12</v>
      </c>
    </row>
    <row r="43" spans="2:13" x14ac:dyDescent="0.3">
      <c r="C43" s="23"/>
      <c r="D43" s="23"/>
      <c r="E43" s="71"/>
      <c r="F43" s="22"/>
      <c r="G43" s="23" cm="1">
        <f t="array" ref="G43">(_xlfn.BYROW(B43,_xlfn.LAMBDA(_xlpm.party,(SUMIFS(ledger!G:G,ledger!B:B,_xlpm.party,ledger!E:E,"&lt;&gt;*RD*",ledger!D:D, "Chamki")+SUMIFS(ledger!G:G, ledger!B:B, _xlpm.party, ledger!E:E, "&lt;&gt;*RD*", ledger!D:D, "Crinkle"))/1.0936))*L43)</f>
        <v>0</v>
      </c>
      <c r="H43" s="23" cm="1">
        <f t="array" ref="H43">(_xlfn.BYROW(B43,_xlfn.LAMBDA(_xlpm.party,SUMIFS(ledger!G:G,ledger!B:B,_xlpm.party,ledger!E:E,"&lt;&gt;*RD*",ledger!D:D, "Silky")/1.0936))* M43)</f>
        <v>0</v>
      </c>
      <c r="I43" s="44">
        <f t="shared" si="11"/>
        <v>0</v>
      </c>
      <c r="J43" s="23">
        <f>SUMIF(Table14[Party], B43, Table14[Credit])</f>
        <v>0</v>
      </c>
      <c r="K43" s="42">
        <f t="shared" si="9"/>
        <v>0</v>
      </c>
      <c r="L43" s="22">
        <v>10</v>
      </c>
      <c r="M43" s="22">
        <v>12</v>
      </c>
    </row>
    <row r="44" spans="2:13" x14ac:dyDescent="0.3">
      <c r="C44" s="23"/>
      <c r="D44" s="23"/>
      <c r="E44" s="71"/>
      <c r="F44" s="22"/>
      <c r="G44" s="23" cm="1">
        <f t="array" ref="G44">(_xlfn.BYROW(B44,_xlfn.LAMBDA(_xlpm.party,(SUMIFS(ledger!G:G,ledger!B:B,_xlpm.party,ledger!E:E,"&lt;&gt;*RD*",ledger!D:D, "Chamki")+SUMIFS(ledger!G:G, ledger!B:B, _xlpm.party, ledger!E:E, "&lt;&gt;*RD*", ledger!D:D, "Crinkle"))/1.0936))*L44)</f>
        <v>0</v>
      </c>
      <c r="H44" s="23" cm="1">
        <f t="array" ref="H44">(_xlfn.BYROW(B44,_xlfn.LAMBDA(_xlpm.party,SUMIFS(ledger!G:G,ledger!B:B,_xlpm.party,ledger!E:E,"&lt;&gt;*RD*",ledger!D:D, "Silky")/1.0936))* M44)</f>
        <v>0</v>
      </c>
      <c r="I44" s="44">
        <f t="shared" si="11"/>
        <v>0</v>
      </c>
      <c r="J44" s="23">
        <f>SUMIF(Table14[Party], B44, Table14[Credit])</f>
        <v>0</v>
      </c>
      <c r="K44" s="42">
        <f t="shared" si="9"/>
        <v>0</v>
      </c>
      <c r="L44" s="22">
        <v>10</v>
      </c>
      <c r="M44" s="22">
        <v>12</v>
      </c>
    </row>
    <row r="45" spans="2:13" x14ac:dyDescent="0.3">
      <c r="C45" s="23"/>
      <c r="D45" s="23"/>
      <c r="E45" s="71"/>
      <c r="F45" s="22"/>
      <c r="G45" s="23" cm="1">
        <f t="array" ref="G45">(_xlfn.BYROW(B45,_xlfn.LAMBDA(_xlpm.party,(SUMIFS(ledger!G:G,ledger!B:B,_xlpm.party,ledger!E:E,"&lt;&gt;*RD*",ledger!D:D, "Chamki")+SUMIFS(ledger!G:G, ledger!B:B, _xlpm.party, ledger!E:E, "&lt;&gt;*RD*", ledger!D:D, "Crinkle"))/1.0936))*L45)</f>
        <v>0</v>
      </c>
      <c r="H45" s="23" cm="1">
        <f t="array" ref="H45">(_xlfn.BYROW(B45,_xlfn.LAMBDA(_xlpm.party,SUMIFS(ledger!G:G,ledger!B:B,_xlpm.party,ledger!E:E,"&lt;&gt;*RD*",ledger!D:D, "Silky")/1.0936))* M45)</f>
        <v>0</v>
      </c>
      <c r="I45" s="44">
        <f t="shared" si="11"/>
        <v>0</v>
      </c>
      <c r="J45" s="23">
        <f>SUMIF(Table14[Party], B45, Table14[Credit])</f>
        <v>0</v>
      </c>
      <c r="K45" s="42">
        <f t="shared" si="9"/>
        <v>0</v>
      </c>
      <c r="L45" s="22">
        <v>10</v>
      </c>
      <c r="M45" s="22">
        <v>12</v>
      </c>
    </row>
    <row r="46" spans="2:13" x14ac:dyDescent="0.3">
      <c r="C46" s="23"/>
      <c r="D46" s="23"/>
      <c r="E46" s="71"/>
      <c r="F46" s="22"/>
      <c r="G46" s="23" cm="1">
        <f t="array" ref="G46">(_xlfn.BYROW(B46,_xlfn.LAMBDA(_xlpm.party,(SUMIFS(ledger!G:G,ledger!B:B,_xlpm.party,ledger!E:E,"&lt;&gt;*RD*",ledger!D:D, "Chamki")+SUMIFS(ledger!G:G, ledger!B:B, _xlpm.party, ledger!E:E, "&lt;&gt;*RD*", ledger!D:D, "Crinkle"))/1.0936))*L46)</f>
        <v>0</v>
      </c>
      <c r="H46" s="23" cm="1">
        <f t="array" ref="H46">(_xlfn.BYROW(B46,_xlfn.LAMBDA(_xlpm.party,SUMIFS(ledger!G:G,ledger!B:B,_xlpm.party,ledger!E:E,"&lt;&gt;*RD*",ledger!D:D, "Silky")/1.0936))* M46)</f>
        <v>0</v>
      </c>
      <c r="I46" s="44">
        <f t="shared" si="11"/>
        <v>0</v>
      </c>
      <c r="J46" s="23">
        <f>SUMIF(Table14[Party], B46, Table14[Credit])</f>
        <v>0</v>
      </c>
      <c r="K46" s="42">
        <f t="shared" si="9"/>
        <v>0</v>
      </c>
      <c r="L46" s="22">
        <v>10</v>
      </c>
      <c r="M46" s="22">
        <v>12</v>
      </c>
    </row>
    <row r="58" spans="2:13" x14ac:dyDescent="0.3">
      <c r="B58" t="s">
        <v>165</v>
      </c>
    </row>
    <row r="60" spans="2:13" x14ac:dyDescent="0.3">
      <c r="B60" t="s">
        <v>33</v>
      </c>
      <c r="C60" s="24" t="s">
        <v>10</v>
      </c>
      <c r="D60" s="24" t="s">
        <v>11</v>
      </c>
      <c r="E60" s="24" t="s">
        <v>12</v>
      </c>
      <c r="F60" s="24" t="s">
        <v>13</v>
      </c>
      <c r="G60" s="24" t="s">
        <v>14</v>
      </c>
      <c r="H60" s="24" t="s">
        <v>15</v>
      </c>
      <c r="I60" s="24" t="s">
        <v>16</v>
      </c>
      <c r="J60" s="24" t="s">
        <v>17</v>
      </c>
      <c r="K60" s="24" t="s">
        <v>18</v>
      </c>
      <c r="L60" s="24" t="s">
        <v>19</v>
      </c>
      <c r="M60" s="24" t="s">
        <v>20</v>
      </c>
    </row>
    <row r="61" spans="2:13" x14ac:dyDescent="0.3">
      <c r="B61" s="25" t="str" cm="1">
        <f t="array" ref="B61:B75">_xlfn.UNIQUE(Table1[Party Name])</f>
        <v>BSC</v>
      </c>
      <c r="C61" s="23">
        <f>_xlfn.XLOOKUP($B26,[1]Billing!$O$5:$O$29,[1]Billing!$P$5:$P$29)</f>
        <v>1189821</v>
      </c>
      <c r="D61" s="23">
        <f>_xlfn.XLOOKUP($B26,[1]Billing!$O$5:$O$29,[1]Billing!$Q$5:$Q$29)</f>
        <v>1087985.5523043161</v>
      </c>
      <c r="E61" s="23">
        <f>_xlfn.XLOOKUP($B26,[1]Billing!$O$5:$O$29,[1]Billing!$R$5:$R$29)</f>
        <v>1073433.6137527432</v>
      </c>
      <c r="F61" s="23">
        <f>_xlfn.XLOOKUP($B26,[1]Billing!$O$5:$O$29,[1]Billing!$S$5:$S$29)</f>
        <v>14551.938551572788</v>
      </c>
      <c r="G61" s="23">
        <f>_xlfn.XLOOKUP($B26,[1]Billing!$O$5:$O$29,[1]Billing!$T$5:$T$29)</f>
        <v>10734336.137527434</v>
      </c>
      <c r="H61" s="23">
        <f>_xlfn.XLOOKUP($B26,[1]Billing!$O$5:$O$29,[1]Billing!$U$5:$U$29)</f>
        <v>174623.26261887344</v>
      </c>
      <c r="I61" s="44">
        <f t="shared" ref="I61:I71" si="12">G61+H61</f>
        <v>10908959.400146307</v>
      </c>
      <c r="J61" s="23">
        <f>_xlfn.XLOOKUP($B26,[1]Billing!$O$5:$O$29,[1]Billing!$W$5:$W$29)</f>
        <v>7158783</v>
      </c>
      <c r="K61" s="42">
        <f>I61-J61</f>
        <v>3750176.4001463074</v>
      </c>
      <c r="L61" s="22">
        <v>10</v>
      </c>
      <c r="M61" s="22">
        <v>12</v>
      </c>
    </row>
    <row r="62" spans="2:13" x14ac:dyDescent="0.3">
      <c r="B62" s="25" t="str">
        <v>Ejaz Sahab</v>
      </c>
      <c r="C62" s="23">
        <f>_xlfn.XLOOKUP(B27,[1]Billing!$O$5:$O$29,[1]Billing!$P$5:$P$29)</f>
        <v>94039</v>
      </c>
      <c r="D62" s="23">
        <f>_xlfn.XLOOKUP($B27,[1]Billing!$O$5:$O$29,[1]Billing!$Q$5:$Q$29)</f>
        <v>85990.30724213607</v>
      </c>
      <c r="E62" s="23">
        <f>_xlfn.XLOOKUP($B27,[1]Billing!$O$5:$O$29,[1]Billing!$R$5:$R$29)</f>
        <v>85990.30724213607</v>
      </c>
      <c r="F62" s="23">
        <f>_xlfn.XLOOKUP($B27,[1]Billing!$O$5:$O$29,[1]Billing!$S$5:$S$29)</f>
        <v>0</v>
      </c>
      <c r="G62" s="23">
        <f>_xlfn.XLOOKUP($B27,[1]Billing!$O$5:$O$29,[1]Billing!$T$5:$T$29)</f>
        <v>859903.07242136064</v>
      </c>
      <c r="H62" s="23">
        <f>_xlfn.XLOOKUP($B27,[1]Billing!$O$5:$O$29,[1]Billing!$U$5:$U$29)</f>
        <v>0</v>
      </c>
      <c r="I62" s="44">
        <f t="shared" si="12"/>
        <v>859903.07242136064</v>
      </c>
      <c r="J62" s="23">
        <f>_xlfn.XLOOKUP($B27,[1]Billing!$O$5:$O$29,[1]Billing!$W$5:$W$29)</f>
        <v>612354</v>
      </c>
      <c r="K62" s="42">
        <f>I62-J62</f>
        <v>247549.07242136064</v>
      </c>
      <c r="L62" s="22">
        <v>10</v>
      </c>
      <c r="M62" s="22">
        <v>12</v>
      </c>
    </row>
    <row r="63" spans="2:13" x14ac:dyDescent="0.3">
      <c r="B63" s="25" t="str">
        <v>Arshad</v>
      </c>
      <c r="C63" s="23">
        <f>_xlfn.XLOOKUP(B28,[1]Billing!$O$5:$O$29,[1]Billing!$P$5:$P$29)</f>
        <v>157108</v>
      </c>
      <c r="D63" s="23">
        <f>_xlfn.XLOOKUP($B28,[1]Billing!$O$5:$O$29,[1]Billing!$Q$5:$Q$29)</f>
        <v>143661.30212143381</v>
      </c>
      <c r="E63" s="23">
        <f>_xlfn.XLOOKUP($B28,[1]Billing!$O$5:$O$29,[1]Billing!$R$5:$R$29)</f>
        <v>143661.30212143381</v>
      </c>
      <c r="F63" s="23">
        <f>_xlfn.XLOOKUP($B28,[1]Billing!$O$5:$O$29,[1]Billing!$S$5:$S$29)</f>
        <v>0</v>
      </c>
      <c r="G63" s="23">
        <f>_xlfn.XLOOKUP($B28,[1]Billing!$O$5:$O$29,[1]Billing!$T$5:$T$29)</f>
        <v>1436613.021214338</v>
      </c>
      <c r="H63" s="23">
        <f>_xlfn.XLOOKUP($B28,[1]Billing!$O$5:$O$29,[1]Billing!$U$5:$U$29)</f>
        <v>0</v>
      </c>
      <c r="I63" s="44">
        <f t="shared" si="12"/>
        <v>1436613.021214338</v>
      </c>
      <c r="J63" s="23">
        <f>_xlfn.XLOOKUP($B28,[1]Billing!$O$5:$O$29,[1]Billing!$W$5:$W$29)</f>
        <v>754210</v>
      </c>
      <c r="K63" s="42">
        <f>I63-J63</f>
        <v>682403.02121433802</v>
      </c>
      <c r="L63" s="22">
        <v>10</v>
      </c>
      <c r="M63" s="22">
        <v>12</v>
      </c>
    </row>
    <row r="64" spans="2:13" x14ac:dyDescent="0.3">
      <c r="B64" s="25" t="str">
        <v>Shehzad Kamoki</v>
      </c>
      <c r="C64" s="23">
        <f>_xlfn.XLOOKUP(B29,[1]Billing!$O$5:$O$29,[1]Billing!$P$5:$P$29)</f>
        <v>119695</v>
      </c>
      <c r="D64" s="23">
        <f>_xlfn.XLOOKUP($B29,[1]Billing!$O$5:$O$29,[1]Billing!$Q$5:$Q$29)</f>
        <v>109450.43891733725</v>
      </c>
      <c r="E64" s="23">
        <f>_xlfn.XLOOKUP($B29,[1]Billing!$O$5:$O$29,[1]Billing!$R$5:$R$29)</f>
        <v>109450.43891733725</v>
      </c>
      <c r="F64" s="23">
        <f>_xlfn.XLOOKUP($B29,[1]Billing!$O$5:$O$29,[1]Billing!$S$5:$S$29)</f>
        <v>0</v>
      </c>
      <c r="G64" s="23">
        <f>_xlfn.XLOOKUP($B29,[1]Billing!$O$5:$O$29,[1]Billing!$T$5:$T$29)</f>
        <v>1126095.508632041</v>
      </c>
      <c r="H64" s="23">
        <f>_xlfn.XLOOKUP($B29,[1]Billing!$O$5:$O$29,[1]Billing!$U$5:$U$29)</f>
        <v>0</v>
      </c>
      <c r="I64" s="44">
        <f t="shared" si="12"/>
        <v>1126095.508632041</v>
      </c>
      <c r="J64" s="23">
        <f>_xlfn.XLOOKUP($B29,[1]Billing!$O$5:$O$29,[1]Billing!$W$5:$W$29)</f>
        <v>1125940</v>
      </c>
      <c r="K64" s="42">
        <f t="shared" ref="K64:K71" si="13">I64-J64</f>
        <v>155.50863204104826</v>
      </c>
      <c r="L64" s="22">
        <v>10.5</v>
      </c>
      <c r="M64" s="22">
        <v>13</v>
      </c>
    </row>
    <row r="65" spans="2:13" x14ac:dyDescent="0.3">
      <c r="B65" s="25" t="str">
        <v>Sufi Nawaz Sahab</v>
      </c>
      <c r="C65" s="23">
        <f>_xlfn.XLOOKUP(B30,[1]Billing!$O$5:$O$29,[1]Billing!$P$5:$P$29)</f>
        <v>631359</v>
      </c>
      <c r="D65" s="23">
        <f>_xlfn.XLOOKUP($B30,[1]Billing!$O$5:$O$29,[1]Billing!$Q$5:$Q$29)</f>
        <v>577321.68983174837</v>
      </c>
      <c r="E65" s="23">
        <f>_xlfn.XLOOKUP($B30,[1]Billing!$O$5:$O$29,[1]Billing!$R$5:$R$29)</f>
        <v>359403.80395025609</v>
      </c>
      <c r="F65" s="23">
        <f>_xlfn.XLOOKUP($B30,[1]Billing!$O$5:$O$29,[1]Billing!$S$5:$S$29)</f>
        <v>217917.88588149232</v>
      </c>
      <c r="G65" s="23">
        <f>_xlfn.XLOOKUP($B30,[1]Billing!$O$5:$O$29,[1]Billing!$T$5:$T$29)</f>
        <v>3234634.2355523049</v>
      </c>
      <c r="H65" s="23">
        <f>_xlfn.XLOOKUP($B30,[1]Billing!$O$5:$O$29,[1]Billing!$U$5:$U$29)</f>
        <v>2615014.6305779079</v>
      </c>
      <c r="I65" s="44">
        <f t="shared" si="12"/>
        <v>5849648.8661302123</v>
      </c>
      <c r="J65" s="23">
        <f>_xlfn.XLOOKUP($B30,[1]Billing!$O$5:$O$29,[1]Billing!$W$5:$W$29)</f>
        <v>4079100</v>
      </c>
      <c r="K65" s="42">
        <f t="shared" si="13"/>
        <v>1770548.8661302123</v>
      </c>
      <c r="L65" s="22">
        <v>9</v>
      </c>
      <c r="M65" s="22">
        <v>12</v>
      </c>
    </row>
    <row r="66" spans="2:13" x14ac:dyDescent="0.3">
      <c r="B66" s="25" t="str">
        <v>Sajad Khan</v>
      </c>
      <c r="C66" s="23">
        <f>_xlfn.XLOOKUP(B31,[1]Billing!$O$5:$O$29,[1]Billing!$P$5:$P$29)</f>
        <v>274556</v>
      </c>
      <c r="D66" s="23">
        <f>_xlfn.XLOOKUP($B31,[1]Billing!$O$5:$O$29,[1]Billing!$Q$5:$Q$29)</f>
        <v>251057.05925384053</v>
      </c>
      <c r="E66" s="23">
        <f>_xlfn.XLOOKUP($B31,[1]Billing!$O$5:$O$29,[1]Billing!$R$5:$R$29)</f>
        <v>251057.05925384053</v>
      </c>
      <c r="F66" s="23">
        <f>_xlfn.XLOOKUP($B31,[1]Billing!$O$5:$O$29,[1]Billing!$S$5:$S$29)</f>
        <v>0</v>
      </c>
      <c r="G66" s="23">
        <f>_xlfn.XLOOKUP($B31,[1]Billing!$O$5:$O$29,[1]Billing!$T$5:$T$29)</f>
        <v>2510570.5925384052</v>
      </c>
      <c r="H66" s="23">
        <f>_xlfn.XLOOKUP($B31,[1]Billing!$O$5:$O$29,[1]Billing!$U$5:$U$29)</f>
        <v>0</v>
      </c>
      <c r="I66" s="44">
        <f t="shared" si="12"/>
        <v>2510570.5925384052</v>
      </c>
      <c r="J66" s="23">
        <f>_xlfn.XLOOKUP($B31,[1]Billing!$O$5:$O$29,[1]Billing!$W$5:$W$29)</f>
        <v>2300000</v>
      </c>
      <c r="K66" s="42">
        <f t="shared" si="13"/>
        <v>210570.59253840521</v>
      </c>
      <c r="L66" s="22">
        <v>10</v>
      </c>
      <c r="M66" s="22">
        <v>12</v>
      </c>
    </row>
    <row r="67" spans="2:13" x14ac:dyDescent="0.3">
      <c r="B67" s="25" t="str">
        <v>Raaz Fabrics</v>
      </c>
      <c r="C67" s="23">
        <f>_xlfn.XLOOKUP(B32,[1]Billing!$O$5:$O$29,[1]Billing!$P$5:$P$29)</f>
        <v>49849</v>
      </c>
      <c r="D67" s="23">
        <f>_xlfn.XLOOKUP($B32,[1]Billing!$O$5:$O$29,[1]Billing!$Q$5:$Q$29)</f>
        <v>45582.479882955377</v>
      </c>
      <c r="E67" s="23">
        <f>_xlfn.XLOOKUP($B32,[1]Billing!$O$5:$O$29,[1]Billing!$R$5:$R$29)</f>
        <v>45582.479882955377</v>
      </c>
      <c r="F67" s="23">
        <f>_xlfn.XLOOKUP($B32,[1]Billing!$O$5:$O$29,[1]Billing!$S$5:$S$29)</f>
        <v>0</v>
      </c>
      <c r="G67" s="23">
        <f>_xlfn.XLOOKUP($B32,[1]Billing!$O$5:$O$29,[1]Billing!$T$5:$T$29)</f>
        <v>455824.79882955377</v>
      </c>
      <c r="H67" s="23">
        <f>_xlfn.XLOOKUP($B32,[1]Billing!$O$5:$O$29,[1]Billing!$U$5:$U$29)</f>
        <v>0</v>
      </c>
      <c r="I67" s="44">
        <f t="shared" si="12"/>
        <v>455824.79882955377</v>
      </c>
      <c r="J67" s="23">
        <f>_xlfn.XLOOKUP($B32,[1]Billing!$O$5:$O$29,[1]Billing!$W$5:$W$29)</f>
        <v>200000</v>
      </c>
      <c r="K67" s="42">
        <f t="shared" si="13"/>
        <v>255824.79882955377</v>
      </c>
      <c r="L67" s="22">
        <v>10</v>
      </c>
      <c r="M67" s="22">
        <v>12</v>
      </c>
    </row>
    <row r="68" spans="2:13" x14ac:dyDescent="0.3">
      <c r="B68" s="25" t="str">
        <v>Azam</v>
      </c>
      <c r="C68" s="23">
        <f>_xlfn.XLOOKUP(B33,[1]Billing!$O$5:$O$29,[1]Billing!$P$5:$P$29)</f>
        <v>28549</v>
      </c>
      <c r="D68" s="23">
        <f>_xlfn.XLOOKUP($B33,[1]Billing!$O$5:$O$29,[1]Billing!$Q$5:$Q$29)</f>
        <v>26105.523043160207</v>
      </c>
      <c r="E68" s="23">
        <f>_xlfn.XLOOKUP($B33,[1]Billing!$O$5:$O$29,[1]Billing!$R$5:$R$29)</f>
        <v>26105.523043160207</v>
      </c>
      <c r="F68" s="23">
        <f>_xlfn.XLOOKUP($B33,[1]Billing!$O$5:$O$29,[1]Billing!$S$5:$S$29)</f>
        <v>0</v>
      </c>
      <c r="G68" s="23">
        <f>_xlfn.XLOOKUP($B33,[1]Billing!$O$5:$O$29,[1]Billing!$T$5:$T$29)</f>
        <v>261055.23043160207</v>
      </c>
      <c r="H68" s="23">
        <f>_xlfn.XLOOKUP($B33,[1]Billing!$O$5:$O$29,[1]Billing!$U$5:$U$29)</f>
        <v>0</v>
      </c>
      <c r="I68" s="44">
        <f t="shared" si="12"/>
        <v>261055.23043160207</v>
      </c>
      <c r="J68" s="23">
        <f>_xlfn.XLOOKUP($B33,[1]Billing!$O$5:$O$29,[1]Billing!$W$5:$W$29)</f>
        <v>200000</v>
      </c>
      <c r="K68" s="42">
        <f t="shared" si="13"/>
        <v>61055.230431602075</v>
      </c>
      <c r="L68" s="22">
        <v>10</v>
      </c>
      <c r="M68" s="22">
        <v>12</v>
      </c>
    </row>
    <row r="69" spans="2:13" x14ac:dyDescent="0.3">
      <c r="B69" s="22" t="str">
        <v>Ubaidullah</v>
      </c>
      <c r="C69" s="23">
        <f>_xlfn.XLOOKUP(B34,[1]Billing!$O$5:$O$29,[1]Billing!$P$5:$P$29)</f>
        <v>32293</v>
      </c>
      <c r="D69" s="23">
        <f>_xlfn.XLOOKUP($B34,[1]Billing!$O$5:$O$29,[1]Billing!$Q$5:$Q$29)</f>
        <v>29529.078273591811</v>
      </c>
      <c r="E69" s="23">
        <f>_xlfn.XLOOKUP($B34,[1]Billing!$O$5:$O$29,[1]Billing!$R$5:$R$29)</f>
        <v>29529.078273591811</v>
      </c>
      <c r="F69" s="23">
        <f>_xlfn.XLOOKUP($B34,[1]Billing!$O$5:$O$29,[1]Billing!$S$5:$S$29)</f>
        <v>0</v>
      </c>
      <c r="G69" s="23">
        <f>_xlfn.XLOOKUP($B34,[1]Billing!$O$5:$O$29,[1]Billing!$T$5:$T$29)</f>
        <v>295290.78273591812</v>
      </c>
      <c r="H69" s="23">
        <f>_xlfn.XLOOKUP($B34,[1]Billing!$O$5:$O$29,[1]Billing!$U$5:$U$29)</f>
        <v>0</v>
      </c>
      <c r="I69" s="44">
        <f t="shared" si="12"/>
        <v>295290.78273591812</v>
      </c>
      <c r="J69" s="23">
        <f>_xlfn.XLOOKUP($B34,[1]Billing!$O$5:$O$29,[1]Billing!$W$5:$W$29)</f>
        <v>296150</v>
      </c>
      <c r="K69" s="42">
        <f t="shared" si="13"/>
        <v>-859.21726408187533</v>
      </c>
      <c r="L69" s="22">
        <v>10</v>
      </c>
      <c r="M69" s="22">
        <v>12</v>
      </c>
    </row>
    <row r="70" spans="2:13" x14ac:dyDescent="0.3">
      <c r="B70" t="str">
        <v>Ashraf Zia</v>
      </c>
      <c r="C70" s="23">
        <f>_xlfn.XLOOKUP(B35,[1]Billing!$O$5:$O$29,[1]Billing!$P$5:$P$29)</f>
        <v>23305</v>
      </c>
      <c r="D70" s="23">
        <f>_xlfn.XLOOKUP($B35,[1]Billing!$O$5:$O$29,[1]Billing!$Q$5:$Q$29)</f>
        <v>21310.35113386979</v>
      </c>
      <c r="E70" s="23">
        <f>_xlfn.XLOOKUP($B35,[1]Billing!$O$5:$O$29,[1]Billing!$R$5:$R$29)</f>
        <v>21310.35113386979</v>
      </c>
      <c r="F70" s="23">
        <f>_xlfn.XLOOKUP($B35,[1]Billing!$O$5:$O$29,[1]Billing!$S$5:$S$29)</f>
        <v>0</v>
      </c>
      <c r="G70" s="23">
        <f>_xlfn.XLOOKUP($B35,[1]Billing!$O$5:$O$29,[1]Billing!$T$5:$T$29)</f>
        <v>255724.21360643749</v>
      </c>
      <c r="H70" s="23">
        <f>_xlfn.XLOOKUP($B35,[1]Billing!$O$5:$O$29,[1]Billing!$U$5:$U$29)</f>
        <v>0</v>
      </c>
      <c r="I70" s="44">
        <f t="shared" si="12"/>
        <v>255724.21360643749</v>
      </c>
      <c r="J70" s="23">
        <f>_xlfn.XLOOKUP($B35,[1]Billing!$O$5:$O$29,[1]Billing!$W$5:$W$29)</f>
        <v>0</v>
      </c>
      <c r="K70" s="42">
        <f t="shared" si="13"/>
        <v>255724.21360643749</v>
      </c>
      <c r="L70" s="22">
        <v>12</v>
      </c>
      <c r="M70" s="22">
        <v>12</v>
      </c>
    </row>
    <row r="71" spans="2:13" x14ac:dyDescent="0.3">
      <c r="B71" t="str">
        <v>Hafiz Qureshi</v>
      </c>
      <c r="C71" s="23">
        <f>_xlfn.XLOOKUP(B36,[1]Billing!$O$5:$O$29,[1]Billing!$P$5:$P$29)</f>
        <v>21807</v>
      </c>
      <c r="D71" s="23">
        <f>_xlfn.XLOOKUP($B36,[1]Billing!$O$5:$O$29,[1]Billing!$Q$5:$Q$29)</f>
        <v>19940.563277249454</v>
      </c>
      <c r="E71" s="23">
        <f>_xlfn.XLOOKUP($B36,[1]Billing!$O$5:$O$29,[1]Billing!$R$5:$R$29)</f>
        <v>19940.563277249454</v>
      </c>
      <c r="F71" s="23">
        <f>_xlfn.XLOOKUP($B36,[1]Billing!$O$5:$O$29,[1]Billing!$S$5:$S$29)</f>
        <v>0</v>
      </c>
      <c r="G71" s="23">
        <f>_xlfn.XLOOKUP($B36,[1]Billing!$O$5:$O$29,[1]Billing!$T$5:$T$29)</f>
        <v>199405.63277249454</v>
      </c>
      <c r="H71" s="23">
        <f>_xlfn.XLOOKUP($B36,[1]Billing!$O$5:$O$29,[1]Billing!$U$5:$U$29)</f>
        <v>0</v>
      </c>
      <c r="I71" s="44">
        <f t="shared" si="12"/>
        <v>199405.63277249454</v>
      </c>
      <c r="J71" s="23">
        <f>_xlfn.XLOOKUP($B36,[1]Billing!$O$5:$O$29,[1]Billing!$W$5:$W$29)</f>
        <v>100000</v>
      </c>
      <c r="K71" s="42">
        <f t="shared" si="13"/>
        <v>99405.632772494544</v>
      </c>
      <c r="L71" s="22">
        <v>10</v>
      </c>
      <c r="M71" s="22">
        <v>12</v>
      </c>
    </row>
    <row r="72" spans="2:13" x14ac:dyDescent="0.3">
      <c r="B72" t="str">
        <v>Badshah Fabrics</v>
      </c>
    </row>
    <row r="73" spans="2:13" x14ac:dyDescent="0.3">
      <c r="B73" t="str">
        <v>Reject</v>
      </c>
    </row>
    <row r="74" spans="2:13" x14ac:dyDescent="0.3">
      <c r="B74" t="str">
        <v>Amjad 7up</v>
      </c>
    </row>
    <row r="75" spans="2:13" x14ac:dyDescent="0.3">
      <c r="B75" t="str">
        <v>Hazrat Khan</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8">_xlfn.UNIQUE(Table1[Party Name])</f>
        <v>BSC</v>
      </c>
    </row>
    <row r="5" spans="2:10" x14ac:dyDescent="0.3">
      <c r="J5" t="str">
        <v>Ejaz Sahab</v>
      </c>
    </row>
    <row r="6" spans="2:10" ht="21" x14ac:dyDescent="0.4">
      <c r="B6" s="72" t="s">
        <v>162</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133600</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122165.32553035846</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122165.32553035846</v>
      </c>
      <c r="E12" s="101">
        <f ca="1">Table21[[#This Row],[gazana]]*Table21[[#This Row],[Rate]]</f>
        <v>1221653.2553035845</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1221653.2553035845</v>
      </c>
      <c r="J16" t="str">
        <v>Reject</v>
      </c>
    </row>
    <row r="17" spans="2:10" ht="18.600000000000001" thickBot="1" x14ac:dyDescent="0.4">
      <c r="B17" s="73"/>
      <c r="C17" s="75"/>
      <c r="D17" s="77"/>
      <c r="E17" s="74"/>
      <c r="J17" t="str">
        <v>Amjad 7up</v>
      </c>
    </row>
    <row r="18" spans="2:10" ht="18.600000000000001" thickBot="1" x14ac:dyDescent="0.4">
      <c r="B18" s="63" t="s">
        <v>42</v>
      </c>
      <c r="C18" s="74"/>
      <c r="D18" s="100"/>
      <c r="E18" s="102" cm="1">
        <f t="array" aca="1" ref="E18" ca="1">_xlfn.XLOOKUP($B$6,_xlfn.ANCHORARRAY( Billing!O5), OFFSET(Billing!W5, 0, 0, ROWS(_xlfn.ANCHORARRAY(Billing!O5))), "Not Found")</f>
        <v>1221620</v>
      </c>
      <c r="J18" t="str">
        <v>Hazrat Khan</v>
      </c>
    </row>
    <row r="19" spans="2:10" ht="18.600000000000001" thickBot="1" x14ac:dyDescent="0.4">
      <c r="B19" s="63"/>
      <c r="C19" s="74"/>
      <c r="D19" s="76"/>
      <c r="E19" s="74"/>
    </row>
    <row r="20" spans="2:10" ht="18.600000000000001" thickBot="1" x14ac:dyDescent="0.4">
      <c r="B20" s="63" t="s">
        <v>43</v>
      </c>
      <c r="C20" s="74"/>
      <c r="D20" s="100"/>
      <c r="E20" s="103" cm="1">
        <f t="array" aca="1" ref="E20" ca="1">_xlfn.XLOOKUP($B$6,_xlfn.ANCHORARRAY( Billing!O5), OFFSET(Billing!X5, 0, 0, ROWS(_xlfn.ANCHORARRAY(Billing!O5))), "Not Found")</f>
        <v>33.255303584504873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7689835</v>
      </c>
      <c r="D4" t="s">
        <v>183</v>
      </c>
    </row>
    <row r="5" spans="1:4" x14ac:dyDescent="0.3">
      <c r="B5" t="s">
        <v>48</v>
      </c>
      <c r="C5" s="11">
        <f>SUM(Table8[Price])+Dyes!P41</f>
        <v>1419605</v>
      </c>
      <c r="D5" t="s">
        <v>189</v>
      </c>
    </row>
    <row r="6" spans="1:4" x14ac:dyDescent="0.3">
      <c r="B6" t="s">
        <v>49</v>
      </c>
      <c r="C6" s="11">
        <f>SUM(Table2[Price])+247000</f>
        <v>1391750</v>
      </c>
      <c r="D6" t="s">
        <v>188</v>
      </c>
    </row>
    <row r="7" spans="1:4" x14ac:dyDescent="0.3">
      <c r="B7" t="s">
        <v>50</v>
      </c>
      <c r="C7" s="11">
        <f>SUMIFS(Table14[Debit], Table14[Party],Table12[[#This Row],[Type]])</f>
        <v>27062</v>
      </c>
    </row>
    <row r="8" spans="1:4" x14ac:dyDescent="0.3">
      <c r="B8" t="s">
        <v>51</v>
      </c>
      <c r="C8" s="11">
        <f>Electricity!E3</f>
        <v>0</v>
      </c>
    </row>
    <row r="9" spans="1:4" x14ac:dyDescent="0.3">
      <c r="B9" t="s">
        <v>52</v>
      </c>
      <c r="C9" s="11">
        <f>Table11[[#Totals],[Amount]]+'Salary Acc'!I35</f>
        <v>98000</v>
      </c>
    </row>
    <row r="10" spans="1:4" x14ac:dyDescent="0.3">
      <c r="B10" t="s">
        <v>53</v>
      </c>
      <c r="C10" s="11">
        <f>Table5[[#Totals],[Amount]]</f>
        <v>113670</v>
      </c>
    </row>
    <row r="11" spans="1:4" x14ac:dyDescent="0.3">
      <c r="B11" t="s">
        <v>54</v>
      </c>
      <c r="C11" s="11">
        <f>Table13[[#Totals],[Debit]]</f>
        <v>269331</v>
      </c>
    </row>
    <row r="12" spans="1:4" x14ac:dyDescent="0.3">
      <c r="B12" t="s">
        <v>55</v>
      </c>
      <c r="C12" s="11">
        <f>Table15[[#Totals],[Amount]]</f>
        <v>313646</v>
      </c>
    </row>
    <row r="13" spans="1:4" x14ac:dyDescent="0.3">
      <c r="C13" s="11"/>
    </row>
    <row r="14" spans="1:4" x14ac:dyDescent="0.3">
      <c r="C14" s="14">
        <f>SUM(Table12[Amount])</f>
        <v>11322899</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H16" sqref="H16"/>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14567715.801024141</v>
      </c>
      <c r="D3" t="s">
        <v>68</v>
      </c>
    </row>
    <row r="4" spans="1:4" x14ac:dyDescent="0.3">
      <c r="B4" s="11" t="s">
        <v>44</v>
      </c>
      <c r="C4" s="11">
        <f>Table12[[#Totals],[Amount]]</f>
        <v>11322899</v>
      </c>
    </row>
    <row r="5" spans="1:4" x14ac:dyDescent="0.3">
      <c r="A5" s="6"/>
      <c r="B5" s="15" t="s">
        <v>69</v>
      </c>
      <c r="C5" s="15">
        <f ca="1">C3-C4</f>
        <v>3244816.8010241408</v>
      </c>
    </row>
    <row r="10" spans="1:4" ht="15" thickBot="1" x14ac:dyDescent="0.35">
      <c r="B10" t="s">
        <v>66</v>
      </c>
      <c r="C10" s="14" t="s">
        <v>67</v>
      </c>
    </row>
    <row r="11" spans="1:4" x14ac:dyDescent="0.3">
      <c r="B11" s="64" t="s">
        <v>0</v>
      </c>
      <c r="C11" s="65">
        <f ca="1">C3</f>
        <v>14567715.801024141</v>
      </c>
    </row>
    <row r="12" spans="1:4" x14ac:dyDescent="0.3">
      <c r="B12" s="66" t="s">
        <v>70</v>
      </c>
      <c r="C12" s="67">
        <f>SUM(Table14[Credit])</f>
        <v>14060790</v>
      </c>
    </row>
    <row r="13" spans="1:4" ht="15" thickBot="1" x14ac:dyDescent="0.35">
      <c r="B13" s="82" t="s">
        <v>97</v>
      </c>
      <c r="C13" s="81">
        <f ca="1">(C11-C12)</f>
        <v>506925.80102414079</v>
      </c>
    </row>
    <row r="14" spans="1:4" ht="15" thickBot="1" x14ac:dyDescent="0.35">
      <c r="B14" s="66"/>
      <c r="C14" s="67"/>
    </row>
    <row r="15" spans="1:4" x14ac:dyDescent="0.3">
      <c r="B15" s="64" t="s">
        <v>44</v>
      </c>
      <c r="C15" s="65">
        <f>C4</f>
        <v>11322899</v>
      </c>
    </row>
    <row r="16" spans="1:4" x14ac:dyDescent="0.3">
      <c r="B16" s="66" t="s">
        <v>71</v>
      </c>
      <c r="C16" s="67">
        <f>SUM(Table14[Debit])</f>
        <v>14002982</v>
      </c>
    </row>
    <row r="17" spans="2:6" ht="15" thickBot="1" x14ac:dyDescent="0.35">
      <c r="B17" s="82" t="s">
        <v>72</v>
      </c>
      <c r="C17" s="81">
        <f>C15-C16</f>
        <v>-2680083</v>
      </c>
    </row>
    <row r="18" spans="2:6" ht="15" thickBot="1" x14ac:dyDescent="0.35">
      <c r="B18" s="66"/>
      <c r="C18" s="67"/>
    </row>
    <row r="19" spans="2:6" ht="15" thickBot="1" x14ac:dyDescent="0.35">
      <c r="B19" s="83" t="s">
        <v>73</v>
      </c>
      <c r="C19" s="84">
        <f>Table18[[#Totals],[amount]]</f>
        <v>57808</v>
      </c>
    </row>
    <row r="20" spans="2:6" ht="15" thickBot="1" x14ac:dyDescent="0.35">
      <c r="B20" s="79"/>
      <c r="C20" s="80"/>
    </row>
    <row r="21" spans="2:6" ht="15" thickBot="1" x14ac:dyDescent="0.35">
      <c r="B21" s="68" t="s">
        <v>74</v>
      </c>
      <c r="C21" s="69">
        <f ca="1">(C13-C17)+C19</f>
        <v>3244816.8010241408</v>
      </c>
      <c r="E21" s="87" t="s">
        <v>75</v>
      </c>
      <c r="F21" s="88">
        <f ca="1">C5*0.05</f>
        <v>162240.84005120705</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11949</v>
      </c>
      <c r="E18">
        <f>SUMIFS(Table14[Credit], Table14[Date], Table13[[#This Row],[Date]], Table14[Party], "Transport")</f>
        <v>0</v>
      </c>
    </row>
    <row r="19" spans="2:5" x14ac:dyDescent="0.3">
      <c r="B19" s="1">
        <v>45932</v>
      </c>
      <c r="D19">
        <f>SUMIFS(Table14[Debit], Table14[Date], Table13[[#This Row],[Date]], Table14[Party], "Transport")</f>
        <v>7910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10430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8294</v>
      </c>
      <c r="E23">
        <f>SUMIFS(Table14[Credit], Table14[Date], Table13[[#This Row],[Date]], Table14[Party], "Transport")</f>
        <v>0</v>
      </c>
    </row>
    <row r="24" spans="2:5" x14ac:dyDescent="0.3">
      <c r="B24" s="1">
        <v>45937</v>
      </c>
      <c r="D24">
        <f>SUMIFS(Table14[Debit], Table14[Date], Table13[[#This Row],[Date]], Table14[Party], "Transport")</f>
        <v>11800</v>
      </c>
      <c r="E24">
        <f>SUMIFS(Table14[Credit], Table14[Date], Table13[[#This Row],[Date]], Table14[Party], "Transport")</f>
        <v>0</v>
      </c>
    </row>
    <row r="25" spans="2:5" x14ac:dyDescent="0.3">
      <c r="B25" s="1">
        <v>45938</v>
      </c>
      <c r="D25">
        <f>SUMIFS(Table14[Debit], Table14[Date], Table13[[#This Row],[Date]], Table14[Party], "Transport")</f>
        <v>8416</v>
      </c>
      <c r="E25">
        <f>SUMIFS(Table14[Credit], Table14[Date], Table13[[#This Row],[Date]], Table14[Party], "Transport")</f>
        <v>0</v>
      </c>
    </row>
    <row r="26" spans="2:5" x14ac:dyDescent="0.3">
      <c r="B26" s="1">
        <v>45939</v>
      </c>
      <c r="D26">
        <f>SUMIFS(Table14[Debit], Table14[Date], Table13[[#This Row],[Date]], Table14[Party], "Transport")</f>
        <v>8040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269331</v>
      </c>
      <c r="E35">
        <f>SUBTOTAL(109,Table13[Credit])</f>
        <v>0</v>
      </c>
      <c r="F35">
        <f>Table13[[#Totals],[Debit]]-Table13[[#Totals],[Credit]]</f>
        <v>269331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62"/>
  <sheetViews>
    <sheetView topLeftCell="B130" zoomScale="126" zoomScaleNormal="126" workbookViewId="0">
      <selection activeCell="E14" sqref="E14"/>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88671875" style="10" bestFit="1" customWidth="1"/>
    <col min="5" max="5" width="15.5546875" style="10" bestFit="1" customWidth="1"/>
    <col min="6" max="6" width="17.5546875" style="10" bestFit="1" customWidth="1"/>
    <col min="7" max="7" width="12.44140625" style="10" bestFit="1" customWidth="1"/>
    <col min="8" max="8" width="18" style="10" bestFit="1" customWidth="1"/>
    <col min="9" max="9" width="12.44140625" style="10" bestFit="1" customWidth="1"/>
    <col min="10" max="10" width="17.554687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hidden="1"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hidden="1"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hidden="1"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hidden="1"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hidden="1"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hidden="1"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hidden="1"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hidden="1"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hidden="1"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hidden="1"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hidden="1"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hidden="1"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hidden="1"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45919</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45919</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252</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253</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243</v>
      </c>
      <c r="C50" s="29">
        <v>870</v>
      </c>
      <c r="D50" s="29" t="s">
        <v>88</v>
      </c>
      <c r="E50" s="11" t="s">
        <v>254</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255</v>
      </c>
      <c r="F51" s="11">
        <v>32916</v>
      </c>
      <c r="G51" s="11">
        <v>25630</v>
      </c>
      <c r="H51" s="32">
        <f>_xlfn.XLOOKUP(Table1[[#This Row],[Shipment Number]], 'pivot '!A:A,'pivot '!G:G, "NF")</f>
        <v>0.57209755532092288</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255</v>
      </c>
      <c r="F53" s="11">
        <v>32916</v>
      </c>
      <c r="G53" s="11">
        <v>10161</v>
      </c>
      <c r="H53" s="32">
        <f>_xlfn.XLOOKUP(Table1[[#This Row],[Shipment Number]], 'pivot '!A:A,'pivot '!G:G, "NF")</f>
        <v>0.57209755532092288</v>
      </c>
      <c r="I53" s="32">
        <f>IF(Table1[[#This Row],[Shipment Number]]="RD",0,Table1[[#This Row],[Tiyaar/gaz]]/1.0936)</f>
        <v>9291.331382589613</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92913.313825896126</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162</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162</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243</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243</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243</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s="28">
        <v>45929</v>
      </c>
      <c r="B65" s="29" t="s">
        <v>21</v>
      </c>
      <c r="C65" s="29">
        <v>885</v>
      </c>
      <c r="D65" s="29" t="s">
        <v>86</v>
      </c>
      <c r="E65" s="11" t="s">
        <v>284</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x14ac:dyDescent="0.3">
      <c r="A66" s="28">
        <v>45929</v>
      </c>
      <c r="B66" s="29" t="s">
        <v>21</v>
      </c>
      <c r="C66" s="29">
        <v>886</v>
      </c>
      <c r="D66" s="29" t="s">
        <v>86</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x14ac:dyDescent="0.3">
      <c r="A67" s="28">
        <v>45929</v>
      </c>
      <c r="B67" s="29" t="s">
        <v>21</v>
      </c>
      <c r="C67" s="29">
        <v>887</v>
      </c>
      <c r="D67" s="29" t="s">
        <v>86</v>
      </c>
      <c r="E67" s="11" t="s">
        <v>284</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x14ac:dyDescent="0.3">
      <c r="A68" s="28">
        <v>45929</v>
      </c>
      <c r="B68" s="29" t="s">
        <v>21</v>
      </c>
      <c r="C68" s="29">
        <v>888</v>
      </c>
      <c r="D68" s="29" t="s">
        <v>86</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x14ac:dyDescent="0.3">
      <c r="A69" s="28">
        <v>45929</v>
      </c>
      <c r="B69" s="29" t="s">
        <v>9</v>
      </c>
      <c r="C69" s="29">
        <v>889</v>
      </c>
      <c r="D69" s="29" t="s">
        <v>86</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x14ac:dyDescent="0.3">
      <c r="A70" s="28">
        <v>45929</v>
      </c>
      <c r="B70" s="29" t="s">
        <v>9</v>
      </c>
      <c r="C70" s="29">
        <v>890</v>
      </c>
      <c r="D70" s="29" t="s">
        <v>86</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x14ac:dyDescent="0.3">
      <c r="A71" s="28">
        <v>45929</v>
      </c>
      <c r="B71" s="29" t="s">
        <v>25</v>
      </c>
      <c r="C71" s="29">
        <v>891</v>
      </c>
      <c r="D71" s="29" t="s">
        <v>86</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x14ac:dyDescent="0.3">
      <c r="A72" s="28">
        <v>45929</v>
      </c>
      <c r="B72" s="29" t="s">
        <v>25</v>
      </c>
      <c r="C72" s="29">
        <v>892</v>
      </c>
      <c r="D72" s="29" t="s">
        <v>86</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s="28">
        <v>45930</v>
      </c>
      <c r="B73" s="29" t="s">
        <v>24</v>
      </c>
      <c r="C73" s="29">
        <v>893</v>
      </c>
      <c r="D73" s="29" t="s">
        <v>88</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x14ac:dyDescent="0.3">
      <c r="A74" s="28">
        <v>45930</v>
      </c>
      <c r="B74" s="29" t="s">
        <v>24</v>
      </c>
      <c r="C74" s="29">
        <v>894</v>
      </c>
      <c r="D74" s="29" t="s">
        <v>88</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x14ac:dyDescent="0.3">
      <c r="A75" s="28">
        <v>45930</v>
      </c>
      <c r="B75" s="29" t="s">
        <v>24</v>
      </c>
      <c r="C75" s="29">
        <v>895</v>
      </c>
      <c r="D75" s="29" t="s">
        <v>88</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x14ac:dyDescent="0.3">
      <c r="A76" s="28">
        <v>45930</v>
      </c>
      <c r="B76" s="29" t="s">
        <v>24</v>
      </c>
      <c r="C76" s="29">
        <v>896</v>
      </c>
      <c r="D76" s="29" t="s">
        <v>88</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x14ac:dyDescent="0.3">
      <c r="A77" s="28">
        <v>45930</v>
      </c>
      <c r="B77" s="29" t="s">
        <v>24</v>
      </c>
      <c r="C77" s="29">
        <v>897</v>
      </c>
      <c r="D77" s="29" t="s">
        <v>88</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x14ac:dyDescent="0.3">
      <c r="A78" s="28">
        <v>45930</v>
      </c>
      <c r="B78" s="29" t="s">
        <v>24</v>
      </c>
      <c r="C78" s="29">
        <v>898</v>
      </c>
      <c r="D78" s="29" t="s">
        <v>88</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x14ac:dyDescent="0.3">
      <c r="A79" s="28">
        <v>45930</v>
      </c>
      <c r="B79" s="29" t="s">
        <v>24</v>
      </c>
      <c r="C79" s="116" t="s">
        <v>294</v>
      </c>
      <c r="D79" s="29" t="s">
        <v>88</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x14ac:dyDescent="0.3">
      <c r="A80" s="28">
        <v>45930</v>
      </c>
      <c r="B80" s="29" t="s">
        <v>24</v>
      </c>
      <c r="C80" s="116" t="s">
        <v>295</v>
      </c>
      <c r="D80" s="29" t="s">
        <v>88</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x14ac:dyDescent="0.3">
      <c r="A81" s="28">
        <v>45930</v>
      </c>
      <c r="B81" s="29" t="s">
        <v>24</v>
      </c>
      <c r="C81" s="116" t="s">
        <v>296</v>
      </c>
      <c r="D81" s="29" t="s">
        <v>88</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x14ac:dyDescent="0.3">
      <c r="A82" s="28">
        <v>45930</v>
      </c>
      <c r="B82" s="29" t="s">
        <v>24</v>
      </c>
      <c r="C82" s="116" t="s">
        <v>297</v>
      </c>
      <c r="D82" s="29" t="s">
        <v>88</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x14ac:dyDescent="0.3">
      <c r="A83" s="28">
        <v>45930</v>
      </c>
      <c r="B83" s="29" t="s">
        <v>24</v>
      </c>
      <c r="C83" s="116" t="s">
        <v>298</v>
      </c>
      <c r="D83" s="29" t="s">
        <v>88</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x14ac:dyDescent="0.3">
      <c r="A84" s="28">
        <v>45930</v>
      </c>
      <c r="B84" s="29" t="s">
        <v>243</v>
      </c>
      <c r="C84" s="29">
        <v>901</v>
      </c>
      <c r="D84" s="29" t="s">
        <v>88</v>
      </c>
      <c r="E84" s="11">
        <v>1770</v>
      </c>
      <c r="F84" s="11">
        <v>14459</v>
      </c>
      <c r="G84" s="11">
        <v>15367</v>
      </c>
      <c r="H84" s="32">
        <f>_xlfn.XLOOKUP(Table1[[#This Row],[Shipment Number]], 'pivot '!A:A,'pivot '!G:G, "NF")</f>
        <v>2.8165456162325171</v>
      </c>
      <c r="I84" s="32">
        <f>IF(Table1[[#This Row],[Shipment Number]]="RD",0,Table1[[#This Row],[Tiyaar/gaz]]/1.0936)</f>
        <v>14051.755669348941</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168621.06803218729</v>
      </c>
      <c r="K84" s="29"/>
      <c r="P84"/>
      <c r="Q84"/>
    </row>
    <row r="85" spans="1:17" x14ac:dyDescent="0.3">
      <c r="A85" s="105">
        <v>45930</v>
      </c>
      <c r="B85" s="106" t="s">
        <v>316</v>
      </c>
      <c r="C85" s="106">
        <v>902</v>
      </c>
      <c r="D85" s="106"/>
      <c r="E85" s="107"/>
      <c r="F85" s="107"/>
      <c r="G85" s="107"/>
      <c r="H85" s="108" t="e">
        <f>_xlfn.XLOOKUP(Table1[[#This Row],[Shipment Number]], 'pivot '!A:A,'pivot '!G:G, "NF")</f>
        <v>#DIV/0!</v>
      </c>
      <c r="I85" s="32">
        <f>IF(Table1[[#This Row],[Shipment Number]]="RD",0,Table1[[#This Row],[Tiyaar/gaz]]/1.0936)</f>
        <v>0</v>
      </c>
      <c r="J85" s="32"/>
      <c r="K85" s="29"/>
      <c r="P85"/>
      <c r="Q85"/>
    </row>
    <row r="86" spans="1:17" x14ac:dyDescent="0.3">
      <c r="A86" s="28">
        <v>45930</v>
      </c>
      <c r="B86" s="29" t="s">
        <v>22</v>
      </c>
      <c r="C86" s="29">
        <v>903</v>
      </c>
      <c r="D86" s="29" t="s">
        <v>88</v>
      </c>
      <c r="E86" s="11">
        <v>1772</v>
      </c>
      <c r="F86" s="11">
        <v>15029</v>
      </c>
      <c r="G86" s="11">
        <v>8722</v>
      </c>
      <c r="H86" s="32">
        <f>_xlfn.XLOOKUP(Table1[[#This Row],[Shipment Number]], 'pivot '!A:A,'pivot '!G:G, "NF")</f>
        <v>0.87440312299413847</v>
      </c>
      <c r="I86" s="32">
        <f>IF(Table1[[#This Row],[Shipment Number]]="RD",0,Table1[[#This Row],[Tiyaar/gaz]]/1.0936)</f>
        <v>7975.4937820043897</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95705.92538405268</v>
      </c>
      <c r="K86" s="29"/>
      <c r="P86"/>
      <c r="Q86"/>
    </row>
    <row r="87" spans="1:17" x14ac:dyDescent="0.3">
      <c r="A87" s="28">
        <v>45930</v>
      </c>
      <c r="B87" s="29" t="s">
        <v>22</v>
      </c>
      <c r="C87" s="29">
        <v>904</v>
      </c>
      <c r="D87" s="29" t="s">
        <v>88</v>
      </c>
      <c r="E87" s="11">
        <v>1772</v>
      </c>
      <c r="F87" s="11">
        <v>15029</v>
      </c>
      <c r="G87" s="11">
        <v>7570</v>
      </c>
      <c r="H87" s="32">
        <f>_xlfn.XLOOKUP(Table1[[#This Row],[Shipment Number]], 'pivot '!A:A,'pivot '!G:G, "NF")</f>
        <v>0.87440312299413847</v>
      </c>
      <c r="I87" s="32">
        <f>IF(Table1[[#This Row],[Shipment Number]]="RD",0,Table1[[#This Row],[Tiyaar/gaz]]/1.0936)</f>
        <v>6922.0921726408196</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83065.106071689836</v>
      </c>
      <c r="K87" s="29"/>
      <c r="P87"/>
      <c r="Q87"/>
    </row>
    <row r="88" spans="1:17" x14ac:dyDescent="0.3">
      <c r="A88" s="28">
        <v>45930</v>
      </c>
      <c r="B88" s="29" t="s">
        <v>24</v>
      </c>
      <c r="C88" s="29">
        <v>905</v>
      </c>
      <c r="D88" s="29" t="s">
        <v>86</v>
      </c>
      <c r="E88" s="11">
        <v>1721</v>
      </c>
      <c r="F88" s="11">
        <v>12128</v>
      </c>
      <c r="G88" s="11">
        <v>6580</v>
      </c>
      <c r="H88" s="32">
        <f>_xlfn.XLOOKUP(Table1[[#This Row],[Shipment Number]], 'pivot '!A:A,'pivot '!G:G, "NF")</f>
        <v>1.275567320924992</v>
      </c>
      <c r="I88" s="32">
        <f>IF(Table1[[#This Row],[Shipment Number]]="RD",0,Table1[[#This Row],[Tiyaar/gaz]]/1.0936)</f>
        <v>6016.8251645940018</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54151.426481346018</v>
      </c>
      <c r="K88" s="29"/>
      <c r="P88"/>
      <c r="Q88"/>
    </row>
    <row r="89" spans="1:17" x14ac:dyDescent="0.3">
      <c r="A89" s="28">
        <v>45931</v>
      </c>
      <c r="B89" s="29" t="s">
        <v>23</v>
      </c>
      <c r="C89" s="29">
        <v>906</v>
      </c>
      <c r="D89" s="29" t="s">
        <v>86</v>
      </c>
      <c r="E89" s="11">
        <v>1769</v>
      </c>
      <c r="F89" s="11">
        <v>3889</v>
      </c>
      <c r="G89" s="11">
        <v>4202</v>
      </c>
      <c r="H89" s="32">
        <f>_xlfn.XLOOKUP(Table1[[#This Row],[Shipment Number]], 'pivot '!A:A,'pivot '!G:G, "NF")</f>
        <v>1.1993951390290363</v>
      </c>
      <c r="I89" s="32">
        <f>IF(Table1[[#This Row],[Shipment Number]]="RD",0,Table1[[#This Row],[Tiyaar/gaz]]/1.0936)</f>
        <v>3842.3555230431607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40344.732991953184</v>
      </c>
      <c r="K89" s="29"/>
      <c r="P89"/>
      <c r="Q89"/>
    </row>
    <row r="90" spans="1:17" x14ac:dyDescent="0.3">
      <c r="A90" s="28">
        <v>45931</v>
      </c>
      <c r="B90" s="29" t="s">
        <v>21</v>
      </c>
      <c r="C90" s="29">
        <v>907</v>
      </c>
      <c r="D90" s="29" t="s">
        <v>86</v>
      </c>
      <c r="E90" s="11">
        <v>1771</v>
      </c>
      <c r="F90" s="11">
        <v>16003</v>
      </c>
      <c r="G90" s="11">
        <v>12967</v>
      </c>
      <c r="H90" s="32">
        <f>_xlfn.XLOOKUP(Table1[[#This Row],[Shipment Number]], 'pivot '!A:A,'pivot '!G:G, "NF")</f>
        <v>0.28501879745390113</v>
      </c>
      <c r="I90" s="32">
        <f>IF(Table1[[#This Row],[Shipment Number]]="RD",0,Table1[[#This Row],[Tiyaar/gaz]]/1.0936)</f>
        <v>11857.168983174837</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118571.68983174837</v>
      </c>
      <c r="K90" s="29"/>
      <c r="P90"/>
      <c r="Q90"/>
    </row>
    <row r="91" spans="1:17" x14ac:dyDescent="0.3">
      <c r="A91" s="28">
        <v>45931</v>
      </c>
      <c r="B91" s="29" t="s">
        <v>27</v>
      </c>
      <c r="C91" s="29">
        <v>908</v>
      </c>
      <c r="D91" s="29" t="s">
        <v>86</v>
      </c>
      <c r="E91" s="11">
        <v>1746</v>
      </c>
      <c r="F91" s="11">
        <v>25001</v>
      </c>
      <c r="G91" s="11">
        <v>15228</v>
      </c>
      <c r="H91" s="32">
        <f>_xlfn.XLOOKUP(Table1[[#This Row],[Shipment Number]], 'pivot '!A:A,'pivot '!G:G, "NF")</f>
        <v>1.0134693368666063</v>
      </c>
      <c r="I91" s="32">
        <f>IF(Table1[[#This Row],[Shipment Number]]="RD",0,Table1[[#This Row],[Tiyaar/gaz]]/1.0936)</f>
        <v>13924.65252377469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139246.52523774689</v>
      </c>
      <c r="K91" s="29"/>
      <c r="P91"/>
      <c r="Q91"/>
    </row>
    <row r="92" spans="1:17" x14ac:dyDescent="0.3">
      <c r="A92" s="28">
        <v>45931</v>
      </c>
      <c r="B92" s="29" t="s">
        <v>21</v>
      </c>
      <c r="C92" s="29">
        <v>909</v>
      </c>
      <c r="D92" s="29" t="s">
        <v>86</v>
      </c>
      <c r="E92" s="11">
        <v>1759</v>
      </c>
      <c r="F92" s="11">
        <v>25814</v>
      </c>
      <c r="G92" s="11">
        <v>16294</v>
      </c>
      <c r="H92" s="32">
        <f>_xlfn.XLOOKUP(Table1[[#This Row],[Shipment Number]], 'pivot '!A:A,'pivot '!G:G, "NF")</f>
        <v>-0.55901004479235894</v>
      </c>
      <c r="I92" s="32">
        <f>IF(Table1[[#This Row],[Shipment Number]]="RD",0,Table1[[#This Row],[Tiyaar/gaz]]/1.0936)</f>
        <v>14899.414776883688</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148994.14776883688</v>
      </c>
      <c r="K92" s="29"/>
      <c r="P92"/>
      <c r="Q92"/>
    </row>
    <row r="93" spans="1:17" x14ac:dyDescent="0.3">
      <c r="A93" s="28">
        <v>45931</v>
      </c>
      <c r="B93" s="29" t="s">
        <v>24</v>
      </c>
      <c r="C93" s="29">
        <v>910</v>
      </c>
      <c r="D93" s="29" t="s">
        <v>86</v>
      </c>
      <c r="E93" s="11">
        <v>1722</v>
      </c>
      <c r="F93" s="11">
        <v>20007</v>
      </c>
      <c r="G93" s="11">
        <v>13202</v>
      </c>
      <c r="H93" s="32">
        <f>_xlfn.XLOOKUP(Table1[[#This Row],[Shipment Number]], 'pivot '!A:A,'pivot '!G:G, "NF")</f>
        <v>0.97650167722935066</v>
      </c>
      <c r="I93" s="32">
        <f>IF(Table1[[#This Row],[Shipment Number]]="RD",0,Table1[[#This Row],[Tiyaar/gaz]]/1.0936)</f>
        <v>12072.055596196051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108648.50036576446</v>
      </c>
      <c r="K93" s="29"/>
      <c r="P93"/>
      <c r="Q93"/>
    </row>
    <row r="94" spans="1:17" x14ac:dyDescent="0.3">
      <c r="A94" s="28">
        <v>45931</v>
      </c>
      <c r="B94" s="29" t="s">
        <v>21</v>
      </c>
      <c r="C94" s="29">
        <v>911</v>
      </c>
      <c r="D94" s="29" t="s">
        <v>86</v>
      </c>
      <c r="E94" s="11">
        <v>1771</v>
      </c>
      <c r="F94" s="11">
        <v>16003</v>
      </c>
      <c r="G94" s="11">
        <v>4484</v>
      </c>
      <c r="H94" s="32">
        <f>_xlfn.XLOOKUP(Table1[[#This Row],[Shipment Number]], 'pivot '!A:A,'pivot '!G:G, "NF")</f>
        <v>0.28501879745390113</v>
      </c>
      <c r="I94" s="32">
        <f>IF(Table1[[#This Row],[Shipment Number]]="RD",0,Table1[[#This Row],[Tiyaar/gaz]]/1.0936)</f>
        <v>4100.2194586686173</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41002.194586686172</v>
      </c>
      <c r="K94" s="29"/>
      <c r="P94"/>
      <c r="Q94"/>
    </row>
    <row r="95" spans="1:17" x14ac:dyDescent="0.3">
      <c r="A95" s="28">
        <v>45931</v>
      </c>
      <c r="B95" s="29" t="s">
        <v>21</v>
      </c>
      <c r="C95" s="29">
        <v>912</v>
      </c>
      <c r="D95" s="29" t="s">
        <v>86</v>
      </c>
      <c r="E95" s="11">
        <v>1759</v>
      </c>
      <c r="F95" s="11">
        <v>25814</v>
      </c>
      <c r="G95" s="11">
        <v>12094</v>
      </c>
      <c r="H95" s="32">
        <f>_xlfn.XLOOKUP(Table1[[#This Row],[Shipment Number]], 'pivot '!A:A,'pivot '!G:G, "NF")</f>
        <v>-0.55901004479235894</v>
      </c>
      <c r="I95" s="32">
        <f>IF(Table1[[#This Row],[Shipment Number]]="RD",0,Table1[[#This Row],[Tiyaar/gaz]]/1.0936)</f>
        <v>11058.888076079005</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110588.88076079005</v>
      </c>
      <c r="K95" s="29"/>
      <c r="O95"/>
      <c r="P95"/>
      <c r="Q95"/>
    </row>
    <row r="96" spans="1:17" x14ac:dyDescent="0.3">
      <c r="A96" s="28">
        <v>45931</v>
      </c>
      <c r="B96" s="29" t="s">
        <v>27</v>
      </c>
      <c r="C96" s="29">
        <v>913</v>
      </c>
      <c r="D96" s="29" t="s">
        <v>86</v>
      </c>
      <c r="E96" s="11">
        <v>1746</v>
      </c>
      <c r="F96" s="11">
        <v>25001</v>
      </c>
      <c r="G96" s="11">
        <v>11836</v>
      </c>
      <c r="H96" s="32">
        <f>_xlfn.XLOOKUP(Table1[[#This Row],[Shipment Number]], 'pivot '!A:A,'pivot '!G:G, "NF")</f>
        <v>1.0134693368666063</v>
      </c>
      <c r="I96" s="32">
        <f>IF(Table1[[#This Row],[Shipment Number]]="RD",0,Table1[[#This Row],[Tiyaar/gaz]]/1.0936)</f>
        <v>10822.970007315291</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108229.70007315291</v>
      </c>
      <c r="K96" s="29"/>
      <c r="O96"/>
      <c r="P96"/>
      <c r="Q96"/>
    </row>
    <row r="97" spans="1:17" x14ac:dyDescent="0.3">
      <c r="A97" s="28">
        <v>45931</v>
      </c>
      <c r="B97" s="29" t="s">
        <v>21</v>
      </c>
      <c r="C97" s="29">
        <v>914</v>
      </c>
      <c r="D97" s="29" t="s">
        <v>86</v>
      </c>
      <c r="E97" s="11">
        <v>1773</v>
      </c>
      <c r="F97" s="11">
        <v>30174</v>
      </c>
      <c r="G97" s="11">
        <v>2505</v>
      </c>
      <c r="H97" s="32">
        <f>_xlfn.XLOOKUP(Table1[[#This Row],[Shipment Number]], 'pivot '!A:A,'pivot '!G:G, "NF")</f>
        <v>3.4525623124478244</v>
      </c>
      <c r="I97" s="32">
        <f>IF(Table1[[#This Row],[Shipment Number]]="RD",0,Table1[[#This Row],[Tiyaar/gaz]]/1.0936)</f>
        <v>2290.5998536942211</v>
      </c>
      <c r="J97" s="32" cm="1">
        <f t="array" ref="J9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22905.99853694221</v>
      </c>
      <c r="K97" s="29"/>
      <c r="O97"/>
      <c r="P97"/>
      <c r="Q97"/>
    </row>
    <row r="98" spans="1:17" x14ac:dyDescent="0.3">
      <c r="A98" s="28">
        <v>45933</v>
      </c>
      <c r="B98" s="29" t="s">
        <v>24</v>
      </c>
      <c r="C98" s="29">
        <v>915</v>
      </c>
      <c r="D98" s="29" t="s">
        <v>86</v>
      </c>
      <c r="E98" s="11">
        <v>1722</v>
      </c>
      <c r="F98" s="11">
        <v>20007</v>
      </c>
      <c r="G98" s="11">
        <v>8464</v>
      </c>
      <c r="H98" s="32">
        <f>_xlfn.XLOOKUP(Table1[[#This Row],[Shipment Number]], 'pivot '!A:A,'pivot '!G:G, "NF")</f>
        <v>0.97650167722935066</v>
      </c>
      <c r="I98" s="32">
        <f>IF(Table1[[#This Row],[Shipment Number]]="RD",0,Table1[[#This Row],[Tiyaar/gaz]]/1.0936)</f>
        <v>7739.5757132406734</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69656.181419166067</v>
      </c>
      <c r="K98" s="29"/>
      <c r="L98"/>
      <c r="M98"/>
      <c r="O98"/>
      <c r="P98"/>
      <c r="Q98"/>
    </row>
    <row r="99" spans="1:17" x14ac:dyDescent="0.3">
      <c r="A99" s="28">
        <v>45933</v>
      </c>
      <c r="B99" s="29" t="s">
        <v>21</v>
      </c>
      <c r="C99" s="29">
        <v>916</v>
      </c>
      <c r="D99" s="29" t="s">
        <v>86</v>
      </c>
      <c r="E99" s="11">
        <v>1773</v>
      </c>
      <c r="F99" s="11">
        <v>30174</v>
      </c>
      <c r="G99" s="11">
        <v>27378</v>
      </c>
      <c r="H99" s="32">
        <f>_xlfn.XLOOKUP(Table1[[#This Row],[Shipment Number]], 'pivot '!A:A,'pivot '!G:G, "NF")</f>
        <v>3.4525623124478244</v>
      </c>
      <c r="I99" s="32">
        <f>IF(Table1[[#This Row],[Shipment Number]]="RD",0,Table1[[#This Row],[Tiyaar/gaz]]/1.0936)</f>
        <v>25034.747622531093</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250347.47622531094</v>
      </c>
      <c r="K99" s="29"/>
      <c r="L99"/>
      <c r="M99"/>
      <c r="O99"/>
      <c r="P99"/>
      <c r="Q99"/>
    </row>
    <row r="100" spans="1:17" x14ac:dyDescent="0.3">
      <c r="A100" s="28">
        <v>45933</v>
      </c>
      <c r="B100" s="29" t="s">
        <v>21</v>
      </c>
      <c r="C100" s="29">
        <v>917</v>
      </c>
      <c r="D100" s="29" t="s">
        <v>86</v>
      </c>
      <c r="E100" s="11">
        <v>1779</v>
      </c>
      <c r="F100" s="11">
        <v>21113</v>
      </c>
      <c r="G100" s="11">
        <v>2122</v>
      </c>
      <c r="H100" s="32">
        <f>_xlfn.XLOOKUP(Table1[[#This Row],[Shipment Number]], 'pivot '!A:A,'pivot '!G:G, "NF")</f>
        <v>1.6032481504494172</v>
      </c>
      <c r="I100" s="32">
        <f>IF(Table1[[#This Row],[Shipment Number]]="RD",0,Table1[[#This Row],[Tiyaar/gaz]]/1.0936)</f>
        <v>1940.3803950256038</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19403.803950256039</v>
      </c>
      <c r="K100" s="29"/>
      <c r="L100"/>
      <c r="M100"/>
      <c r="O100"/>
      <c r="P100"/>
      <c r="Q100"/>
    </row>
    <row r="101" spans="1:17" x14ac:dyDescent="0.3">
      <c r="A101" s="28">
        <v>45933</v>
      </c>
      <c r="B101" s="29" t="s">
        <v>25</v>
      </c>
      <c r="C101" s="29">
        <v>918</v>
      </c>
      <c r="D101" s="29" t="s">
        <v>86</v>
      </c>
      <c r="E101" s="11">
        <v>1749</v>
      </c>
      <c r="F101" s="11">
        <v>56411</v>
      </c>
      <c r="G101" s="11">
        <v>5121</v>
      </c>
      <c r="H101" s="32">
        <f>_xlfn.XLOOKUP(Table1[[#This Row],[Shipment Number]], 'pivot '!A:A,'pivot '!G:G, "NF")</f>
        <v>1.9209743123014249</v>
      </c>
      <c r="I101" s="32">
        <f>IF(Table1[[#This Row],[Shipment Number]]="RD",0,Table1[[#This Row],[Tiyaar/gaz]]/1.0936)</f>
        <v>4682.6993416239948</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46826.993416239944</v>
      </c>
      <c r="K101" s="29"/>
      <c r="L101"/>
      <c r="M101"/>
      <c r="N101"/>
      <c r="O101"/>
      <c r="P101"/>
      <c r="Q101"/>
    </row>
    <row r="102" spans="1:17" x14ac:dyDescent="0.3">
      <c r="A102" s="28">
        <v>45933</v>
      </c>
      <c r="B102" s="29" t="s">
        <v>25</v>
      </c>
      <c r="C102" s="29">
        <v>919</v>
      </c>
      <c r="D102" s="29" t="s">
        <v>86</v>
      </c>
      <c r="E102" s="11">
        <v>1749</v>
      </c>
      <c r="F102" s="11">
        <v>56411</v>
      </c>
      <c r="G102" s="11">
        <v>40366</v>
      </c>
      <c r="H102" s="32">
        <f>_xlfn.XLOOKUP(Table1[[#This Row],[Shipment Number]], 'pivot '!A:A,'pivot '!G:G, "NF")</f>
        <v>1.9209743123014249</v>
      </c>
      <c r="I102" s="32">
        <f>IF(Table1[[#This Row],[Shipment Number]]="RD",0,Table1[[#This Row],[Tiyaar/gaz]]/1.0936)</f>
        <v>36911.119239209955</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369111.19239209953</v>
      </c>
      <c r="K102" s="29"/>
      <c r="L102"/>
      <c r="M102"/>
      <c r="N102"/>
      <c r="O102"/>
      <c r="P102"/>
      <c r="Q102"/>
    </row>
    <row r="103" spans="1:17" x14ac:dyDescent="0.3">
      <c r="A103" s="28">
        <v>45933</v>
      </c>
      <c r="B103" s="29" t="s">
        <v>21</v>
      </c>
      <c r="C103" s="29">
        <v>920</v>
      </c>
      <c r="D103" s="29" t="s">
        <v>86</v>
      </c>
      <c r="E103" s="11">
        <v>1773</v>
      </c>
      <c r="F103" s="11">
        <v>30174</v>
      </c>
      <c r="G103" s="11">
        <v>1976</v>
      </c>
      <c r="H103" s="32">
        <f>_xlfn.XLOOKUP(Table1[[#This Row],[Shipment Number]], 'pivot '!A:A,'pivot '!G:G, "NF")</f>
        <v>3.4525623124478244</v>
      </c>
      <c r="I103" s="32">
        <f>IF(Table1[[#This Row],[Shipment Number]]="RD",0,Table1[[#This Row],[Tiyaar/gaz]]/1.0936)</f>
        <v>1806.8763716166791</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18068.763716166792</v>
      </c>
      <c r="K103" s="29"/>
      <c r="L103"/>
      <c r="M103"/>
      <c r="N103"/>
      <c r="O103"/>
      <c r="P103"/>
      <c r="Q103"/>
    </row>
    <row r="104" spans="1:17" x14ac:dyDescent="0.3">
      <c r="A104" s="28">
        <v>45934</v>
      </c>
      <c r="B104" s="29" t="s">
        <v>25</v>
      </c>
      <c r="C104" s="29">
        <v>921</v>
      </c>
      <c r="D104" s="29" t="s">
        <v>86</v>
      </c>
      <c r="E104" s="11">
        <v>1749</v>
      </c>
      <c r="F104" s="11">
        <v>56411</v>
      </c>
      <c r="G104" s="11">
        <v>15019</v>
      </c>
      <c r="H104" s="32">
        <f>_xlfn.XLOOKUP(Table1[[#This Row],[Shipment Number]], 'pivot '!A:A,'pivot '!G:G, "NF")</f>
        <v>1.9209743123014249</v>
      </c>
      <c r="I104" s="32">
        <f>IF(Table1[[#This Row],[Shipment Number]]="RD",0,Table1[[#This Row],[Tiyaar/gaz]]/1.0936)</f>
        <v>13733.540599853695</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137335.40599853697</v>
      </c>
      <c r="K104" s="29"/>
      <c r="L104"/>
      <c r="M104"/>
      <c r="N104"/>
      <c r="O104"/>
      <c r="P104"/>
      <c r="Q104"/>
    </row>
    <row r="105" spans="1:17" x14ac:dyDescent="0.3">
      <c r="A105" s="28">
        <v>45934</v>
      </c>
      <c r="B105" s="29" t="s">
        <v>21</v>
      </c>
      <c r="C105" s="29">
        <v>922</v>
      </c>
      <c r="D105" s="29" t="s">
        <v>86</v>
      </c>
      <c r="E105" s="11">
        <v>1779</v>
      </c>
      <c r="F105" s="11">
        <v>21113</v>
      </c>
      <c r="G105" s="11">
        <v>13539</v>
      </c>
      <c r="H105" s="32">
        <f>_xlfn.XLOOKUP(Table1[[#This Row],[Shipment Number]], 'pivot '!A:A,'pivot '!G:G, "NF")</f>
        <v>1.6032481504494172</v>
      </c>
      <c r="I105" s="32">
        <f>IF(Table1[[#This Row],[Shipment Number]]="RD",0,Table1[[#This Row],[Tiyaar/gaz]]/1.0936)</f>
        <v>12380.212143379664</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123802.12143379664</v>
      </c>
      <c r="K105" s="29"/>
      <c r="L105"/>
      <c r="M105"/>
      <c r="N105"/>
      <c r="O105"/>
    </row>
    <row r="106" spans="1:17" x14ac:dyDescent="0.3">
      <c r="A106" s="28">
        <v>45934</v>
      </c>
      <c r="B106" s="29" t="s">
        <v>21</v>
      </c>
      <c r="C106" s="29">
        <v>923</v>
      </c>
      <c r="D106" s="29" t="s">
        <v>86</v>
      </c>
      <c r="E106" s="11">
        <v>1782</v>
      </c>
      <c r="F106" s="11">
        <v>26555</v>
      </c>
      <c r="G106" s="11">
        <v>13390</v>
      </c>
      <c r="H106" s="32">
        <f>_xlfn.XLOOKUP(Table1[[#This Row],[Shipment Number]], 'pivot '!A:A,'pivot '!G:G, "NF")</f>
        <v>0.44265004916573503</v>
      </c>
      <c r="I106" s="32">
        <f>IF(Table1[[#This Row],[Shipment Number]]="RD",0,Table1[[#This Row],[Tiyaar/gaz]]/1.0936)</f>
        <v>12243.964886613023</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122439.64886613023</v>
      </c>
      <c r="K106" s="29"/>
      <c r="L106"/>
      <c r="M106"/>
      <c r="N106"/>
      <c r="O106"/>
    </row>
    <row r="107" spans="1:17" x14ac:dyDescent="0.3">
      <c r="A107" s="28">
        <v>45934</v>
      </c>
      <c r="B107" s="29" t="s">
        <v>24</v>
      </c>
      <c r="C107" s="29">
        <v>924</v>
      </c>
      <c r="D107" s="29" t="s">
        <v>86</v>
      </c>
      <c r="E107" s="11">
        <v>1721</v>
      </c>
      <c r="F107" s="11">
        <v>12128</v>
      </c>
      <c r="G107" s="11">
        <v>1718</v>
      </c>
      <c r="H107" s="32">
        <f>_xlfn.XLOOKUP(Table1[[#This Row],[Shipment Number]], 'pivot '!A:A,'pivot '!G:G, "NF")</f>
        <v>1.275567320924992</v>
      </c>
      <c r="I107" s="32">
        <f>IF(Table1[[#This Row],[Shipment Number]]="RD",0,Table1[[#This Row],[Tiyaar/gaz]]/1.0936)</f>
        <v>1570.9583028529628</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14138.624725676666</v>
      </c>
      <c r="K107" s="29"/>
      <c r="L107"/>
      <c r="M107"/>
      <c r="N107"/>
      <c r="O107"/>
    </row>
    <row r="108" spans="1:17" x14ac:dyDescent="0.3">
      <c r="A108" s="28">
        <v>45934</v>
      </c>
      <c r="B108" s="29" t="s">
        <v>24</v>
      </c>
      <c r="C108" s="29">
        <v>925</v>
      </c>
      <c r="D108" s="29" t="s">
        <v>86</v>
      </c>
      <c r="E108" s="11">
        <v>1721</v>
      </c>
      <c r="F108" s="11">
        <v>12128</v>
      </c>
      <c r="G108" s="11">
        <v>4796</v>
      </c>
      <c r="H108" s="32">
        <f>_xlfn.XLOOKUP(Table1[[#This Row],[Shipment Number]], 'pivot '!A:A,'pivot '!G:G, "NF")</f>
        <v>1.275567320924992</v>
      </c>
      <c r="I108" s="32">
        <f>IF(Table1[[#This Row],[Shipment Number]]="RD",0,Table1[[#This Row],[Tiyaar/gaz]]/1.0936)</f>
        <v>4385.5157278712513</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39469.641550841261</v>
      </c>
      <c r="K108" s="29"/>
      <c r="L108"/>
      <c r="M108"/>
      <c r="N108"/>
      <c r="O108"/>
    </row>
    <row r="109" spans="1:17" x14ac:dyDescent="0.3">
      <c r="A109" s="28">
        <v>45934</v>
      </c>
      <c r="B109" s="29" t="s">
        <v>24</v>
      </c>
      <c r="C109" s="29">
        <v>926</v>
      </c>
      <c r="D109" s="29" t="s">
        <v>86</v>
      </c>
      <c r="E109" s="11">
        <v>1713</v>
      </c>
      <c r="F109" s="11">
        <v>19183</v>
      </c>
      <c r="G109" s="11">
        <v>15287</v>
      </c>
      <c r="H109" s="32">
        <f>_xlfn.XLOOKUP(Table1[[#This Row],[Shipment Number]], 'pivot '!A:A,'pivot '!G:G, "NF")</f>
        <v>2.390676699883727</v>
      </c>
      <c r="I109" s="32">
        <f>IF(Table1[[#This Row],[Shipment Number]]="RD",0,Table1[[#This Row],[Tiyaar/gaz]]/1.0936)</f>
        <v>13978.602779809804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125807.42501828824</v>
      </c>
      <c r="K109" s="29"/>
      <c r="L109"/>
      <c r="M109"/>
      <c r="N109"/>
      <c r="O109"/>
    </row>
    <row r="110" spans="1:17" x14ac:dyDescent="0.3">
      <c r="A110" s="28">
        <v>45934</v>
      </c>
      <c r="B110" s="29" t="s">
        <v>24</v>
      </c>
      <c r="C110" s="29">
        <v>927</v>
      </c>
      <c r="D110" s="29" t="s">
        <v>86</v>
      </c>
      <c r="E110" s="11">
        <v>1706</v>
      </c>
      <c r="F110" s="11">
        <v>10815</v>
      </c>
      <c r="G110" s="11">
        <v>11620</v>
      </c>
      <c r="H110" s="32">
        <f>_xlfn.XLOOKUP(Table1[[#This Row],[Shipment Number]], 'pivot '!A:A,'pivot '!G:G, "NF")</f>
        <v>1.7525917192822931</v>
      </c>
      <c r="I110" s="32">
        <f>IF(Table1[[#This Row],[Shipment Number]]="RD",0,Table1[[#This Row],[Tiyaar/gaz]]/1.0936)</f>
        <v>10625.45720555962</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95629.114850036582</v>
      </c>
      <c r="K110" s="29"/>
      <c r="L110"/>
      <c r="M110"/>
      <c r="N110"/>
      <c r="O110"/>
    </row>
    <row r="111" spans="1:17" x14ac:dyDescent="0.3">
      <c r="A111" s="28">
        <v>45934</v>
      </c>
      <c r="B111" s="29" t="s">
        <v>357</v>
      </c>
      <c r="C111" s="29">
        <v>928</v>
      </c>
      <c r="D111" s="29" t="s">
        <v>86</v>
      </c>
      <c r="E111" s="11">
        <v>1711</v>
      </c>
      <c r="F111" s="11">
        <v>50522</v>
      </c>
      <c r="G111" s="11">
        <v>4282</v>
      </c>
      <c r="H111" s="32">
        <f>_xlfn.XLOOKUP(Table1[[#This Row],[Shipment Number]], 'pivot '!A:A,'pivot '!G:G, "NF")</f>
        <v>92.249894278567169</v>
      </c>
      <c r="I111" s="32">
        <f>IF(Table1[[#This Row],[Shipment Number]]="RD",0,Table1[[#This Row],[Tiyaar/gaz]]/1.0936)</f>
        <v>3915.5084125822973</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39155.08412582297</v>
      </c>
      <c r="K111" s="29"/>
      <c r="L111"/>
      <c r="M111"/>
      <c r="N111"/>
      <c r="O111"/>
    </row>
    <row r="112" spans="1:17" x14ac:dyDescent="0.3">
      <c r="A112" s="28">
        <v>45934</v>
      </c>
      <c r="B112" s="29" t="s">
        <v>21</v>
      </c>
      <c r="C112" s="29">
        <v>929</v>
      </c>
      <c r="D112" s="29" t="s">
        <v>86</v>
      </c>
      <c r="E112" s="11">
        <v>1768</v>
      </c>
      <c r="F112" s="11">
        <v>2184</v>
      </c>
      <c r="G112" s="11">
        <v>2298</v>
      </c>
      <c r="H112" s="32">
        <f>_xlfn.XLOOKUP(Table1[[#This Row],[Shipment Number]], 'pivot '!A:A,'pivot '!G:G, "NF")</f>
        <v>3.7858630031270764</v>
      </c>
      <c r="I112" s="32">
        <f>IF(Table1[[#This Row],[Shipment Number]]="RD",0,Table1[[#This Row],[Tiyaar/gaz]]/1.0936)</f>
        <v>2101.3167520117045</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21013.167520117044</v>
      </c>
      <c r="K112" s="29"/>
      <c r="L112"/>
      <c r="M112"/>
      <c r="N112"/>
      <c r="O112"/>
    </row>
    <row r="113" spans="1:15" x14ac:dyDescent="0.3">
      <c r="A113" s="28">
        <v>45936</v>
      </c>
      <c r="B113" s="29" t="s">
        <v>21</v>
      </c>
      <c r="C113" s="29">
        <v>930</v>
      </c>
      <c r="D113" s="29" t="s">
        <v>86</v>
      </c>
      <c r="E113" s="11">
        <v>1782</v>
      </c>
      <c r="F113" s="11">
        <v>26555</v>
      </c>
      <c r="G113" s="11">
        <v>15522</v>
      </c>
      <c r="H113" s="32">
        <f>_xlfn.XLOOKUP(Table1[[#This Row],[Shipment Number]], 'pivot '!A:A,'pivot '!G:G, "NF")</f>
        <v>0.44265004916573503</v>
      </c>
      <c r="I113" s="32">
        <f>IF(Table1[[#This Row],[Shipment Number]]="RD",0,Table1[[#This Row],[Tiyaar/gaz]]/1.0936)</f>
        <v>14193.489392831018</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141934.89392831016</v>
      </c>
      <c r="K113" s="29"/>
      <c r="L113"/>
      <c r="M113"/>
      <c r="N113"/>
      <c r="O113"/>
    </row>
    <row r="114" spans="1:15" x14ac:dyDescent="0.3">
      <c r="A114" s="28">
        <v>45936</v>
      </c>
      <c r="B114" s="29" t="s">
        <v>21</v>
      </c>
      <c r="C114" s="29">
        <v>931</v>
      </c>
      <c r="D114" s="29" t="s">
        <v>86</v>
      </c>
      <c r="E114" s="11">
        <v>2000</v>
      </c>
      <c r="F114" s="11">
        <v>71295</v>
      </c>
      <c r="G114" s="11">
        <v>27343</v>
      </c>
      <c r="H114" s="32">
        <f>_xlfn.XLOOKUP(Table1[[#This Row],[Shipment Number]], 'pivot '!A:A,'pivot '!G:G, "NF")</f>
        <v>1.5996416590904943</v>
      </c>
      <c r="I114" s="32">
        <f>IF(Table1[[#This Row],[Shipment Number]]="RD",0,Table1[[#This Row],[Tiyaar/gaz]]/1.0936)</f>
        <v>25002.74323335772</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250027.43233357719</v>
      </c>
      <c r="K114" s="29"/>
      <c r="L114"/>
      <c r="M114"/>
      <c r="N114"/>
      <c r="O114"/>
    </row>
    <row r="115" spans="1:15" x14ac:dyDescent="0.3">
      <c r="A115" s="28">
        <v>45936</v>
      </c>
      <c r="B115" s="29" t="s">
        <v>21</v>
      </c>
      <c r="C115" s="29">
        <v>932</v>
      </c>
      <c r="D115" s="29" t="s">
        <v>86</v>
      </c>
      <c r="E115" s="11">
        <v>2000</v>
      </c>
      <c r="F115" s="11">
        <v>71295</v>
      </c>
      <c r="G115" s="11">
        <v>18406</v>
      </c>
      <c r="H115" s="32">
        <f>_xlfn.XLOOKUP(Table1[[#This Row],[Shipment Number]], 'pivot '!A:A,'pivot '!G:G, "NF")</f>
        <v>1.5996416590904943</v>
      </c>
      <c r="I115" s="32">
        <f>IF(Table1[[#This Row],[Shipment Number]]="RD",0,Table1[[#This Row],[Tiyaar/gaz]]/1.0936)</f>
        <v>16830.6510607169</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168306.51060716901</v>
      </c>
      <c r="K115" s="29"/>
      <c r="L115"/>
      <c r="M115"/>
      <c r="N115"/>
      <c r="O115"/>
    </row>
    <row r="116" spans="1:15" x14ac:dyDescent="0.3">
      <c r="A116" s="28">
        <v>45936</v>
      </c>
      <c r="B116" s="29" t="s">
        <v>358</v>
      </c>
      <c r="C116" s="29">
        <v>933</v>
      </c>
      <c r="D116" s="29" t="s">
        <v>86</v>
      </c>
      <c r="E116" s="11">
        <v>1684</v>
      </c>
      <c r="F116" s="11">
        <f>10410/1.0936</f>
        <v>9519.0197512801769</v>
      </c>
      <c r="G116" s="11">
        <v>9750</v>
      </c>
      <c r="H116" s="32">
        <f>_xlfn.XLOOKUP(Table1[[#This Row],[Shipment Number]], 'pivot '!A:A,'pivot '!G:G, "NF")</f>
        <v>6.3400576368876074</v>
      </c>
      <c r="I116" s="32">
        <f>IF(Table1[[#This Row],[Shipment Number]]="RD",0,Table1[[#This Row],[Tiyaar/gaz]]/1.0936)</f>
        <v>8915.5084125822978</v>
      </c>
      <c r="J116" s="32" cm="1">
        <f t="array" ref="J1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16" s="29"/>
      <c r="L116"/>
      <c r="M116"/>
      <c r="N116"/>
    </row>
    <row r="117" spans="1:15" x14ac:dyDescent="0.3">
      <c r="A117" s="28">
        <v>45936</v>
      </c>
      <c r="B117" s="29" t="s">
        <v>24</v>
      </c>
      <c r="C117" s="29">
        <v>934</v>
      </c>
      <c r="D117" s="29" t="s">
        <v>86</v>
      </c>
      <c r="E117" s="11">
        <v>1713</v>
      </c>
      <c r="F117" s="11">
        <v>19183</v>
      </c>
      <c r="G117" s="11">
        <v>5190</v>
      </c>
      <c r="H117" s="32">
        <f>_xlfn.XLOOKUP(Table1[[#This Row],[Shipment Number]], 'pivot '!A:A,'pivot '!G:G, "NF")</f>
        <v>2.390676699883727</v>
      </c>
      <c r="I117" s="32">
        <f>IF(Table1[[#This Row],[Shipment Number]]="RD",0,Table1[[#This Row],[Tiyaar/gaz]]/1.0936)</f>
        <v>4745.7937088515</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42712.143379663503</v>
      </c>
      <c r="K117" s="29"/>
      <c r="L117"/>
      <c r="M117"/>
      <c r="N117"/>
    </row>
    <row r="118" spans="1:15" x14ac:dyDescent="0.3">
      <c r="A118" s="28">
        <v>45936</v>
      </c>
      <c r="B118" s="29" t="s">
        <v>24</v>
      </c>
      <c r="C118" s="29">
        <v>935</v>
      </c>
      <c r="D118" s="29" t="s">
        <v>86</v>
      </c>
      <c r="E118" s="11">
        <v>1691</v>
      </c>
      <c r="F118" s="11">
        <v>2025</v>
      </c>
      <c r="G118" s="11">
        <v>2122</v>
      </c>
      <c r="H118" s="32">
        <f>_xlfn.XLOOKUP(Table1[[#This Row],[Shipment Number]], 'pivot '!A:A,'pivot '!G:G, "NF")</f>
        <v>4.1787459246615555</v>
      </c>
      <c r="I118" s="32">
        <f>IF(Table1[[#This Row],[Shipment Number]]="RD",0,Table1[[#This Row],[Tiyaar/gaz]]/1.0936)</f>
        <v>1940.3803950256038</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17463.423555230434</v>
      </c>
      <c r="K118" s="29"/>
      <c r="L118"/>
      <c r="M118"/>
      <c r="N118"/>
    </row>
    <row r="119" spans="1:15" x14ac:dyDescent="0.3">
      <c r="A119" s="28">
        <v>45936</v>
      </c>
      <c r="B119" s="29" t="s">
        <v>21</v>
      </c>
      <c r="C119" s="29">
        <v>936</v>
      </c>
      <c r="D119" s="29" t="s">
        <v>86</v>
      </c>
      <c r="E119" s="11">
        <v>1784</v>
      </c>
      <c r="F119" s="11">
        <v>32501</v>
      </c>
      <c r="G119" s="11">
        <v>25630</v>
      </c>
      <c r="H119" s="32">
        <f>_xlfn.XLOOKUP(Table1[[#This Row],[Shipment Number]], 'pivot '!A:A,'pivot '!G:G, "NF")</f>
        <v>2.1694611298550512</v>
      </c>
      <c r="I119" s="32">
        <f>IF(Table1[[#This Row],[Shipment Number]]="RD",0,Table1[[#This Row],[Tiyaar/gaz]]/1.0936)</f>
        <v>23436.356986100953</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119" s="29"/>
      <c r="L119"/>
      <c r="M119"/>
      <c r="N119"/>
    </row>
    <row r="120" spans="1:15" x14ac:dyDescent="0.3">
      <c r="A120" s="28">
        <v>45936</v>
      </c>
      <c r="B120" s="29" t="s">
        <v>21</v>
      </c>
      <c r="C120" s="29">
        <v>937</v>
      </c>
      <c r="D120" s="29" t="s">
        <v>86</v>
      </c>
      <c r="E120" s="11">
        <v>1779</v>
      </c>
      <c r="F120" s="11">
        <v>21113</v>
      </c>
      <c r="G120" s="11">
        <v>7058</v>
      </c>
      <c r="H120" s="32">
        <f>_xlfn.XLOOKUP(Table1[[#This Row],[Shipment Number]], 'pivot '!A:A,'pivot '!G:G, "NF")</f>
        <v>1.6032481504494172</v>
      </c>
      <c r="I120" s="32">
        <f>IF(Table1[[#This Row],[Shipment Number]]="RD",0,Table1[[#This Row],[Tiyaar/gaz]]/1.0936)</f>
        <v>6453.9136795903441</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64539.13679590344</v>
      </c>
      <c r="K120" s="29"/>
      <c r="L120"/>
      <c r="M120"/>
      <c r="N120"/>
    </row>
    <row r="121" spans="1:15" x14ac:dyDescent="0.3">
      <c r="A121" s="28">
        <v>45936</v>
      </c>
      <c r="B121" s="29" t="s">
        <v>21</v>
      </c>
      <c r="C121" s="29">
        <v>938</v>
      </c>
      <c r="D121" s="29" t="s">
        <v>86</v>
      </c>
      <c r="E121" s="11">
        <v>2000</v>
      </c>
      <c r="F121" s="11">
        <v>71295</v>
      </c>
      <c r="G121" s="11">
        <v>22380</v>
      </c>
      <c r="H121" s="32">
        <f>_xlfn.XLOOKUP(Table1[[#This Row],[Shipment Number]], 'pivot '!A:A,'pivot '!G:G, "NF")</f>
        <v>1.5996416590904943</v>
      </c>
      <c r="I121" s="32">
        <f>IF(Table1[[#This Row],[Shipment Number]]="RD",0,Table1[[#This Row],[Tiyaar/gaz]]/1.0936)</f>
        <v>20464.52084857352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204645.2084857352</v>
      </c>
      <c r="K121" s="29"/>
      <c r="L121"/>
      <c r="M121"/>
      <c r="N121"/>
    </row>
    <row r="122" spans="1:15" x14ac:dyDescent="0.3">
      <c r="A122" s="28">
        <v>45937</v>
      </c>
      <c r="B122" s="29" t="s">
        <v>21</v>
      </c>
      <c r="C122" s="29">
        <v>939</v>
      </c>
      <c r="D122" s="29" t="s">
        <v>86</v>
      </c>
      <c r="E122" s="11">
        <v>2000</v>
      </c>
      <c r="F122" s="11">
        <v>71295</v>
      </c>
      <c r="G122" s="11">
        <v>8592</v>
      </c>
      <c r="H122" s="32">
        <f>_xlfn.XLOOKUP(Table1[[#This Row],[Shipment Number]], 'pivot '!A:A,'pivot '!G:G, "NF")</f>
        <v>1.5996416590904943</v>
      </c>
      <c r="I122" s="32">
        <f>IF(Table1[[#This Row],[Shipment Number]]="RD",0,Table1[[#This Row],[Tiyaar/gaz]]/1.0936)</f>
        <v>7856.6203365032925</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78566.203365032925</v>
      </c>
      <c r="K122" s="29"/>
      <c r="L122"/>
      <c r="M122"/>
      <c r="N122"/>
    </row>
    <row r="123" spans="1:15" x14ac:dyDescent="0.3">
      <c r="A123" s="28">
        <v>45937</v>
      </c>
      <c r="B123" s="29" t="s">
        <v>21</v>
      </c>
      <c r="C123" s="29">
        <v>940</v>
      </c>
      <c r="D123" s="29" t="s">
        <v>86</v>
      </c>
      <c r="E123" s="11">
        <v>1784</v>
      </c>
      <c r="F123" s="11">
        <v>32501</v>
      </c>
      <c r="G123" s="11">
        <v>9142</v>
      </c>
      <c r="H123" s="32">
        <f>_xlfn.XLOOKUP(Table1[[#This Row],[Shipment Number]], 'pivot '!A:A,'pivot '!G:G, "NF")</f>
        <v>2.1694611298550512</v>
      </c>
      <c r="I123" s="32">
        <f>IF(Table1[[#This Row],[Shipment Number]]="RD",0,Table1[[#This Row],[Tiyaar/gaz]]/1.0936)</f>
        <v>8359.5464520848582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83595.464520848589</v>
      </c>
      <c r="K123" s="29"/>
      <c r="L123"/>
      <c r="M123"/>
      <c r="N123"/>
    </row>
    <row r="124" spans="1:15" x14ac:dyDescent="0.3">
      <c r="A124" s="28">
        <v>45937</v>
      </c>
      <c r="B124" s="29" t="s">
        <v>243</v>
      </c>
      <c r="C124" s="29">
        <v>941</v>
      </c>
      <c r="D124" s="29" t="s">
        <v>86</v>
      </c>
      <c r="E124" s="11">
        <v>1781</v>
      </c>
      <c r="F124" s="11">
        <v>26073</v>
      </c>
      <c r="G124" s="11">
        <v>26118</v>
      </c>
      <c r="H124" s="32">
        <f>_xlfn.XLOOKUP(Table1[[#This Row],[Shipment Number]], 'pivot '!A:A,'pivot '!G:G, "NF")</f>
        <v>1.4429437622817431</v>
      </c>
      <c r="I124" s="32">
        <f>IF(Table1[[#This Row],[Shipment Number]]="RD",0,Table1[[#This Row],[Tiyaar/gaz]]/1.0936)</f>
        <v>23882.589612289688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238825.89612289687</v>
      </c>
      <c r="K124" s="29"/>
      <c r="L124"/>
      <c r="M124"/>
      <c r="N124"/>
    </row>
    <row r="125" spans="1:15" x14ac:dyDescent="0.3">
      <c r="A125" s="28">
        <v>45937</v>
      </c>
      <c r="B125" s="29" t="s">
        <v>243</v>
      </c>
      <c r="C125" s="29">
        <v>942</v>
      </c>
      <c r="D125" s="29" t="s">
        <v>86</v>
      </c>
      <c r="E125" s="11">
        <v>1781</v>
      </c>
      <c r="F125" s="11">
        <v>26073</v>
      </c>
      <c r="G125" s="11">
        <v>1984</v>
      </c>
      <c r="H125" s="32">
        <f>_xlfn.XLOOKUP(Table1[[#This Row],[Shipment Number]], 'pivot '!A:A,'pivot '!G:G, "NF")</f>
        <v>1.4429437622817431</v>
      </c>
      <c r="I125" s="32">
        <f>IF(Table1[[#This Row],[Shipment Number]]="RD",0,Table1[[#This Row],[Tiyaar/gaz]]/1.0936)</f>
        <v>1814.1916605705926</v>
      </c>
      <c r="J125" s="32" cm="1">
        <f t="array" ref="J1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18141.916605705926</v>
      </c>
      <c r="K125" s="29"/>
      <c r="L125"/>
      <c r="M125"/>
      <c r="N125"/>
    </row>
    <row r="126" spans="1:15" x14ac:dyDescent="0.3">
      <c r="A126" s="28">
        <v>45938</v>
      </c>
      <c r="B126" s="29" t="s">
        <v>243</v>
      </c>
      <c r="C126" s="29">
        <v>943</v>
      </c>
      <c r="D126" s="29" t="s">
        <v>86</v>
      </c>
      <c r="E126" s="11">
        <v>1747</v>
      </c>
      <c r="F126" s="11">
        <v>45390</v>
      </c>
      <c r="G126" s="11">
        <v>42155</v>
      </c>
      <c r="H126" s="32">
        <f>_xlfn.XLOOKUP(Table1[[#This Row],[Shipment Number]], 'pivot '!A:A,'pivot '!G:G, "NF")</f>
        <v>2.6018189428109935</v>
      </c>
      <c r="I126" s="32">
        <f>IF(Table1[[#This Row],[Shipment Number]]="RD",0,Table1[[#This Row],[Tiyaar/gaz]]/1.0936)</f>
        <v>38547.000731528897</v>
      </c>
      <c r="J126" s="32" cm="1">
        <f t="array" ref="J1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385470.007315289</v>
      </c>
      <c r="K126" s="29"/>
      <c r="L126"/>
      <c r="M126"/>
      <c r="N126"/>
    </row>
    <row r="127" spans="1:15" x14ac:dyDescent="0.3">
      <c r="A127" s="28">
        <v>45938</v>
      </c>
      <c r="B127" s="29" t="s">
        <v>243</v>
      </c>
      <c r="C127" s="29">
        <v>944</v>
      </c>
      <c r="D127" s="29" t="s">
        <v>86</v>
      </c>
      <c r="E127" s="11">
        <v>1747</v>
      </c>
      <c r="F127" s="11">
        <v>45390</v>
      </c>
      <c r="G127" s="11">
        <v>6192</v>
      </c>
      <c r="H127" s="32">
        <f>_xlfn.XLOOKUP(Table1[[#This Row],[Shipment Number]], 'pivot '!A:A,'pivot '!G:G, "NF")</f>
        <v>2.6018189428109935</v>
      </c>
      <c r="I127" s="32">
        <f>IF(Table1[[#This Row],[Shipment Number]]="RD",0,Table1[[#This Row],[Tiyaar/gaz]]/1.0936)</f>
        <v>5662.0336503291883</v>
      </c>
      <c r="J127" s="32" cm="1">
        <f t="array" ref="J1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56620.336503291881</v>
      </c>
      <c r="K127" s="29"/>
      <c r="L127"/>
      <c r="M127"/>
      <c r="N127"/>
    </row>
    <row r="128" spans="1:15" x14ac:dyDescent="0.3">
      <c r="A128" s="28">
        <v>45938</v>
      </c>
      <c r="B128" s="29" t="s">
        <v>243</v>
      </c>
      <c r="C128" s="29">
        <v>945</v>
      </c>
      <c r="D128" s="29" t="s">
        <v>86</v>
      </c>
      <c r="E128" s="11">
        <v>1777</v>
      </c>
      <c r="F128" s="11">
        <v>9022</v>
      </c>
      <c r="G128" s="11">
        <v>9808</v>
      </c>
      <c r="H128" s="32">
        <f>_xlfn.XLOOKUP(Table1[[#This Row],[Shipment Number]], 'pivot '!A:A,'pivot '!G:G, "NF")</f>
        <v>0.59250435049688122</v>
      </c>
      <c r="I128" s="32">
        <f>IF(Table1[[#This Row],[Shipment Number]]="RD",0,Table1[[#This Row],[Tiyaar/gaz]]/1.0936)</f>
        <v>8968.5442574981716</v>
      </c>
      <c r="J128" s="32" cm="1">
        <f t="array" ref="J1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89685.442574981716</v>
      </c>
      <c r="K128" s="29"/>
      <c r="L128"/>
      <c r="M128"/>
      <c r="N128"/>
    </row>
    <row r="129" spans="1:14" x14ac:dyDescent="0.3">
      <c r="A129" s="28">
        <v>45938</v>
      </c>
      <c r="B129" s="29" t="s">
        <v>243</v>
      </c>
      <c r="C129" s="29">
        <v>946</v>
      </c>
      <c r="D129" s="29" t="s">
        <v>86</v>
      </c>
      <c r="E129" s="11">
        <v>1750</v>
      </c>
      <c r="F129" s="11">
        <v>10006</v>
      </c>
      <c r="G129" s="11">
        <v>10656</v>
      </c>
      <c r="H129" s="32">
        <f>_xlfn.XLOOKUP(Table1[[#This Row],[Shipment Number]], 'pivot '!A:A,'pivot '!G:G, "NF")</f>
        <v>2.6187798659502022</v>
      </c>
      <c r="I129" s="32">
        <f>IF(Table1[[#This Row],[Shipment Number]]="RD",0,Table1[[#This Row],[Tiyaar/gaz]]/1.0936)</f>
        <v>9743.9648866130228</v>
      </c>
      <c r="J129" s="32" cm="1">
        <f t="array" ref="J1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97439.648866130228</v>
      </c>
      <c r="K129" s="29"/>
      <c r="L129"/>
      <c r="M129"/>
      <c r="N129"/>
    </row>
    <row r="130" spans="1:14" x14ac:dyDescent="0.3">
      <c r="A130" s="28">
        <v>45938</v>
      </c>
      <c r="B130" s="29" t="s">
        <v>243</v>
      </c>
      <c r="C130" s="29">
        <v>947</v>
      </c>
      <c r="D130" s="29" t="s">
        <v>86</v>
      </c>
      <c r="E130" s="11">
        <v>1788</v>
      </c>
      <c r="F130" s="11">
        <v>17211</v>
      </c>
      <c r="G130" s="11">
        <v>18522</v>
      </c>
      <c r="H130" s="32">
        <f>_xlfn.XLOOKUP(Table1[[#This Row],[Shipment Number]], 'pivot '!A:A,'pivot '!G:G, "NF")</f>
        <v>1.5936159982066869</v>
      </c>
      <c r="I130" s="32">
        <f>IF(Table1[[#This Row],[Shipment Number]]="RD",0,Table1[[#This Row],[Tiyaar/gaz]]/1.0936)</f>
        <v>16936.722750548648</v>
      </c>
      <c r="J130" s="32" cm="1">
        <f t="array" ref="J1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169367.22750548649</v>
      </c>
      <c r="K130" s="29"/>
      <c r="L130"/>
      <c r="M130"/>
      <c r="N130"/>
    </row>
    <row r="131" spans="1:14" x14ac:dyDescent="0.3">
      <c r="A131" s="28">
        <v>45938</v>
      </c>
      <c r="B131" s="29" t="s">
        <v>22</v>
      </c>
      <c r="C131" s="29">
        <v>948</v>
      </c>
      <c r="D131" s="29" t="s">
        <v>86</v>
      </c>
      <c r="E131" s="118" t="s">
        <v>397</v>
      </c>
      <c r="F131" s="11">
        <v>17080</v>
      </c>
      <c r="G131" s="11">
        <v>18250</v>
      </c>
      <c r="H131" s="32">
        <f>_xlfn.XLOOKUP(Table1[[#This Row],[Shipment Number]], 'pivot '!A:A,'pivot '!G:G, "NF")</f>
        <v>2.2950648353888567</v>
      </c>
      <c r="I131" s="32">
        <f>IF(Table1[[#This Row],[Shipment Number]]="RD",0,Table1[[#This Row],[Tiyaar/gaz]]/1.0936)</f>
        <v>16688.002926115583</v>
      </c>
      <c r="J131" s="32" cm="1">
        <f t="array" ref="J1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166880.02926115584</v>
      </c>
      <c r="K131" s="29"/>
      <c r="L131"/>
      <c r="M131"/>
      <c r="N131"/>
    </row>
    <row r="132" spans="1:14" x14ac:dyDescent="0.3">
      <c r="A132" s="28">
        <v>45938</v>
      </c>
      <c r="B132" s="29" t="s">
        <v>9</v>
      </c>
      <c r="C132" s="29">
        <v>949</v>
      </c>
      <c r="D132" s="29" t="s">
        <v>86</v>
      </c>
      <c r="E132" s="11">
        <v>1787</v>
      </c>
      <c r="F132" s="11">
        <v>50885</v>
      </c>
      <c r="G132" s="11">
        <v>24152</v>
      </c>
      <c r="H132" s="32">
        <f>_xlfn.XLOOKUP(Table1[[#This Row],[Shipment Number]], 'pivot '!A:A,'pivot '!G:G, "NF")</f>
        <v>56.598491988080177</v>
      </c>
      <c r="I132" s="32">
        <f>IF(Table1[[#This Row],[Shipment Number]]="RD",0,Table1[[#This Row],[Tiyaar/gaz]]/1.0936)</f>
        <v>22084.857351865401</v>
      </c>
      <c r="J132" s="32" cm="1">
        <f t="array" ref="J1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220848.57351865401</v>
      </c>
      <c r="K132" s="29"/>
      <c r="L132"/>
      <c r="M132"/>
      <c r="N132"/>
    </row>
    <row r="133" spans="1:14" x14ac:dyDescent="0.3">
      <c r="A133"/>
      <c r="B133"/>
      <c r="C133"/>
      <c r="D133"/>
      <c r="E133" s="14"/>
      <c r="F133" s="14"/>
      <c r="G133" s="14"/>
      <c r="H133" s="50"/>
      <c r="I133" s="117" cm="1">
        <f t="array" aca="1" ref="I133" ca="1">SUMPRODUCT( SUBTOTAL(109, OFFSET(Table1[tiyar/meters], ROW(Table1[tiyar/meters])-MIN(ROW(Table1[tiyar/meters])), 0, 1)), --(Table1[Bill Number]&lt;&gt;"August Closing CF") )</f>
        <v>1418735.3694220928</v>
      </c>
      <c r="J133" s="50" cm="1">
        <f t="array" aca="1" ref="J133" ca="1">SUMPRODUCT( SUBTOTAL(109, OFFSET(Table1[billing], ROW(Table1[billing])-MIN(ROW(Table1[billing])), 0, 1)), --(Table1[Bill Number]&lt;&gt;"August Closing CF") )</f>
        <v>14567715.801024143</v>
      </c>
      <c r="K133" s="14">
        <f>SUMIFS(Table1[billing], Table1[Bill Number], "&lt;&gt;August Closing CF")</f>
        <v>14567715.801024143</v>
      </c>
    </row>
    <row r="137" spans="1:14" x14ac:dyDescent="0.3">
      <c r="D137" s="3" t="s">
        <v>2</v>
      </c>
      <c r="E137" t="s">
        <v>89</v>
      </c>
    </row>
    <row r="138" spans="1:14" x14ac:dyDescent="0.3">
      <c r="D138" s="3" t="s">
        <v>76</v>
      </c>
      <c r="E138" t="s">
        <v>89</v>
      </c>
    </row>
    <row r="139" spans="1:14" x14ac:dyDescent="0.3">
      <c r="D139" s="3" t="s">
        <v>80</v>
      </c>
      <c r="E139" t="s">
        <v>89</v>
      </c>
    </row>
    <row r="141" spans="1:14" x14ac:dyDescent="0.3">
      <c r="D141" s="3" t="s">
        <v>6</v>
      </c>
      <c r="E141" t="s">
        <v>90</v>
      </c>
      <c r="F141" t="s">
        <v>91</v>
      </c>
      <c r="G141" t="s">
        <v>92</v>
      </c>
      <c r="I141" s="3" t="s">
        <v>6</v>
      </c>
      <c r="J141" t="s">
        <v>91</v>
      </c>
      <c r="K141" t="s">
        <v>92</v>
      </c>
    </row>
    <row r="142" spans="1:14" x14ac:dyDescent="0.3">
      <c r="D142" s="16" t="s">
        <v>164</v>
      </c>
      <c r="E142" s="122"/>
      <c r="F142" s="33">
        <v>2397934.3452816382</v>
      </c>
      <c r="G142" s="122">
        <v>24159091.119458668</v>
      </c>
      <c r="I142" s="27">
        <v>45916</v>
      </c>
      <c r="J142" s="50">
        <v>2397934.3452816382</v>
      </c>
      <c r="K142" s="14">
        <v>24159091.119458668</v>
      </c>
    </row>
    <row r="143" spans="1:14" x14ac:dyDescent="0.3">
      <c r="D143" s="16">
        <v>835</v>
      </c>
      <c r="E143" s="122">
        <v>19968</v>
      </c>
      <c r="F143" s="33">
        <v>18258.961228968546</v>
      </c>
      <c r="G143" s="122">
        <v>182589.61228968546</v>
      </c>
      <c r="I143" s="27">
        <v>45917</v>
      </c>
      <c r="J143" s="50">
        <v>82800.841258229702</v>
      </c>
      <c r="K143" s="14">
        <v>925892.46525237756</v>
      </c>
    </row>
    <row r="144" spans="1:14" x14ac:dyDescent="0.3">
      <c r="D144" s="16">
        <v>836</v>
      </c>
      <c r="E144" s="122">
        <v>28988</v>
      </c>
      <c r="F144" s="33">
        <v>26506.949524506221</v>
      </c>
      <c r="G144" s="122">
        <v>318083.39429407462</v>
      </c>
      <c r="I144" s="27">
        <v>45918</v>
      </c>
      <c r="J144" s="50">
        <v>34217.264081931236</v>
      </c>
      <c r="K144" s="14">
        <v>342172.64081931236</v>
      </c>
    </row>
    <row r="145" spans="4:11" x14ac:dyDescent="0.3">
      <c r="D145" s="16">
        <v>837</v>
      </c>
      <c r="E145" s="122">
        <v>3979</v>
      </c>
      <c r="F145" s="33">
        <v>3638.4418434528166</v>
      </c>
      <c r="G145" s="122">
        <v>43661.3021214338</v>
      </c>
      <c r="I145" s="27">
        <v>45919</v>
      </c>
      <c r="J145" s="50">
        <v>28451.901975128021</v>
      </c>
      <c r="K145" s="14">
        <v>284519.0197512802</v>
      </c>
    </row>
    <row r="146" spans="4:11" x14ac:dyDescent="0.3">
      <c r="D146" s="16">
        <v>838</v>
      </c>
      <c r="E146" s="122">
        <v>6476</v>
      </c>
      <c r="F146" s="33">
        <v>5921.7264081931244</v>
      </c>
      <c r="G146" s="122">
        <v>71060.716898317492</v>
      </c>
      <c r="I146" s="27">
        <v>45920</v>
      </c>
      <c r="J146" s="50">
        <v>59877.468910021955</v>
      </c>
      <c r="K146" s="14">
        <v>598774.68910021952</v>
      </c>
    </row>
    <row r="147" spans="4:11" x14ac:dyDescent="0.3">
      <c r="D147" s="16">
        <v>839</v>
      </c>
      <c r="E147" s="122">
        <v>10952</v>
      </c>
      <c r="F147" s="33">
        <v>10014.630577907828</v>
      </c>
      <c r="G147" s="122">
        <v>120175.56693489394</v>
      </c>
      <c r="I147" s="27">
        <v>45922</v>
      </c>
      <c r="J147" s="50">
        <v>129489.75859546452</v>
      </c>
      <c r="K147" s="14">
        <v>1188917.3372348209</v>
      </c>
    </row>
    <row r="148" spans="4:11" x14ac:dyDescent="0.3">
      <c r="D148" s="16">
        <v>840</v>
      </c>
      <c r="E148" s="122">
        <v>3128</v>
      </c>
      <c r="F148" s="33">
        <v>2860.2779809802491</v>
      </c>
      <c r="G148" s="122">
        <v>34323.335771762991</v>
      </c>
      <c r="I148" s="27">
        <v>45923</v>
      </c>
      <c r="J148" s="50">
        <v>54385.515727871258</v>
      </c>
      <c r="K148" s="14">
        <v>533916.42282370164</v>
      </c>
    </row>
    <row r="149" spans="4:11" x14ac:dyDescent="0.3">
      <c r="D149" s="16">
        <v>841</v>
      </c>
      <c r="E149" s="122">
        <v>17060</v>
      </c>
      <c r="F149" s="33">
        <v>15599.853694220923</v>
      </c>
      <c r="G149" s="122">
        <v>155998.53694220923</v>
      </c>
      <c r="I149" s="27">
        <v>45924</v>
      </c>
      <c r="J149" s="50">
        <v>100605.34016093636</v>
      </c>
      <c r="K149" s="14">
        <v>1207264.0819312364</v>
      </c>
    </row>
    <row r="150" spans="4:11" x14ac:dyDescent="0.3">
      <c r="D150" s="16">
        <v>842</v>
      </c>
      <c r="E150" s="122"/>
      <c r="F150" s="33">
        <v>0</v>
      </c>
      <c r="G150" s="122">
        <v>0</v>
      </c>
      <c r="I150" s="27">
        <v>45925</v>
      </c>
      <c r="J150" s="50">
        <v>63347.659107534753</v>
      </c>
      <c r="K150" s="14">
        <v>698609.18068763718</v>
      </c>
    </row>
    <row r="151" spans="4:11" x14ac:dyDescent="0.3">
      <c r="D151" s="16">
        <v>843</v>
      </c>
      <c r="E151" s="122">
        <v>37420</v>
      </c>
      <c r="F151" s="33">
        <v>34217.264081931236</v>
      </c>
      <c r="G151" s="122">
        <v>342172.64081931236</v>
      </c>
      <c r="I151" s="27">
        <v>45926</v>
      </c>
      <c r="J151" s="50">
        <v>59054.498902706662</v>
      </c>
      <c r="K151" s="14">
        <v>590929.04169714719</v>
      </c>
    </row>
    <row r="152" spans="4:11" x14ac:dyDescent="0.3">
      <c r="D152" s="16">
        <v>844</v>
      </c>
      <c r="E152" s="122">
        <v>2641</v>
      </c>
      <c r="F152" s="33">
        <v>2414.9597659107535</v>
      </c>
      <c r="G152" s="122">
        <v>24149.597659107534</v>
      </c>
      <c r="I152" s="27">
        <v>45927</v>
      </c>
      <c r="J152" s="50">
        <v>83154.718361375286</v>
      </c>
      <c r="K152" s="14">
        <v>831547.18361375283</v>
      </c>
    </row>
    <row r="153" spans="4:11" x14ac:dyDescent="0.3">
      <c r="D153" s="16">
        <v>845</v>
      </c>
      <c r="E153" s="122"/>
      <c r="F153" s="33">
        <v>0</v>
      </c>
      <c r="G153" s="122">
        <v>0</v>
      </c>
      <c r="I153" s="27">
        <v>45929</v>
      </c>
      <c r="J153" s="50">
        <v>100475.49378200439</v>
      </c>
      <c r="K153" s="14">
        <v>1004754.937820044</v>
      </c>
    </row>
    <row r="154" spans="4:11" x14ac:dyDescent="0.3">
      <c r="D154" s="16">
        <v>846</v>
      </c>
      <c r="E154" s="122">
        <v>2190</v>
      </c>
      <c r="F154" s="33">
        <v>2002.56035113387</v>
      </c>
      <c r="G154" s="122">
        <v>20025.603511338701</v>
      </c>
      <c r="I154" s="27">
        <v>45930</v>
      </c>
      <c r="J154" s="50">
        <v>102428.67593269936</v>
      </c>
      <c r="K154" s="14">
        <v>1211093.63569861</v>
      </c>
    </row>
    <row r="155" spans="4:11" x14ac:dyDescent="0.3">
      <c r="D155" s="16">
        <v>847</v>
      </c>
      <c r="E155" s="122">
        <v>26284</v>
      </c>
      <c r="F155" s="33">
        <v>24034.381858083398</v>
      </c>
      <c r="G155" s="122">
        <v>240343.81858083396</v>
      </c>
      <c r="I155" s="27">
        <v>45931</v>
      </c>
      <c r="J155" s="50">
        <v>84868.324798829562</v>
      </c>
      <c r="K155" s="14">
        <v>838532.37015362107</v>
      </c>
    </row>
    <row r="156" spans="4:11" x14ac:dyDescent="0.3">
      <c r="D156" s="16">
        <v>848</v>
      </c>
      <c r="E156" s="122"/>
      <c r="F156" s="33">
        <v>0</v>
      </c>
      <c r="G156" s="122">
        <v>0</v>
      </c>
      <c r="I156" s="27">
        <v>45933</v>
      </c>
      <c r="J156" s="50">
        <v>78115.398683248</v>
      </c>
      <c r="K156" s="14">
        <v>773414.41111923929</v>
      </c>
    </row>
    <row r="157" spans="4:11" x14ac:dyDescent="0.3">
      <c r="D157" s="16">
        <v>849</v>
      </c>
      <c r="E157" s="122">
        <v>6883</v>
      </c>
      <c r="F157" s="33">
        <v>6293.8917337234825</v>
      </c>
      <c r="G157" s="122">
        <v>62938.917337234823</v>
      </c>
      <c r="I157" s="27">
        <v>45934</v>
      </c>
      <c r="J157" s="50">
        <v>74935.07681053401</v>
      </c>
      <c r="K157" s="14">
        <v>718790.2340892466</v>
      </c>
    </row>
    <row r="158" spans="4:11" x14ac:dyDescent="0.3">
      <c r="D158" s="16">
        <v>850</v>
      </c>
      <c r="E158" s="122"/>
      <c r="F158" s="33">
        <v>0</v>
      </c>
      <c r="G158" s="122">
        <v>0</v>
      </c>
      <c r="I158" s="27">
        <v>45936</v>
      </c>
      <c r="J158" s="50">
        <v>121983.35771762984</v>
      </c>
      <c r="K158" s="14">
        <v>1213147.4030724214</v>
      </c>
    </row>
    <row r="159" spans="4:11" x14ac:dyDescent="0.3">
      <c r="D159" s="16">
        <v>851</v>
      </c>
      <c r="E159" s="122"/>
      <c r="F159" s="33">
        <v>0</v>
      </c>
      <c r="G159" s="122">
        <v>0</v>
      </c>
      <c r="I159" s="27">
        <v>45937</v>
      </c>
      <c r="J159" s="50">
        <v>41912.948061448435</v>
      </c>
      <c r="K159" s="14">
        <v>419129.48061448429</v>
      </c>
    </row>
    <row r="160" spans="4:11" x14ac:dyDescent="0.3">
      <c r="D160" s="16">
        <v>852</v>
      </c>
      <c r="E160" s="122">
        <v>10423</v>
      </c>
      <c r="F160" s="33">
        <v>9530.9070958302855</v>
      </c>
      <c r="G160" s="122">
        <v>95309.070958302851</v>
      </c>
      <c r="I160" s="27">
        <v>45938</v>
      </c>
      <c r="J160" s="50">
        <v>118631.12655449891</v>
      </c>
      <c r="K160" s="14">
        <v>1186311.2655449891</v>
      </c>
    </row>
    <row r="161" spans="4:11" x14ac:dyDescent="0.3">
      <c r="D161" s="16">
        <v>853</v>
      </c>
      <c r="E161" s="122">
        <v>22769</v>
      </c>
      <c r="F161" s="33">
        <v>20820.226773957573</v>
      </c>
      <c r="G161" s="122">
        <v>208202.26773957573</v>
      </c>
      <c r="I161" s="27" t="s">
        <v>28</v>
      </c>
      <c r="J161" s="50">
        <v>3816669.7147037308</v>
      </c>
      <c r="K161" s="14">
        <v>38726806.920482807</v>
      </c>
    </row>
    <row r="162" spans="4:11" x14ac:dyDescent="0.3">
      <c r="D162" s="16">
        <v>854</v>
      </c>
      <c r="E162" s="122">
        <v>25407</v>
      </c>
      <c r="F162" s="33">
        <v>23232.44330651061</v>
      </c>
      <c r="G162" s="122">
        <v>232324.4330651061</v>
      </c>
      <c r="I162"/>
      <c r="J162"/>
      <c r="K162"/>
    </row>
    <row r="163" spans="4:11" x14ac:dyDescent="0.3">
      <c r="D163" s="16">
        <v>855</v>
      </c>
      <c r="E163" s="122"/>
      <c r="F163" s="33">
        <v>0</v>
      </c>
      <c r="G163" s="122">
        <v>0</v>
      </c>
      <c r="I163"/>
      <c r="J163"/>
      <c r="K163"/>
    </row>
    <row r="164" spans="4:11" x14ac:dyDescent="0.3">
      <c r="D164" s="16">
        <v>856</v>
      </c>
      <c r="E164" s="122">
        <v>25710</v>
      </c>
      <c r="F164" s="33">
        <v>23509.509875640091</v>
      </c>
      <c r="G164" s="122">
        <v>235095.09875640093</v>
      </c>
      <c r="I164"/>
      <c r="J164"/>
      <c r="K164"/>
    </row>
    <row r="165" spans="4:11" x14ac:dyDescent="0.3">
      <c r="D165" s="16">
        <v>857</v>
      </c>
      <c r="E165" s="122">
        <v>18018</v>
      </c>
      <c r="F165" s="33">
        <v>16475.859546452088</v>
      </c>
      <c r="G165" s="122">
        <v>148282.73591806879</v>
      </c>
      <c r="I165"/>
      <c r="J165"/>
      <c r="K165"/>
    </row>
    <row r="166" spans="4:11" x14ac:dyDescent="0.3">
      <c r="D166" s="16">
        <v>858</v>
      </c>
      <c r="E166" s="122">
        <v>52061</v>
      </c>
      <c r="F166" s="33">
        <v>47605.157278712511</v>
      </c>
      <c r="G166" s="122">
        <v>428446.41550841258</v>
      </c>
      <c r="I166"/>
      <c r="J166"/>
      <c r="K166"/>
    </row>
    <row r="167" spans="4:11" x14ac:dyDescent="0.3">
      <c r="D167" s="16">
        <v>859</v>
      </c>
      <c r="E167" s="122">
        <v>45821</v>
      </c>
      <c r="F167" s="33">
        <v>41899.231894659846</v>
      </c>
      <c r="G167" s="122">
        <v>377093.08705193864</v>
      </c>
      <c r="I167"/>
      <c r="J167"/>
      <c r="K167"/>
    </row>
    <row r="168" spans="4:11" x14ac:dyDescent="0.3">
      <c r="D168" s="16">
        <v>860</v>
      </c>
      <c r="E168" s="122">
        <v>41491</v>
      </c>
      <c r="F168" s="33">
        <v>37939.831748354067</v>
      </c>
      <c r="G168" s="122">
        <v>379398.31748354068</v>
      </c>
    </row>
    <row r="169" spans="4:11" x14ac:dyDescent="0.3">
      <c r="D169" s="16">
        <v>861</v>
      </c>
      <c r="E169" s="122">
        <v>7116</v>
      </c>
      <c r="F169" s="33">
        <v>6506.9495245062189</v>
      </c>
      <c r="G169" s="122">
        <v>65069.495245062193</v>
      </c>
    </row>
    <row r="170" spans="4:11" x14ac:dyDescent="0.3">
      <c r="D170" s="16">
        <v>862</v>
      </c>
      <c r="E170" s="122"/>
      <c r="F170" s="33">
        <v>0</v>
      </c>
      <c r="G170" s="122">
        <v>0</v>
      </c>
    </row>
    <row r="171" spans="4:11" x14ac:dyDescent="0.3">
      <c r="D171" s="16">
        <v>863</v>
      </c>
      <c r="E171" s="122">
        <v>10869</v>
      </c>
      <c r="F171" s="33">
        <v>9938.7344550109738</v>
      </c>
      <c r="G171" s="122">
        <v>89448.61009509876</v>
      </c>
    </row>
    <row r="172" spans="4:11" x14ac:dyDescent="0.3">
      <c r="D172" s="16">
        <v>864</v>
      </c>
      <c r="E172" s="122">
        <v>35692</v>
      </c>
      <c r="F172" s="33">
        <v>32637.161667885885</v>
      </c>
      <c r="G172" s="122">
        <v>391645.94001463061</v>
      </c>
    </row>
    <row r="173" spans="4:11" x14ac:dyDescent="0.3">
      <c r="D173" s="16">
        <v>865</v>
      </c>
      <c r="E173" s="122">
        <v>28089</v>
      </c>
      <c r="F173" s="33">
        <v>25684.893928310172</v>
      </c>
      <c r="G173" s="122">
        <v>308218.72713972209</v>
      </c>
    </row>
    <row r="174" spans="4:11" x14ac:dyDescent="0.3">
      <c r="D174" s="16">
        <v>866</v>
      </c>
      <c r="E174" s="122">
        <v>14996</v>
      </c>
      <c r="F174" s="33">
        <v>13712.509144111194</v>
      </c>
      <c r="G174" s="122">
        <v>164550.10972933433</v>
      </c>
    </row>
    <row r="175" spans="4:11" x14ac:dyDescent="0.3">
      <c r="D175" s="16">
        <v>867</v>
      </c>
      <c r="E175" s="122">
        <v>13485</v>
      </c>
      <c r="F175" s="33">
        <v>12330.833942940748</v>
      </c>
      <c r="G175" s="122">
        <v>147970.00731528897</v>
      </c>
    </row>
    <row r="176" spans="4:11" x14ac:dyDescent="0.3">
      <c r="D176" s="16">
        <v>868</v>
      </c>
      <c r="E176" s="122">
        <v>15066</v>
      </c>
      <c r="F176" s="33">
        <v>13776.517922457939</v>
      </c>
      <c r="G176" s="122">
        <v>165318.21506949526</v>
      </c>
    </row>
    <row r="177" spans="4:7" x14ac:dyDescent="0.3">
      <c r="D177" s="16">
        <v>869</v>
      </c>
      <c r="E177" s="122">
        <v>2694</v>
      </c>
      <c r="F177" s="33">
        <v>2463.4235552304317</v>
      </c>
      <c r="G177" s="122">
        <v>29561.08266276518</v>
      </c>
    </row>
    <row r="178" spans="4:7" x14ac:dyDescent="0.3">
      <c r="D178" s="16">
        <v>870</v>
      </c>
      <c r="E178" s="122">
        <v>32937</v>
      </c>
      <c r="F178" s="33">
        <v>30117.95903438186</v>
      </c>
      <c r="G178" s="122">
        <v>361415.50841258233</v>
      </c>
    </row>
    <row r="179" spans="4:7" x14ac:dyDescent="0.3">
      <c r="D179" s="16">
        <v>871</v>
      </c>
      <c r="E179" s="122">
        <v>25630</v>
      </c>
      <c r="F179" s="33">
        <v>23436.356986100953</v>
      </c>
      <c r="G179" s="122">
        <v>234363.56986100954</v>
      </c>
    </row>
    <row r="180" spans="4:7" x14ac:dyDescent="0.3">
      <c r="D180" s="16">
        <v>872</v>
      </c>
      <c r="E180" s="122">
        <v>10710</v>
      </c>
      <c r="F180" s="33">
        <v>9793.3430870519387</v>
      </c>
      <c r="G180" s="122">
        <v>102830.10241404535</v>
      </c>
    </row>
    <row r="181" spans="4:7" x14ac:dyDescent="0.3">
      <c r="D181" s="16">
        <v>873</v>
      </c>
      <c r="E181" s="122">
        <v>10161</v>
      </c>
      <c r="F181" s="33">
        <v>9291.331382589613</v>
      </c>
      <c r="G181" s="122">
        <v>92913.313825896126</v>
      </c>
    </row>
    <row r="182" spans="4:7" x14ac:dyDescent="0.3">
      <c r="D182" s="16">
        <v>874</v>
      </c>
      <c r="E182" s="122">
        <v>20984</v>
      </c>
      <c r="F182" s="33">
        <v>19188.002926115583</v>
      </c>
      <c r="G182" s="122">
        <v>191880.02926115584</v>
      </c>
    </row>
    <row r="183" spans="4:7" x14ac:dyDescent="0.3">
      <c r="D183" s="16">
        <v>875</v>
      </c>
      <c r="E183" s="122">
        <v>13939</v>
      </c>
      <c r="F183" s="33">
        <v>12745.976591075349</v>
      </c>
      <c r="G183" s="122">
        <v>127459.76591075349</v>
      </c>
    </row>
    <row r="184" spans="4:7" x14ac:dyDescent="0.3">
      <c r="D184" s="16">
        <v>876</v>
      </c>
      <c r="E184" s="122">
        <v>210</v>
      </c>
      <c r="F184" s="33">
        <v>192.0263350402341</v>
      </c>
      <c r="G184" s="122">
        <v>2304.3160204828091</v>
      </c>
    </row>
    <row r="185" spans="4:7" x14ac:dyDescent="0.3">
      <c r="D185" s="16">
        <v>877</v>
      </c>
      <c r="E185" s="122">
        <v>19288</v>
      </c>
      <c r="F185" s="33">
        <v>17637.161667885885</v>
      </c>
      <c r="G185" s="122">
        <v>176371.61667885885</v>
      </c>
    </row>
    <row r="186" spans="4:7" x14ac:dyDescent="0.3">
      <c r="D186" s="16">
        <v>878</v>
      </c>
      <c r="E186" s="122">
        <v>12510</v>
      </c>
      <c r="F186" s="33">
        <v>11439.283101682517</v>
      </c>
      <c r="G186" s="122">
        <v>114392.83101682516</v>
      </c>
    </row>
    <row r="187" spans="4:7" x14ac:dyDescent="0.3">
      <c r="D187" s="16">
        <v>879</v>
      </c>
      <c r="E187" s="122">
        <v>16471</v>
      </c>
      <c r="F187" s="33">
        <v>15061.265544989028</v>
      </c>
      <c r="G187" s="122">
        <v>150612.65544989027</v>
      </c>
    </row>
    <row r="188" spans="4:7" x14ac:dyDescent="0.3">
      <c r="D188" s="16">
        <v>880</v>
      </c>
      <c r="E188" s="122">
        <v>11222</v>
      </c>
      <c r="F188" s="33">
        <v>10261.521580102415</v>
      </c>
      <c r="G188" s="122">
        <v>102615.21580102415</v>
      </c>
    </row>
    <row r="189" spans="4:7" x14ac:dyDescent="0.3">
      <c r="D189" s="16">
        <v>881</v>
      </c>
      <c r="E189" s="122">
        <v>15796</v>
      </c>
      <c r="F189" s="33">
        <v>14444.038039502562</v>
      </c>
      <c r="G189" s="122">
        <v>144440.38039502563</v>
      </c>
    </row>
    <row r="190" spans="4:7" x14ac:dyDescent="0.3">
      <c r="D190" s="16">
        <v>882</v>
      </c>
      <c r="E190" s="122">
        <v>17234</v>
      </c>
      <c r="F190" s="33">
        <v>15758.961228968546</v>
      </c>
      <c r="G190" s="122">
        <v>157589.61228968546</v>
      </c>
    </row>
    <row r="191" spans="4:7" x14ac:dyDescent="0.3">
      <c r="D191" s="16">
        <v>883</v>
      </c>
      <c r="E191" s="122">
        <v>13257</v>
      </c>
      <c r="F191" s="33">
        <v>12122.348207754207</v>
      </c>
      <c r="G191" s="122">
        <v>121223.48207754207</v>
      </c>
    </row>
    <row r="192" spans="4:7" x14ac:dyDescent="0.3">
      <c r="D192" s="16">
        <v>884</v>
      </c>
      <c r="E192" s="122">
        <v>4448</v>
      </c>
      <c r="F192" s="33">
        <v>4067.3006583760061</v>
      </c>
      <c r="G192" s="122">
        <v>40673.006583760063</v>
      </c>
    </row>
    <row r="193" spans="4:7" x14ac:dyDescent="0.3">
      <c r="D193" s="16">
        <v>885</v>
      </c>
      <c r="E193" s="122">
        <v>1850</v>
      </c>
      <c r="F193" s="33">
        <v>1691.6605705925385</v>
      </c>
      <c r="G193" s="122">
        <v>16916.605705925387</v>
      </c>
    </row>
    <row r="194" spans="4:7" x14ac:dyDescent="0.3">
      <c r="D194" s="16">
        <v>886</v>
      </c>
      <c r="E194" s="122">
        <v>12863</v>
      </c>
      <c r="F194" s="33">
        <v>11762.070226773958</v>
      </c>
      <c r="G194" s="122">
        <v>117620.70226773957</v>
      </c>
    </row>
    <row r="195" spans="4:7" x14ac:dyDescent="0.3">
      <c r="D195" s="16">
        <v>887</v>
      </c>
      <c r="E195" s="122">
        <v>4262</v>
      </c>
      <c r="F195" s="33">
        <v>3897.2201901975131</v>
      </c>
      <c r="G195" s="122">
        <v>38972.201901975131</v>
      </c>
    </row>
    <row r="196" spans="4:7" x14ac:dyDescent="0.3">
      <c r="D196" s="16">
        <v>888</v>
      </c>
      <c r="E196" s="122">
        <v>4440</v>
      </c>
      <c r="F196" s="33">
        <v>4059.9853694220924</v>
      </c>
      <c r="G196" s="122">
        <v>40599.853694220925</v>
      </c>
    </row>
    <row r="197" spans="4:7" x14ac:dyDescent="0.3">
      <c r="D197" s="16">
        <v>889</v>
      </c>
      <c r="E197" s="122">
        <v>16998</v>
      </c>
      <c r="F197" s="33">
        <v>15543.160204828093</v>
      </c>
      <c r="G197" s="122">
        <v>155431.60204828094</v>
      </c>
    </row>
    <row r="198" spans="4:7" x14ac:dyDescent="0.3">
      <c r="D198" s="16">
        <v>890</v>
      </c>
      <c r="E198" s="122">
        <v>15007</v>
      </c>
      <c r="F198" s="33">
        <v>13722.567666422825</v>
      </c>
      <c r="G198" s="122">
        <v>137225.67666422826</v>
      </c>
    </row>
    <row r="199" spans="4:7" x14ac:dyDescent="0.3">
      <c r="D199" s="16">
        <v>891</v>
      </c>
      <c r="E199" s="122">
        <v>36453</v>
      </c>
      <c r="F199" s="33">
        <v>33333.028529626921</v>
      </c>
      <c r="G199" s="122">
        <v>333330.28529626923</v>
      </c>
    </row>
    <row r="200" spans="4:7" x14ac:dyDescent="0.3">
      <c r="D200" s="16">
        <v>892</v>
      </c>
      <c r="E200" s="122">
        <v>18007</v>
      </c>
      <c r="F200" s="33">
        <v>16465.801024140455</v>
      </c>
      <c r="G200" s="122">
        <v>164658.01024140455</v>
      </c>
    </row>
    <row r="201" spans="4:7" x14ac:dyDescent="0.3">
      <c r="D201" s="16">
        <v>893</v>
      </c>
      <c r="E201" s="122">
        <v>19462</v>
      </c>
      <c r="F201" s="33">
        <v>17796.269202633506</v>
      </c>
      <c r="G201" s="122">
        <v>213555.23043160207</v>
      </c>
    </row>
    <row r="202" spans="4:7" x14ac:dyDescent="0.3">
      <c r="D202" s="16">
        <v>894</v>
      </c>
      <c r="E202" s="122">
        <v>2846</v>
      </c>
      <c r="F202" s="33">
        <v>2602.4140453547916</v>
      </c>
      <c r="G202" s="122">
        <v>31228.968544257499</v>
      </c>
    </row>
    <row r="203" spans="4:7" x14ac:dyDescent="0.3">
      <c r="D203" s="16">
        <v>895</v>
      </c>
      <c r="E203" s="122">
        <v>8529</v>
      </c>
      <c r="F203" s="33">
        <v>7799.0124359912224</v>
      </c>
      <c r="G203" s="122">
        <v>93588.149231894669</v>
      </c>
    </row>
    <row r="204" spans="4:7" x14ac:dyDescent="0.3">
      <c r="D204" s="16">
        <v>896</v>
      </c>
      <c r="E204" s="122">
        <v>13770</v>
      </c>
      <c r="F204" s="33">
        <v>12591.441111923921</v>
      </c>
      <c r="G204" s="122">
        <v>151097.29334308705</v>
      </c>
    </row>
    <row r="205" spans="4:7" x14ac:dyDescent="0.3">
      <c r="D205" s="16">
        <v>897</v>
      </c>
      <c r="E205" s="122">
        <v>9238</v>
      </c>
      <c r="F205" s="33">
        <v>8447.3299195318214</v>
      </c>
      <c r="G205" s="122">
        <v>101367.95903438186</v>
      </c>
    </row>
    <row r="206" spans="4:7" x14ac:dyDescent="0.3">
      <c r="D206" s="16">
        <v>898</v>
      </c>
      <c r="E206" s="122">
        <v>6756</v>
      </c>
      <c r="F206" s="33">
        <v>6177.7615215801034</v>
      </c>
      <c r="G206" s="122">
        <v>74133.138258961233</v>
      </c>
    </row>
    <row r="207" spans="4:7" x14ac:dyDescent="0.3">
      <c r="D207" s="16" t="s">
        <v>294</v>
      </c>
      <c r="E207" s="122">
        <v>3124</v>
      </c>
      <c r="F207" s="33">
        <v>2856.620336503292</v>
      </c>
      <c r="G207" s="122">
        <v>34279.444038039503</v>
      </c>
    </row>
    <row r="208" spans="4:7" x14ac:dyDescent="0.3">
      <c r="D208" s="16" t="s">
        <v>295</v>
      </c>
      <c r="E208" s="122">
        <v>1928</v>
      </c>
      <c r="F208" s="33">
        <v>1762.984637893197</v>
      </c>
      <c r="G208" s="122">
        <v>21155.815654718364</v>
      </c>
    </row>
    <row r="209" spans="4:7" x14ac:dyDescent="0.3">
      <c r="D209" s="16" t="s">
        <v>296</v>
      </c>
      <c r="E209" s="122">
        <v>2578</v>
      </c>
      <c r="F209" s="33">
        <v>2357.3518653986835</v>
      </c>
      <c r="G209" s="122">
        <v>28288.222384784203</v>
      </c>
    </row>
    <row r="210" spans="4:7" x14ac:dyDescent="0.3">
      <c r="D210" s="16" t="s">
        <v>297</v>
      </c>
      <c r="E210" s="122">
        <v>4162</v>
      </c>
      <c r="F210" s="33">
        <v>3805.7790782735919</v>
      </c>
      <c r="G210" s="122">
        <v>45669.348939283103</v>
      </c>
    </row>
    <row r="211" spans="4:7" x14ac:dyDescent="0.3">
      <c r="D211" s="16" t="s">
        <v>298</v>
      </c>
      <c r="E211" s="122">
        <v>1384</v>
      </c>
      <c r="F211" s="33">
        <v>1265.5449890270668</v>
      </c>
      <c r="G211" s="122">
        <v>15186.539868324802</v>
      </c>
    </row>
    <row r="212" spans="4:7" x14ac:dyDescent="0.3">
      <c r="D212" s="16">
        <v>901</v>
      </c>
      <c r="E212" s="122">
        <v>15367</v>
      </c>
      <c r="F212" s="33">
        <v>14051.755669348941</v>
      </c>
      <c r="G212" s="122">
        <v>168621.06803218729</v>
      </c>
    </row>
    <row r="213" spans="4:7" x14ac:dyDescent="0.3">
      <c r="D213" s="16">
        <v>902</v>
      </c>
      <c r="E213" s="122"/>
      <c r="F213" s="33">
        <v>0</v>
      </c>
      <c r="G213" s="122"/>
    </row>
    <row r="214" spans="4:7" x14ac:dyDescent="0.3">
      <c r="D214" s="16">
        <v>903</v>
      </c>
      <c r="E214" s="122">
        <v>8722</v>
      </c>
      <c r="F214" s="33">
        <v>7975.4937820043897</v>
      </c>
      <c r="G214" s="122">
        <v>95705.92538405268</v>
      </c>
    </row>
    <row r="215" spans="4:7" x14ac:dyDescent="0.3">
      <c r="D215" s="16">
        <v>904</v>
      </c>
      <c r="E215" s="122">
        <v>7570</v>
      </c>
      <c r="F215" s="33">
        <v>6922.0921726408196</v>
      </c>
      <c r="G215" s="122">
        <v>83065.106071689836</v>
      </c>
    </row>
    <row r="216" spans="4:7" x14ac:dyDescent="0.3">
      <c r="D216" s="16">
        <v>905</v>
      </c>
      <c r="E216" s="122">
        <v>6580</v>
      </c>
      <c r="F216" s="33">
        <v>6016.8251645940018</v>
      </c>
      <c r="G216" s="122">
        <v>54151.426481346018</v>
      </c>
    </row>
    <row r="217" spans="4:7" x14ac:dyDescent="0.3">
      <c r="D217" s="16">
        <v>906</v>
      </c>
      <c r="E217" s="122">
        <v>4202</v>
      </c>
      <c r="F217" s="33">
        <v>3842.3555230431607</v>
      </c>
      <c r="G217" s="122">
        <v>40344.732991953184</v>
      </c>
    </row>
    <row r="218" spans="4:7" x14ac:dyDescent="0.3">
      <c r="D218" s="16">
        <v>907</v>
      </c>
      <c r="E218" s="122">
        <v>12967</v>
      </c>
      <c r="F218" s="33">
        <v>11857.168983174837</v>
      </c>
      <c r="G218" s="122">
        <v>118571.68983174837</v>
      </c>
    </row>
    <row r="219" spans="4:7" x14ac:dyDescent="0.3">
      <c r="D219" s="16">
        <v>908</v>
      </c>
      <c r="E219" s="122">
        <v>15228</v>
      </c>
      <c r="F219" s="33">
        <v>13924.65252377469</v>
      </c>
      <c r="G219" s="122">
        <v>139246.52523774689</v>
      </c>
    </row>
    <row r="220" spans="4:7" x14ac:dyDescent="0.3">
      <c r="D220" s="16">
        <v>909</v>
      </c>
      <c r="E220" s="122">
        <v>16294</v>
      </c>
      <c r="F220" s="33">
        <v>14899.414776883688</v>
      </c>
      <c r="G220" s="122">
        <v>148994.14776883688</v>
      </c>
    </row>
    <row r="221" spans="4:7" x14ac:dyDescent="0.3">
      <c r="D221" s="16">
        <v>910</v>
      </c>
      <c r="E221" s="122">
        <v>13202</v>
      </c>
      <c r="F221" s="33">
        <v>12072.055596196051</v>
      </c>
      <c r="G221" s="122">
        <v>108648.50036576446</v>
      </c>
    </row>
    <row r="222" spans="4:7" x14ac:dyDescent="0.3">
      <c r="D222" s="16">
        <v>911</v>
      </c>
      <c r="E222" s="122">
        <v>4484</v>
      </c>
      <c r="F222" s="33">
        <v>4100.2194586686173</v>
      </c>
      <c r="G222" s="122">
        <v>41002.194586686172</v>
      </c>
    </row>
    <row r="223" spans="4:7" x14ac:dyDescent="0.3">
      <c r="D223" s="16">
        <v>912</v>
      </c>
      <c r="E223" s="122">
        <v>12094</v>
      </c>
      <c r="F223" s="33">
        <v>11058.888076079005</v>
      </c>
      <c r="G223" s="122">
        <v>110588.88076079005</v>
      </c>
    </row>
    <row r="224" spans="4:7" x14ac:dyDescent="0.3">
      <c r="D224" s="16">
        <v>913</v>
      </c>
      <c r="E224" s="122">
        <v>11836</v>
      </c>
      <c r="F224" s="33">
        <v>10822.970007315291</v>
      </c>
      <c r="G224" s="122">
        <v>108229.70007315291</v>
      </c>
    </row>
    <row r="225" spans="4:7" x14ac:dyDescent="0.3">
      <c r="D225" s="16">
        <v>914</v>
      </c>
      <c r="E225" s="122">
        <v>2505</v>
      </c>
      <c r="F225" s="33">
        <v>2290.5998536942211</v>
      </c>
      <c r="G225" s="122">
        <v>22905.99853694221</v>
      </c>
    </row>
    <row r="226" spans="4:7" x14ac:dyDescent="0.3">
      <c r="D226" s="16">
        <v>915</v>
      </c>
      <c r="E226" s="122">
        <v>8464</v>
      </c>
      <c r="F226" s="33">
        <v>7739.5757132406734</v>
      </c>
      <c r="G226" s="122">
        <v>69656.181419166067</v>
      </c>
    </row>
    <row r="227" spans="4:7" x14ac:dyDescent="0.3">
      <c r="D227" s="16">
        <v>916</v>
      </c>
      <c r="E227" s="122">
        <v>27378</v>
      </c>
      <c r="F227" s="33">
        <v>25034.747622531093</v>
      </c>
      <c r="G227" s="122">
        <v>250347.47622531094</v>
      </c>
    </row>
    <row r="228" spans="4:7" x14ac:dyDescent="0.3">
      <c r="D228" s="16">
        <v>917</v>
      </c>
      <c r="E228" s="122">
        <v>2122</v>
      </c>
      <c r="F228" s="33">
        <v>1940.3803950256038</v>
      </c>
      <c r="G228" s="122">
        <v>19403.803950256039</v>
      </c>
    </row>
    <row r="229" spans="4:7" x14ac:dyDescent="0.3">
      <c r="D229" s="16">
        <v>918</v>
      </c>
      <c r="E229" s="122">
        <v>5121</v>
      </c>
      <c r="F229" s="33">
        <v>4682.6993416239948</v>
      </c>
      <c r="G229" s="122">
        <v>46826.993416239944</v>
      </c>
    </row>
    <row r="230" spans="4:7" x14ac:dyDescent="0.3">
      <c r="D230" s="16">
        <v>919</v>
      </c>
      <c r="E230" s="122">
        <v>40366</v>
      </c>
      <c r="F230" s="33">
        <v>36911.119239209955</v>
      </c>
      <c r="G230" s="122">
        <v>369111.19239209953</v>
      </c>
    </row>
    <row r="231" spans="4:7" x14ac:dyDescent="0.3">
      <c r="D231" s="16">
        <v>920</v>
      </c>
      <c r="E231" s="122">
        <v>1976</v>
      </c>
      <c r="F231" s="33">
        <v>1806.8763716166791</v>
      </c>
      <c r="G231" s="122">
        <v>18068.763716166792</v>
      </c>
    </row>
    <row r="232" spans="4:7" x14ac:dyDescent="0.3">
      <c r="D232" s="16">
        <v>921</v>
      </c>
      <c r="E232" s="122">
        <v>15019</v>
      </c>
      <c r="F232" s="33">
        <v>13733.540599853695</v>
      </c>
      <c r="G232" s="122">
        <v>137335.40599853697</v>
      </c>
    </row>
    <row r="233" spans="4:7" x14ac:dyDescent="0.3">
      <c r="D233" s="16">
        <v>922</v>
      </c>
      <c r="E233" s="122">
        <v>13539</v>
      </c>
      <c r="F233" s="33">
        <v>12380.212143379664</v>
      </c>
      <c r="G233" s="122">
        <v>123802.12143379664</v>
      </c>
    </row>
    <row r="234" spans="4:7" x14ac:dyDescent="0.3">
      <c r="D234" s="16">
        <v>923</v>
      </c>
      <c r="E234" s="122">
        <v>13390</v>
      </c>
      <c r="F234" s="33">
        <v>12243.964886613023</v>
      </c>
      <c r="G234" s="122">
        <v>122439.64886613023</v>
      </c>
    </row>
    <row r="235" spans="4:7" x14ac:dyDescent="0.3">
      <c r="D235" s="16">
        <v>924</v>
      </c>
      <c r="E235" s="122">
        <v>1718</v>
      </c>
      <c r="F235" s="33">
        <v>1570.9583028529628</v>
      </c>
      <c r="G235" s="122">
        <v>14138.624725676666</v>
      </c>
    </row>
    <row r="236" spans="4:7" x14ac:dyDescent="0.3">
      <c r="D236" s="16">
        <v>925</v>
      </c>
      <c r="E236" s="122">
        <v>4796</v>
      </c>
      <c r="F236" s="33">
        <v>4385.5157278712513</v>
      </c>
      <c r="G236" s="122">
        <v>39469.641550841261</v>
      </c>
    </row>
    <row r="237" spans="4:7" x14ac:dyDescent="0.3">
      <c r="D237" s="16">
        <v>926</v>
      </c>
      <c r="E237" s="122">
        <v>15287</v>
      </c>
      <c r="F237" s="33">
        <v>13978.602779809804</v>
      </c>
      <c r="G237" s="122">
        <v>125807.42501828824</v>
      </c>
    </row>
    <row r="238" spans="4:7" x14ac:dyDescent="0.3">
      <c r="D238" s="16">
        <v>927</v>
      </c>
      <c r="E238" s="122">
        <v>11620</v>
      </c>
      <c r="F238" s="33">
        <v>10625.45720555962</v>
      </c>
      <c r="G238" s="122">
        <v>95629.114850036582</v>
      </c>
    </row>
    <row r="239" spans="4:7" x14ac:dyDescent="0.3">
      <c r="D239" s="16">
        <v>928</v>
      </c>
      <c r="E239" s="122">
        <v>4282</v>
      </c>
      <c r="F239" s="33">
        <v>3915.5084125822973</v>
      </c>
      <c r="G239" s="122">
        <v>39155.08412582297</v>
      </c>
    </row>
    <row r="240" spans="4:7" x14ac:dyDescent="0.3">
      <c r="D240" s="16">
        <v>929</v>
      </c>
      <c r="E240" s="122">
        <v>2298</v>
      </c>
      <c r="F240" s="33">
        <v>2101.3167520117045</v>
      </c>
      <c r="G240" s="122">
        <v>21013.167520117044</v>
      </c>
    </row>
    <row r="241" spans="4:7" x14ac:dyDescent="0.3">
      <c r="D241" s="16">
        <v>930</v>
      </c>
      <c r="E241" s="122">
        <v>15522</v>
      </c>
      <c r="F241" s="33">
        <v>14193.489392831018</v>
      </c>
      <c r="G241" s="122">
        <v>141934.89392831016</v>
      </c>
    </row>
    <row r="242" spans="4:7" x14ac:dyDescent="0.3">
      <c r="D242" s="16">
        <v>931</v>
      </c>
      <c r="E242" s="122">
        <v>27343</v>
      </c>
      <c r="F242" s="33">
        <v>25002.74323335772</v>
      </c>
      <c r="G242" s="122">
        <v>250027.43233357719</v>
      </c>
    </row>
    <row r="243" spans="4:7" x14ac:dyDescent="0.3">
      <c r="D243" s="16">
        <v>932</v>
      </c>
      <c r="E243" s="122">
        <v>18406</v>
      </c>
      <c r="F243" s="33">
        <v>16830.6510607169</v>
      </c>
      <c r="G243" s="122">
        <v>168306.51060716901</v>
      </c>
    </row>
    <row r="244" spans="4:7" x14ac:dyDescent="0.3">
      <c r="D244" s="16">
        <v>933</v>
      </c>
      <c r="E244" s="122">
        <v>9750</v>
      </c>
      <c r="F244" s="33">
        <v>8915.5084125822978</v>
      </c>
      <c r="G244" s="122">
        <v>89155.084125822978</v>
      </c>
    </row>
    <row r="245" spans="4:7" x14ac:dyDescent="0.3">
      <c r="D245" s="16">
        <v>934</v>
      </c>
      <c r="E245" s="122">
        <v>5190</v>
      </c>
      <c r="F245" s="33">
        <v>4745.7937088515</v>
      </c>
      <c r="G245" s="122">
        <v>42712.143379663503</v>
      </c>
    </row>
    <row r="246" spans="4:7" x14ac:dyDescent="0.3">
      <c r="D246" s="16">
        <v>935</v>
      </c>
      <c r="E246" s="122">
        <v>2122</v>
      </c>
      <c r="F246" s="33">
        <v>1940.3803950256038</v>
      </c>
      <c r="G246" s="122">
        <v>17463.423555230434</v>
      </c>
    </row>
    <row r="247" spans="4:7" x14ac:dyDescent="0.3">
      <c r="D247" s="16">
        <v>936</v>
      </c>
      <c r="E247" s="122">
        <v>25630</v>
      </c>
      <c r="F247" s="33">
        <v>23436.356986100953</v>
      </c>
      <c r="G247" s="122">
        <v>234363.56986100954</v>
      </c>
    </row>
    <row r="248" spans="4:7" x14ac:dyDescent="0.3">
      <c r="D248" s="16">
        <v>937</v>
      </c>
      <c r="E248" s="122">
        <v>7058</v>
      </c>
      <c r="F248" s="33">
        <v>6453.9136795903441</v>
      </c>
      <c r="G248" s="122">
        <v>64539.13679590344</v>
      </c>
    </row>
    <row r="249" spans="4:7" x14ac:dyDescent="0.3">
      <c r="D249" s="16">
        <v>938</v>
      </c>
      <c r="E249" s="122">
        <v>22380</v>
      </c>
      <c r="F249" s="33">
        <v>20464.52084857352</v>
      </c>
      <c r="G249" s="122">
        <v>204645.2084857352</v>
      </c>
    </row>
    <row r="250" spans="4:7" x14ac:dyDescent="0.3">
      <c r="D250" s="16">
        <v>939</v>
      </c>
      <c r="E250" s="122">
        <v>8592</v>
      </c>
      <c r="F250" s="33">
        <v>7856.6203365032925</v>
      </c>
      <c r="G250" s="122">
        <v>78566.203365032925</v>
      </c>
    </row>
    <row r="251" spans="4:7" x14ac:dyDescent="0.3">
      <c r="D251" s="16">
        <v>940</v>
      </c>
      <c r="E251" s="122">
        <v>9142</v>
      </c>
      <c r="F251" s="33">
        <v>8359.5464520848582</v>
      </c>
      <c r="G251" s="122">
        <v>83595.464520848589</v>
      </c>
    </row>
    <row r="252" spans="4:7" x14ac:dyDescent="0.3">
      <c r="D252" s="16">
        <v>941</v>
      </c>
      <c r="E252" s="122">
        <v>26118</v>
      </c>
      <c r="F252" s="33">
        <v>23882.589612289688</v>
      </c>
      <c r="G252" s="122">
        <v>238825.89612289687</v>
      </c>
    </row>
    <row r="253" spans="4:7" x14ac:dyDescent="0.3">
      <c r="D253" s="16">
        <v>942</v>
      </c>
      <c r="E253" s="122">
        <v>1984</v>
      </c>
      <c r="F253" s="33">
        <v>1814.1916605705926</v>
      </c>
      <c r="G253" s="122">
        <v>18141.916605705926</v>
      </c>
    </row>
    <row r="254" spans="4:7" x14ac:dyDescent="0.3">
      <c r="D254" s="16">
        <v>943</v>
      </c>
      <c r="E254" s="122">
        <v>42155</v>
      </c>
      <c r="F254" s="33">
        <v>38547.000731528897</v>
      </c>
      <c r="G254" s="122">
        <v>385470.007315289</v>
      </c>
    </row>
    <row r="255" spans="4:7" x14ac:dyDescent="0.3">
      <c r="D255" s="16">
        <v>944</v>
      </c>
      <c r="E255" s="122">
        <v>6192</v>
      </c>
      <c r="F255" s="33">
        <v>5662.0336503291883</v>
      </c>
      <c r="G255" s="122">
        <v>56620.336503291881</v>
      </c>
    </row>
    <row r="256" spans="4:7" x14ac:dyDescent="0.3">
      <c r="D256" s="16">
        <v>945</v>
      </c>
      <c r="E256" s="122">
        <v>9808</v>
      </c>
      <c r="F256" s="33">
        <v>8968.5442574981716</v>
      </c>
      <c r="G256" s="122">
        <v>89685.442574981716</v>
      </c>
    </row>
    <row r="257" spans="4:7" x14ac:dyDescent="0.3">
      <c r="D257" s="16">
        <v>946</v>
      </c>
      <c r="E257" s="122">
        <v>10656</v>
      </c>
      <c r="F257" s="33">
        <v>9743.9648866130228</v>
      </c>
      <c r="G257" s="122">
        <v>97439.648866130228</v>
      </c>
    </row>
    <row r="258" spans="4:7" x14ac:dyDescent="0.3">
      <c r="D258" s="16">
        <v>947</v>
      </c>
      <c r="E258" s="122">
        <v>18522</v>
      </c>
      <c r="F258" s="33">
        <v>16936.722750548648</v>
      </c>
      <c r="G258" s="122">
        <v>169367.22750548649</v>
      </c>
    </row>
    <row r="259" spans="4:7" x14ac:dyDescent="0.3">
      <c r="D259" s="16">
        <v>948</v>
      </c>
      <c r="E259" s="122">
        <v>18250</v>
      </c>
      <c r="F259" s="33">
        <v>16688.002926115583</v>
      </c>
      <c r="G259" s="122">
        <v>166880.02926115584</v>
      </c>
    </row>
    <row r="260" spans="4:7" x14ac:dyDescent="0.3">
      <c r="D260" s="16">
        <v>949</v>
      </c>
      <c r="E260" s="122">
        <v>24152</v>
      </c>
      <c r="F260" s="33">
        <v>22084.857351865401</v>
      </c>
      <c r="G260" s="122">
        <v>220848.57351865401</v>
      </c>
    </row>
    <row r="261" spans="4:7" x14ac:dyDescent="0.3">
      <c r="D261" s="16" t="s">
        <v>28</v>
      </c>
      <c r="E261" s="122">
        <v>1551529</v>
      </c>
      <c r="F261" s="33">
        <v>3816669.7147037322</v>
      </c>
      <c r="G261" s="122">
        <v>38726806.920482814</v>
      </c>
    </row>
    <row r="262" spans="4:7" x14ac:dyDescent="0.3">
      <c r="D262"/>
      <c r="E262"/>
      <c r="F262"/>
      <c r="G262"/>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66"/>
  <sheetViews>
    <sheetView tabSelected="1" topLeftCell="E68" zoomScale="122" zoomScaleNormal="165" workbookViewId="0">
      <selection activeCell="A71" sqref="A71"/>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hidden="1" x14ac:dyDescent="0.3">
      <c r="A3" s="93">
        <v>45916</v>
      </c>
      <c r="B3" s="90" t="s">
        <v>100</v>
      </c>
      <c r="C3" s="90" t="s">
        <v>99</v>
      </c>
      <c r="D3" s="91"/>
      <c r="E3" s="91"/>
      <c r="F3" s="91"/>
      <c r="G3" s="91">
        <f>D3*E3</f>
        <v>0</v>
      </c>
      <c r="H3" s="11">
        <v>0</v>
      </c>
      <c r="I3" s="92">
        <v>0</v>
      </c>
      <c r="J3" s="11"/>
    </row>
    <row r="4" spans="1:14" hidden="1" x14ac:dyDescent="0.3">
      <c r="A4" s="93">
        <v>45916</v>
      </c>
      <c r="B4" s="90" t="s">
        <v>159</v>
      </c>
      <c r="C4" s="90" t="s">
        <v>99</v>
      </c>
      <c r="D4" s="11"/>
      <c r="E4" s="11"/>
      <c r="F4" s="11"/>
      <c r="G4" s="11">
        <f>D4*E4</f>
        <v>0</v>
      </c>
      <c r="H4" s="11">
        <v>0</v>
      </c>
      <c r="I4" s="95">
        <v>106730</v>
      </c>
      <c r="J4" s="11"/>
    </row>
    <row r="5" spans="1:14" x14ac:dyDescent="0.3">
      <c r="A5" s="1">
        <v>45916</v>
      </c>
      <c r="B5" t="s">
        <v>98</v>
      </c>
      <c r="C5" t="s">
        <v>360</v>
      </c>
      <c r="D5" s="11">
        <v>237</v>
      </c>
      <c r="E5" s="11">
        <v>810</v>
      </c>
      <c r="F5" s="11">
        <v>38800</v>
      </c>
      <c r="G5" s="114">
        <f>D5*E5</f>
        <v>191970</v>
      </c>
      <c r="H5" s="11">
        <f>SUMIFS(Table14[Debit], Table14[Date], Table3[[#This Row],[Date]], Table14[Party], Table3[[#This Row],[Party Name]])</f>
        <v>361826</v>
      </c>
      <c r="I5" s="11">
        <f>(D5*E5)-Table3[[#This Row],[Paid]]</f>
        <v>-169856</v>
      </c>
      <c r="J5" s="11"/>
    </row>
    <row r="6" spans="1:14" x14ac:dyDescent="0.3">
      <c r="A6" s="1">
        <v>45916</v>
      </c>
      <c r="B6" t="s">
        <v>98</v>
      </c>
      <c r="C6" t="s">
        <v>170</v>
      </c>
      <c r="D6" s="11">
        <v>262</v>
      </c>
      <c r="E6" s="11">
        <v>810</v>
      </c>
      <c r="F6" s="11">
        <v>42510</v>
      </c>
      <c r="G6" s="114">
        <f t="shared" ref="G6:G7" si="0">D6*E6</f>
        <v>212220</v>
      </c>
      <c r="H6" s="11"/>
      <c r="I6" s="11">
        <f>(D6*E6)-Table3[[#This Row],[Paid]]</f>
        <v>212220</v>
      </c>
      <c r="J6" s="11"/>
    </row>
    <row r="7" spans="1:14" hidden="1"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hidden="1"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hidden="1"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hidden="1"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hidden="1"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t="s">
        <v>192</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t="s">
        <v>361</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7446835</v>
      </c>
    </row>
    <row r="15" spans="1:14" x14ac:dyDescent="0.3">
      <c r="A15" s="1">
        <v>45919</v>
      </c>
      <c r="B15" t="s">
        <v>98</v>
      </c>
      <c r="C15" t="s">
        <v>361</v>
      </c>
      <c r="D15" s="11">
        <v>35</v>
      </c>
      <c r="E15" s="11">
        <v>765</v>
      </c>
      <c r="F15" s="11"/>
      <c r="G15" s="114">
        <f t="shared" si="2"/>
        <v>26775</v>
      </c>
      <c r="H15" s="11"/>
      <c r="I15" s="11">
        <f>(D15*E15)-Table3[[#This Row],[Paid]]</f>
        <v>26775</v>
      </c>
    </row>
    <row r="16" spans="1:14" x14ac:dyDescent="0.3">
      <c r="A16" s="1">
        <v>45920</v>
      </c>
      <c r="B16" t="s">
        <v>98</v>
      </c>
      <c r="C16" t="s">
        <v>208</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x14ac:dyDescent="0.3">
      <c r="A17" s="1">
        <v>45920</v>
      </c>
      <c r="B17" t="s">
        <v>98</v>
      </c>
      <c r="C17" t="s">
        <v>210</v>
      </c>
      <c r="D17" s="11">
        <v>287</v>
      </c>
      <c r="E17" s="11">
        <v>765</v>
      </c>
      <c r="F17" s="11">
        <v>30385</v>
      </c>
      <c r="G17" s="114">
        <f t="shared" si="2"/>
        <v>219555</v>
      </c>
      <c r="H17" s="11"/>
      <c r="I17" s="11">
        <f>(D17*E17)-Table3[[#This Row],[Paid]]</f>
        <v>219555</v>
      </c>
    </row>
    <row r="18" spans="1:11" hidden="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t="s">
        <v>218</v>
      </c>
      <c r="D19" s="11">
        <v>75</v>
      </c>
      <c r="E19" s="11">
        <v>765</v>
      </c>
      <c r="F19" s="11">
        <v>36000</v>
      </c>
      <c r="G19" s="114">
        <f t="shared" si="2"/>
        <v>57375</v>
      </c>
      <c r="H19" s="11">
        <f>SUMIFS(Table14[Debit], Table14[Date], Table3[[#This Row],[Date]], Table14[Party], Table3[[#This Row],[Party Name]])</f>
        <v>36000</v>
      </c>
      <c r="I19" s="11">
        <f>(D19*E19)-Table3[[#This Row],[Paid]]</f>
        <v>21375</v>
      </c>
    </row>
    <row r="20" spans="1:11" hidden="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hidden="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hidden="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t="s">
        <v>218</v>
      </c>
      <c r="D23" s="11">
        <v>140</v>
      </c>
      <c r="E23" s="11">
        <v>810</v>
      </c>
      <c r="F23" s="11"/>
      <c r="G23" s="114">
        <f>D23*E23</f>
        <v>113400</v>
      </c>
      <c r="H23" s="11"/>
      <c r="I23" s="11">
        <f>(D23*E23)-Table3[[#This Row],[Paid]]</f>
        <v>113400</v>
      </c>
    </row>
    <row r="24" spans="1:11" x14ac:dyDescent="0.3">
      <c r="A24" s="1">
        <v>45922</v>
      </c>
      <c r="B24" t="s">
        <v>98</v>
      </c>
      <c r="C24" t="s">
        <v>222</v>
      </c>
      <c r="D24" s="11">
        <v>217</v>
      </c>
      <c r="E24" s="11">
        <v>810</v>
      </c>
      <c r="F24" s="11">
        <v>37400</v>
      </c>
      <c r="G24" s="114">
        <f>D24*E24</f>
        <v>175770</v>
      </c>
      <c r="H24" s="11">
        <f>SUMIFS(Table14[Debit], Table14[Date], Table3[[#This Row],[Date]], Table14[Party], Table3[[#This Row],[Party Name]])</f>
        <v>249402</v>
      </c>
      <c r="I24" s="11">
        <f>(D24*E24)-Table3[[#This Row],[Paid]]</f>
        <v>-73632</v>
      </c>
    </row>
    <row r="25" spans="1:11" hidden="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t="s">
        <v>234</v>
      </c>
      <c r="D26" s="11">
        <v>100</v>
      </c>
      <c r="E26" s="11">
        <v>765</v>
      </c>
      <c r="F26" s="11">
        <v>34500</v>
      </c>
      <c r="G26" s="114">
        <f t="shared" ref="G26:G30" si="3">D26*E26</f>
        <v>76500</v>
      </c>
      <c r="H26" s="11"/>
      <c r="I26" s="11">
        <f>(D26*E26)-Table3[[#This Row],[Paid]]</f>
        <v>76500</v>
      </c>
    </row>
    <row r="27" spans="1:11" x14ac:dyDescent="0.3">
      <c r="A27" s="1">
        <v>45923</v>
      </c>
      <c r="B27" t="s">
        <v>98</v>
      </c>
      <c r="C27" t="s">
        <v>234</v>
      </c>
      <c r="D27" s="11">
        <v>104</v>
      </c>
      <c r="E27" s="11">
        <v>810</v>
      </c>
      <c r="F27" s="11"/>
      <c r="G27" s="114">
        <f t="shared" si="3"/>
        <v>84240</v>
      </c>
      <c r="H27" s="11">
        <f>SUMIFS(Table14[Debit], Table14[Date], Table3[[#This Row],[Date]], Table14[Party], Table3[[#This Row],[Party Name]])</f>
        <v>362400</v>
      </c>
      <c r="I27" s="11">
        <f>(D27*E27)-Table3[[#This Row],[Paid]]</f>
        <v>-278160</v>
      </c>
    </row>
    <row r="28" spans="1:11" hidden="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t="s">
        <v>238</v>
      </c>
      <c r="D29" s="11">
        <v>232</v>
      </c>
      <c r="E29" s="11">
        <v>810</v>
      </c>
      <c r="F29" s="11">
        <v>37900</v>
      </c>
      <c r="G29" s="114">
        <f t="shared" si="3"/>
        <v>187920</v>
      </c>
      <c r="H29" s="11"/>
      <c r="I29" s="11">
        <f>(D29*E29)-Table3[[#This Row],[Paid]]</f>
        <v>187920</v>
      </c>
      <c r="K29" s="14"/>
    </row>
    <row r="30" spans="1:11" hidden="1" x14ac:dyDescent="0.3">
      <c r="A30" s="1">
        <v>45923</v>
      </c>
      <c r="B30" t="s">
        <v>159</v>
      </c>
      <c r="D30" s="11">
        <v>45</v>
      </c>
      <c r="E30" s="11">
        <v>550</v>
      </c>
      <c r="F30" s="11"/>
      <c r="G30" s="11">
        <f t="shared" si="3"/>
        <v>24750</v>
      </c>
      <c r="H30" s="11"/>
      <c r="I30" s="11">
        <f>(D30*E30)-Table3[[#This Row],[Paid]]</f>
        <v>24750</v>
      </c>
    </row>
    <row r="31" spans="1:11" x14ac:dyDescent="0.3">
      <c r="A31" s="1">
        <v>45924</v>
      </c>
      <c r="B31" t="s">
        <v>98</v>
      </c>
      <c r="D31" s="11"/>
      <c r="E31" s="11"/>
      <c r="F31" s="11"/>
      <c r="G31" s="11">
        <f>D31*E31</f>
        <v>0</v>
      </c>
      <c r="H31" s="11">
        <f>SUMIFS(Table14[Debit], Table14[Date], Table3[[#This Row],[Date]], Table14[Party], Table3[[#This Row],[Party Name]])</f>
        <v>155000</v>
      </c>
      <c r="I31" s="11">
        <f>(D31*E31)-Table3[[#This Row],[Paid]]</f>
        <v>-155000</v>
      </c>
    </row>
    <row r="32" spans="1:11" x14ac:dyDescent="0.3">
      <c r="A32" s="1">
        <v>45925</v>
      </c>
      <c r="B32" t="s">
        <v>98</v>
      </c>
      <c r="D32" s="11"/>
      <c r="E32" s="11"/>
      <c r="F32" s="11"/>
      <c r="G32" s="11">
        <f t="shared" ref="G32:G34" si="4">D32*E32</f>
        <v>0</v>
      </c>
      <c r="H32" s="11">
        <f>SUMIFS(Table14[Debit], Table14[Date], Table3[[#This Row],[Date]], Table14[Party], Table3[[#This Row],[Party Name]])</f>
        <v>200000</v>
      </c>
      <c r="I32" s="11">
        <f>(D32*E32)-Table3[[#This Row],[Paid]]</f>
        <v>-200000</v>
      </c>
    </row>
    <row r="33" spans="1:12" hidden="1" x14ac:dyDescent="0.3">
      <c r="A33" s="1">
        <v>45924</v>
      </c>
      <c r="B33" t="s">
        <v>159</v>
      </c>
      <c r="D33" s="11"/>
      <c r="E33" s="11"/>
      <c r="F33" s="11"/>
      <c r="G33" s="11">
        <f>D33*E33</f>
        <v>0</v>
      </c>
      <c r="H33" s="11">
        <f>SUMIFS(Table14[Debit], Table14[Date], Table3[[#This Row],[Date]], Table14[Party], Table3[[#This Row],[Party Name]])</f>
        <v>50000</v>
      </c>
      <c r="I33" s="11">
        <f>(D33*E33)-Table3[[#This Row],[Paid]]</f>
        <v>-50000</v>
      </c>
    </row>
    <row r="34" spans="1:12" hidden="1" x14ac:dyDescent="0.3">
      <c r="A34" s="1">
        <v>45925</v>
      </c>
      <c r="B34" t="s">
        <v>159</v>
      </c>
      <c r="D34" s="11">
        <v>46</v>
      </c>
      <c r="E34" s="11">
        <v>580</v>
      </c>
      <c r="F34" s="11"/>
      <c r="G34" s="11">
        <f t="shared" si="4"/>
        <v>26680</v>
      </c>
      <c r="H34" s="11">
        <f>SUMIFS(Table14[Debit], Table14[Date], Table3[[#This Row],[Date]], Table14[Party], Table3[[#This Row],[Party Name]])</f>
        <v>100010</v>
      </c>
      <c r="I34" s="11">
        <f>(D34*E34)-Table3[[#This Row],[Paid]]</f>
        <v>-73330</v>
      </c>
    </row>
    <row r="35" spans="1:12" hidden="1" x14ac:dyDescent="0.3">
      <c r="A35" s="1">
        <v>45925</v>
      </c>
      <c r="B35" t="s">
        <v>159</v>
      </c>
      <c r="D35" s="11">
        <v>44</v>
      </c>
      <c r="E35" s="11">
        <v>580</v>
      </c>
      <c r="F35" s="11"/>
      <c r="G35" s="11">
        <f t="shared" ref="G35:G41" si="5">D35*E35</f>
        <v>25520</v>
      </c>
      <c r="H35" s="11"/>
      <c r="I35" s="11">
        <f>(D35*E35)-Table3[[#This Row],[Paid]]</f>
        <v>25520</v>
      </c>
    </row>
    <row r="36" spans="1:12" x14ac:dyDescent="0.3">
      <c r="A36" s="1">
        <v>45926</v>
      </c>
      <c r="B36" t="s">
        <v>98</v>
      </c>
      <c r="C36" t="s">
        <v>362</v>
      </c>
      <c r="D36" s="11">
        <v>253</v>
      </c>
      <c r="E36" s="11">
        <v>810</v>
      </c>
      <c r="F36" s="11">
        <v>41200</v>
      </c>
      <c r="G36" s="114">
        <f t="shared" si="5"/>
        <v>204930</v>
      </c>
      <c r="H36" s="11">
        <f>SUMIFS(Table14[Debit], Table14[Date], Table3[[#This Row],[Date]], Table14[Party], Table3[[#This Row],[Party Name]])</f>
        <v>395600</v>
      </c>
      <c r="I36" s="11">
        <f>(D36*E36)-Table3[[#This Row],[Paid]]</f>
        <v>-190670</v>
      </c>
    </row>
    <row r="37" spans="1:12" x14ac:dyDescent="0.3">
      <c r="A37" s="1">
        <v>45926</v>
      </c>
      <c r="B37" t="s">
        <v>98</v>
      </c>
      <c r="C37" t="s">
        <v>258</v>
      </c>
      <c r="D37" s="11">
        <v>305</v>
      </c>
      <c r="E37" s="11">
        <v>810</v>
      </c>
      <c r="F37" s="11">
        <v>49400</v>
      </c>
      <c r="G37" s="114">
        <f t="shared" si="5"/>
        <v>247050</v>
      </c>
      <c r="H37" s="11"/>
      <c r="I37" s="11">
        <f>(D37*E37)-Table3[[#This Row],[Paid]]</f>
        <v>247050</v>
      </c>
    </row>
    <row r="38" spans="1:12" x14ac:dyDescent="0.3">
      <c r="A38" s="1">
        <v>45927</v>
      </c>
      <c r="B38" t="s">
        <v>98</v>
      </c>
      <c r="C38" t="s">
        <v>270</v>
      </c>
      <c r="D38" s="11">
        <v>50</v>
      </c>
      <c r="E38" s="11">
        <v>765</v>
      </c>
      <c r="F38" s="11">
        <v>33500</v>
      </c>
      <c r="G38" s="114">
        <f t="shared" si="5"/>
        <v>38250</v>
      </c>
      <c r="H38" s="11">
        <f>SUMIFS(Table14[Debit], Table14[Date], Table3[[#This Row],[Date]], Table14[Party], Table3[[#This Row],[Party Name]])</f>
        <v>334500</v>
      </c>
      <c r="I38" s="11">
        <f>(D38*E38)-Table3[[#This Row],[Paid]]</f>
        <v>-296250</v>
      </c>
    </row>
    <row r="39" spans="1:12" x14ac:dyDescent="0.3">
      <c r="A39" s="1">
        <v>45927</v>
      </c>
      <c r="B39" t="s">
        <v>98</v>
      </c>
      <c r="C39" t="s">
        <v>270</v>
      </c>
      <c r="D39" s="11">
        <v>147</v>
      </c>
      <c r="E39" s="11">
        <v>810</v>
      </c>
      <c r="F39" s="11"/>
      <c r="G39" s="114">
        <f t="shared" si="5"/>
        <v>119070</v>
      </c>
      <c r="H39" s="11"/>
      <c r="I39" s="11">
        <f>(D39*E39)-Table3[[#This Row],[Paid]]</f>
        <v>119070</v>
      </c>
    </row>
    <row r="40" spans="1:12" x14ac:dyDescent="0.3">
      <c r="A40" s="1">
        <v>45928</v>
      </c>
      <c r="B40" t="s">
        <v>98</v>
      </c>
      <c r="C40" t="s">
        <v>275</v>
      </c>
      <c r="D40" s="11">
        <v>263</v>
      </c>
      <c r="E40" s="107">
        <v>810</v>
      </c>
      <c r="F40" s="11">
        <v>27300</v>
      </c>
      <c r="G40" s="114">
        <f t="shared" si="5"/>
        <v>213030</v>
      </c>
      <c r="H40" s="11">
        <f>SUMIFS(Table14[Debit], Table14[Date], Table3[[#This Row],[Date]], Table14[Party], Table3[[#This Row],[Party Name]])</f>
        <v>67300</v>
      </c>
      <c r="I40" s="11">
        <f>(D40*E40)-Table3[[#This Row],[Paid]]</f>
        <v>145730</v>
      </c>
    </row>
    <row r="41" spans="1:12" x14ac:dyDescent="0.3">
      <c r="A41" s="1">
        <v>45928</v>
      </c>
      <c r="B41" t="s">
        <v>98</v>
      </c>
      <c r="C41" t="s">
        <v>276</v>
      </c>
      <c r="D41" s="11">
        <v>241</v>
      </c>
      <c r="E41" s="11">
        <v>810</v>
      </c>
      <c r="F41" s="11">
        <v>40000</v>
      </c>
      <c r="G41" s="114">
        <f t="shared" si="5"/>
        <v>195210</v>
      </c>
      <c r="H41" s="11"/>
      <c r="I41" s="11">
        <f>(D41*E41)-Table3[[#This Row],[Paid]]</f>
        <v>195210</v>
      </c>
      <c r="L41" s="14"/>
    </row>
    <row r="42" spans="1:12" hidden="1" x14ac:dyDescent="0.3">
      <c r="A42" s="1">
        <v>45928</v>
      </c>
      <c r="B42" t="s">
        <v>159</v>
      </c>
      <c r="D42" s="11">
        <v>35</v>
      </c>
      <c r="E42" s="11">
        <v>580</v>
      </c>
      <c r="F42" s="11"/>
      <c r="G42" s="11">
        <f t="shared" ref="G42:G46" si="6">D42*E42</f>
        <v>20300</v>
      </c>
      <c r="H42" s="11"/>
      <c r="I42" s="11">
        <f>(D42*E42)-Table3[[#This Row],[Paid]]</f>
        <v>20300</v>
      </c>
      <c r="L42" s="14">
        <f>I2-Table3[[#Totals],[balance]]</f>
        <v>400386</v>
      </c>
    </row>
    <row r="43" spans="1:12" hidden="1" x14ac:dyDescent="0.3">
      <c r="A43" s="1">
        <v>45928</v>
      </c>
      <c r="B43" t="s">
        <v>159</v>
      </c>
      <c r="D43" s="11">
        <v>42</v>
      </c>
      <c r="E43" s="11">
        <v>580</v>
      </c>
      <c r="F43" s="11"/>
      <c r="G43" s="11">
        <f t="shared" si="6"/>
        <v>24360</v>
      </c>
      <c r="H43" s="11"/>
      <c r="I43" s="11">
        <f>(D43*E43)-Table3[[#This Row],[Paid]]</f>
        <v>24360</v>
      </c>
    </row>
    <row r="44" spans="1:12" hidden="1" x14ac:dyDescent="0.3">
      <c r="A44" s="1">
        <v>45928</v>
      </c>
      <c r="B44" t="s">
        <v>159</v>
      </c>
      <c r="D44" s="11">
        <v>173</v>
      </c>
      <c r="E44" s="11">
        <v>580</v>
      </c>
      <c r="F44" s="11"/>
      <c r="G44" s="11">
        <f t="shared" si="6"/>
        <v>100340</v>
      </c>
      <c r="H44" s="11"/>
      <c r="I44" s="11">
        <f>(D44*E44)-Table3[[#This Row],[Paid]]</f>
        <v>100340</v>
      </c>
    </row>
    <row r="45" spans="1:12" hidden="1" x14ac:dyDescent="0.3">
      <c r="A45" s="1">
        <v>45928</v>
      </c>
      <c r="B45" t="s">
        <v>159</v>
      </c>
      <c r="D45" s="11">
        <v>49</v>
      </c>
      <c r="E45" s="11">
        <v>580</v>
      </c>
      <c r="F45" s="11"/>
      <c r="G45" s="11">
        <f t="shared" si="6"/>
        <v>28420</v>
      </c>
      <c r="H45" s="11"/>
      <c r="I45" s="11">
        <f>(D45*E45)-Table3[[#This Row],[Paid]]</f>
        <v>28420</v>
      </c>
    </row>
    <row r="46" spans="1:12" x14ac:dyDescent="0.3">
      <c r="A46" s="1">
        <v>45929</v>
      </c>
      <c r="B46" t="s">
        <v>98</v>
      </c>
      <c r="C46" t="s">
        <v>282</v>
      </c>
      <c r="D46" s="11">
        <v>205</v>
      </c>
      <c r="E46" s="11">
        <v>765</v>
      </c>
      <c r="F46" s="11">
        <v>34700</v>
      </c>
      <c r="G46" s="11">
        <f t="shared" si="6"/>
        <v>156825</v>
      </c>
      <c r="H46" s="11">
        <f>SUMIFS(Table14[Debit], Table14[Date], Table3[[#This Row],[Date]], Table14[Party], Table3[[#This Row],[Party Name]])</f>
        <v>342702</v>
      </c>
      <c r="I46" s="11">
        <f>(D46*E46)-Table3[[#This Row],[Paid]]</f>
        <v>-185877</v>
      </c>
    </row>
    <row r="47" spans="1:12" x14ac:dyDescent="0.3">
      <c r="A47" s="1">
        <v>45930</v>
      </c>
      <c r="B47" t="s">
        <v>98</v>
      </c>
      <c r="C47" t="s">
        <v>293</v>
      </c>
      <c r="D47" s="11">
        <v>252</v>
      </c>
      <c r="E47" s="11">
        <v>810</v>
      </c>
      <c r="F47" s="11">
        <v>41060</v>
      </c>
      <c r="G47" s="11">
        <f>D47*E47</f>
        <v>204120</v>
      </c>
      <c r="H47" s="11">
        <f>SUMIFS(Table14[Debit], Table14[Date], Table3[[#This Row],[Date]], Table14[Party], Table3[[#This Row],[Party Name]])</f>
        <v>341390</v>
      </c>
      <c r="I47" s="11">
        <f>(D47*E47)-Table3[[#This Row],[Paid]]</f>
        <v>-137270</v>
      </c>
    </row>
    <row r="48" spans="1:12" x14ac:dyDescent="0.3">
      <c r="A48" s="1">
        <v>45931</v>
      </c>
      <c r="B48" t="s">
        <v>98</v>
      </c>
      <c r="C48" t="s">
        <v>300</v>
      </c>
      <c r="D48" s="11">
        <v>295</v>
      </c>
      <c r="E48" s="11">
        <v>765</v>
      </c>
      <c r="F48" s="11">
        <v>40000</v>
      </c>
      <c r="G48" s="11">
        <f>D48*E48</f>
        <v>225675</v>
      </c>
      <c r="H48" s="11">
        <f>SUMIFS(Table14[Debit], Table14[Date], Table3[[#This Row],[Date]], Table14[Party], Table3[[#This Row],[Party Name]])</f>
        <v>402560</v>
      </c>
      <c r="I48" s="11">
        <f>(D48*E48)-Table3[[#This Row],[Paid]]</f>
        <v>-176885</v>
      </c>
    </row>
    <row r="49" spans="1:9" x14ac:dyDescent="0.3">
      <c r="A49" s="1">
        <v>45931</v>
      </c>
      <c r="B49" t="s">
        <v>98</v>
      </c>
      <c r="C49" t="s">
        <v>301</v>
      </c>
      <c r="D49" s="11">
        <v>376</v>
      </c>
      <c r="E49" s="11">
        <v>810</v>
      </c>
      <c r="F49" s="11">
        <v>62410</v>
      </c>
      <c r="G49" s="11">
        <f>D49*E49</f>
        <v>304560</v>
      </c>
      <c r="H49" s="11"/>
      <c r="I49" s="11">
        <f>(D49*E49)-Table3[[#This Row],[Paid]]</f>
        <v>304560</v>
      </c>
    </row>
    <row r="50" spans="1:9" x14ac:dyDescent="0.3">
      <c r="A50" s="1">
        <v>45932</v>
      </c>
      <c r="B50" t="s">
        <v>98</v>
      </c>
      <c r="C50" t="s">
        <v>309</v>
      </c>
      <c r="D50" s="11">
        <v>244</v>
      </c>
      <c r="E50" s="11">
        <v>810</v>
      </c>
      <c r="F50" s="11">
        <v>39200</v>
      </c>
      <c r="G50" s="11">
        <f t="shared" ref="G50:G59" si="7">D50*E50</f>
        <v>197640</v>
      </c>
      <c r="H50" s="11">
        <f>SUMIFS(Table14[Debit], Table14[Date], Table3[[#This Row],[Date]], Table14[Party], Table3[[#This Row],[Party Name]])</f>
        <v>384740</v>
      </c>
      <c r="I50" s="11">
        <f>(D50*E50)-Table3[[#This Row],[Paid]]</f>
        <v>-187100</v>
      </c>
    </row>
    <row r="51" spans="1:9" x14ac:dyDescent="0.3">
      <c r="A51" s="1">
        <v>45932</v>
      </c>
      <c r="B51" t="s">
        <v>98</v>
      </c>
      <c r="C51" t="s">
        <v>308</v>
      </c>
      <c r="D51" s="11">
        <v>275</v>
      </c>
      <c r="E51" s="11">
        <v>810</v>
      </c>
      <c r="F51" s="11">
        <v>44420</v>
      </c>
      <c r="G51" s="11">
        <f t="shared" si="7"/>
        <v>222750</v>
      </c>
      <c r="H51" s="11"/>
      <c r="I51" s="11">
        <f>(D51*E51)-Table3[[#This Row],[Paid]]</f>
        <v>222750</v>
      </c>
    </row>
    <row r="52" spans="1:9" hidden="1" x14ac:dyDescent="0.3">
      <c r="A52" s="1">
        <v>45930</v>
      </c>
      <c r="B52" t="s">
        <v>159</v>
      </c>
      <c r="D52" s="11">
        <v>41</v>
      </c>
      <c r="E52" s="11">
        <v>580</v>
      </c>
      <c r="F52" s="11"/>
      <c r="G52" s="11">
        <f t="shared" si="7"/>
        <v>23780</v>
      </c>
      <c r="H52" s="11"/>
      <c r="I52" s="11">
        <f>(D52*E52)-Table3[[#This Row],[Paid]]</f>
        <v>23780</v>
      </c>
    </row>
    <row r="53" spans="1:9" hidden="1" x14ac:dyDescent="0.3">
      <c r="A53" s="1">
        <v>45930</v>
      </c>
      <c r="B53" t="s">
        <v>317</v>
      </c>
      <c r="C53">
        <v>3414</v>
      </c>
      <c r="D53" s="11">
        <v>285</v>
      </c>
      <c r="E53" s="11">
        <v>775</v>
      </c>
      <c r="F53" s="11"/>
      <c r="G53" s="11">
        <f t="shared" si="7"/>
        <v>220875</v>
      </c>
      <c r="H53" s="11"/>
      <c r="I53" s="11">
        <f>(D53*E53)-Table3[[#This Row],[Paid]]</f>
        <v>220875</v>
      </c>
    </row>
    <row r="54" spans="1:9" hidden="1" x14ac:dyDescent="0.3">
      <c r="A54" s="1">
        <v>45932</v>
      </c>
      <c r="B54" t="s">
        <v>159</v>
      </c>
      <c r="D54" s="11"/>
      <c r="E54" s="11"/>
      <c r="F54" s="11"/>
      <c r="G54" s="11">
        <f t="shared" si="7"/>
        <v>0</v>
      </c>
      <c r="H54" s="11">
        <f>SUMIFS(Table14[Debit], Table14[Date], Table3[[#This Row],[Date]], Table14[Party], Table3[[#This Row],[Party Name]])</f>
        <v>125000</v>
      </c>
      <c r="I54" s="11">
        <f>(D54*E54)-Table3[[#This Row],[Paid]]</f>
        <v>-125000</v>
      </c>
    </row>
    <row r="55" spans="1:9" x14ac:dyDescent="0.3">
      <c r="A55" s="1">
        <v>45933</v>
      </c>
      <c r="B55" t="s">
        <v>98</v>
      </c>
      <c r="C55" t="s">
        <v>320</v>
      </c>
      <c r="D55" s="11">
        <v>210</v>
      </c>
      <c r="E55" s="11">
        <v>810</v>
      </c>
      <c r="F55" s="11">
        <v>34500</v>
      </c>
      <c r="G55" s="11">
        <f t="shared" si="7"/>
        <v>170100</v>
      </c>
      <c r="H55" s="11">
        <f>SUMIFS(Table14[Debit], Table14[Date], Table3[[#This Row],[Date]], Table14[Party], Table3[[#This Row],[Party Name]])</f>
        <v>429370</v>
      </c>
      <c r="I55" s="11">
        <f>(D55*E55)-Table3[[#This Row],[Paid]]</f>
        <v>-259270</v>
      </c>
    </row>
    <row r="56" spans="1:9" x14ac:dyDescent="0.3">
      <c r="A56" s="1">
        <v>45933</v>
      </c>
      <c r="B56" t="s">
        <v>98</v>
      </c>
      <c r="C56" t="s">
        <v>319</v>
      </c>
      <c r="D56" s="11">
        <v>443</v>
      </c>
      <c r="E56" s="11">
        <v>810</v>
      </c>
      <c r="F56" s="11">
        <v>92470</v>
      </c>
      <c r="G56" s="11">
        <f t="shared" si="7"/>
        <v>358830</v>
      </c>
      <c r="H56" s="11"/>
      <c r="I56" s="11">
        <f>(D56*E56)-Table3[[#This Row],[Paid]]</f>
        <v>358830</v>
      </c>
    </row>
    <row r="57" spans="1:9" x14ac:dyDescent="0.3">
      <c r="A57" s="1">
        <v>45934</v>
      </c>
      <c r="B57" t="s">
        <v>98</v>
      </c>
      <c r="C57" t="s">
        <v>336</v>
      </c>
      <c r="D57" s="11">
        <v>248</v>
      </c>
      <c r="E57" s="11">
        <v>810</v>
      </c>
      <c r="F57" s="11">
        <v>41720</v>
      </c>
      <c r="G57" s="11">
        <f t="shared" si="7"/>
        <v>200880</v>
      </c>
      <c r="H57" s="11">
        <f>SUMIFS(Table14[Debit], Table14[Date], Table3[[#This Row],[Date]], Table14[Party], Table3[[#This Row],[Party Name]])</f>
        <v>41720</v>
      </c>
      <c r="I57" s="11">
        <f>(D57*E57)-Table3[[#This Row],[Paid]]</f>
        <v>159160</v>
      </c>
    </row>
    <row r="58" spans="1:9" hidden="1" x14ac:dyDescent="0.3">
      <c r="A58" s="1">
        <v>45934</v>
      </c>
      <c r="B58" t="s">
        <v>317</v>
      </c>
      <c r="C58" t="s">
        <v>355</v>
      </c>
      <c r="D58" s="11">
        <v>256</v>
      </c>
      <c r="E58" s="11">
        <v>775</v>
      </c>
      <c r="F58" s="11"/>
      <c r="G58" s="11">
        <f>D58*E58</f>
        <v>198400</v>
      </c>
      <c r="H58" s="11"/>
      <c r="I58" s="11">
        <f>(D58*E58)-Table3[[#This Row],[Paid]]</f>
        <v>198400</v>
      </c>
    </row>
    <row r="59" spans="1:9" x14ac:dyDescent="0.3">
      <c r="A59" s="1">
        <v>45935</v>
      </c>
      <c r="B59" t="s">
        <v>98</v>
      </c>
      <c r="D59" s="11"/>
      <c r="E59" s="11"/>
      <c r="F59" s="11"/>
      <c r="G59" s="11">
        <f t="shared" si="7"/>
        <v>0</v>
      </c>
      <c r="H59" s="11">
        <f>SUMIFS(Table14[Debit], Table14[Date], Table3[[#This Row],[Date]], Table14[Party], Table3[[#This Row],[Party Name]])</f>
        <v>300900</v>
      </c>
      <c r="I59" s="11">
        <f>(D59*E59)-Table3[[#This Row],[Paid]]</f>
        <v>-300900</v>
      </c>
    </row>
    <row r="60" spans="1:9" hidden="1" x14ac:dyDescent="0.3">
      <c r="A60" s="1">
        <v>45936</v>
      </c>
      <c r="B60" t="s">
        <v>317</v>
      </c>
      <c r="D60" s="11"/>
      <c r="E60" s="11"/>
      <c r="F60" s="11"/>
      <c r="G60" s="11">
        <f>D60*E60</f>
        <v>0</v>
      </c>
      <c r="H60" s="11">
        <f>SUMIFS(Table14[Debit], Table14[Date], Table3[[#This Row],[Date]], Table14[Party], Table3[[#This Row],[Party Name]])</f>
        <v>219875</v>
      </c>
      <c r="I60" s="11">
        <f>(D60*E60)-Table3[[#This Row],[Paid]]</f>
        <v>-219875</v>
      </c>
    </row>
    <row r="61" spans="1:9" x14ac:dyDescent="0.3">
      <c r="A61" s="1">
        <v>45936</v>
      </c>
      <c r="B61" t="s">
        <v>98</v>
      </c>
      <c r="C61" t="s">
        <v>347</v>
      </c>
      <c r="D61" s="11">
        <v>292</v>
      </c>
      <c r="E61" s="11">
        <v>765</v>
      </c>
      <c r="F61" s="11">
        <v>30868</v>
      </c>
      <c r="G61" s="11">
        <f>D61*E61</f>
        <v>223380</v>
      </c>
      <c r="H61" s="11">
        <f>SUMIFS(Table14[Debit], Table14[Date], Table3[[#This Row],[Date]], Table14[Party], Table3[[#This Row],[Party Name]])</f>
        <v>141518</v>
      </c>
      <c r="I61" s="11">
        <f>(D61*E61)-Table3[[#This Row],[Paid]]</f>
        <v>81862</v>
      </c>
    </row>
    <row r="62" spans="1:9" x14ac:dyDescent="0.3">
      <c r="A62" s="1">
        <v>45936</v>
      </c>
      <c r="B62" t="s">
        <v>98</v>
      </c>
      <c r="C62" t="s">
        <v>348</v>
      </c>
      <c r="D62" s="11">
        <v>439</v>
      </c>
      <c r="E62" s="11">
        <v>810</v>
      </c>
      <c r="F62" s="11">
        <v>68150</v>
      </c>
      <c r="G62" s="11">
        <f t="shared" ref="G62:G65" si="8">D62*E62</f>
        <v>355590</v>
      </c>
      <c r="H62" s="11"/>
      <c r="I62" s="11">
        <f>(D62*E62)-Table3[[#This Row],[Paid]]</f>
        <v>355590</v>
      </c>
    </row>
    <row r="63" spans="1:9" x14ac:dyDescent="0.3">
      <c r="A63" s="1">
        <v>45936</v>
      </c>
      <c r="B63" t="s">
        <v>98</v>
      </c>
      <c r="C63" t="s">
        <v>345</v>
      </c>
      <c r="D63" s="11">
        <v>261</v>
      </c>
      <c r="E63" s="11">
        <v>810</v>
      </c>
      <c r="F63" s="11">
        <v>42500</v>
      </c>
      <c r="G63" s="11">
        <f t="shared" si="8"/>
        <v>211410</v>
      </c>
      <c r="H63" s="11"/>
      <c r="I63" s="11">
        <f>(D63*E63)-Table3[[#This Row],[Paid]]</f>
        <v>211410</v>
      </c>
    </row>
    <row r="64" spans="1:9" x14ac:dyDescent="0.3">
      <c r="A64" s="1">
        <v>45937</v>
      </c>
      <c r="B64" t="s">
        <v>98</v>
      </c>
      <c r="D64" s="11"/>
      <c r="E64" s="11"/>
      <c r="F64" s="11"/>
      <c r="G64" s="11">
        <f t="shared" si="8"/>
        <v>0</v>
      </c>
      <c r="H64" s="11">
        <f>SUMIFS(Table14[Debit], Table14[Date], Table3[[#This Row],[Date]], Table14[Party], Table3[[#This Row],[Party Name]])</f>
        <v>452300</v>
      </c>
      <c r="I64" s="11">
        <f>(D64*E64)-Table3[[#This Row],[Paid]]</f>
        <v>-452300</v>
      </c>
    </row>
    <row r="65" spans="1:9" hidden="1" x14ac:dyDescent="0.3">
      <c r="A65" s="1">
        <v>45938</v>
      </c>
      <c r="B65" t="s">
        <v>363</v>
      </c>
      <c r="C65" t="s">
        <v>376</v>
      </c>
      <c r="D65" s="11">
        <v>336</v>
      </c>
      <c r="E65" s="11">
        <v>765</v>
      </c>
      <c r="F65" s="11"/>
      <c r="G65" s="11">
        <f t="shared" si="8"/>
        <v>257040</v>
      </c>
      <c r="H65" s="11">
        <f>SUMIFS(Table14[Debit], Table14[Date], Table3[[#This Row],[Date]], Table14[Party], Table3[[#This Row],[Party Name]])</f>
        <v>256040</v>
      </c>
      <c r="I65" s="11">
        <f>(D65*E65)-Table3[[#This Row],[Paid]]</f>
        <v>1000</v>
      </c>
    </row>
    <row r="66" spans="1:9" hidden="1" x14ac:dyDescent="0.3">
      <c r="A66" s="1">
        <v>45938</v>
      </c>
      <c r="B66" t="s">
        <v>317</v>
      </c>
      <c r="C66" t="s">
        <v>377</v>
      </c>
      <c r="D66" s="11">
        <v>269</v>
      </c>
      <c r="E66" s="11">
        <v>775</v>
      </c>
      <c r="F66" s="11"/>
      <c r="G66" s="11">
        <f t="shared" ref="G66:G67" si="9">D66*E66</f>
        <v>208475</v>
      </c>
      <c r="H66" s="11">
        <f>SUMIFS(Table14[Debit], Table14[Date], Table3[[#This Row],[Date]], Table14[Party], Table3[[#This Row],[Party Name]])</f>
        <v>0</v>
      </c>
      <c r="I66" s="11">
        <f>(D66*E66)-Table3[[#This Row],[Paid]]</f>
        <v>208475</v>
      </c>
    </row>
    <row r="67" spans="1:9" hidden="1" x14ac:dyDescent="0.3">
      <c r="A67" s="1">
        <v>45938</v>
      </c>
      <c r="B67" t="s">
        <v>371</v>
      </c>
      <c r="C67" t="s">
        <v>378</v>
      </c>
      <c r="D67" s="11"/>
      <c r="E67" s="11"/>
      <c r="F67" s="11"/>
      <c r="G67" s="11">
        <f t="shared" si="9"/>
        <v>0</v>
      </c>
      <c r="H67" s="11">
        <f>SUMIFS(Table14[Debit], Table14[Date], Table3[[#This Row],[Date]], Table14[Party], Table3[[#This Row],[Party Name]])</f>
        <v>50000</v>
      </c>
      <c r="I67" s="11">
        <f>(D67*E67)-Table3[[#This Row],[Paid]]</f>
        <v>-50000</v>
      </c>
    </row>
    <row r="68" spans="1:9" x14ac:dyDescent="0.3">
      <c r="A68" s="1">
        <v>45938</v>
      </c>
      <c r="B68" t="s">
        <v>98</v>
      </c>
      <c r="D68" s="11"/>
      <c r="E68" s="11"/>
      <c r="F68" s="11"/>
      <c r="G68" s="11">
        <f t="shared" ref="G68:G69" si="10">D68*E68</f>
        <v>0</v>
      </c>
      <c r="H68" s="11">
        <f>SUMIFS(Table14[Debit], Table14[Date], Table3[[#This Row],[Date]], Table14[Party], Table3[[#This Row],[Party Name]])</f>
        <v>303003</v>
      </c>
      <c r="I68" s="11">
        <f>(D68*E68)-Table3[[#This Row],[Paid]]</f>
        <v>-303003</v>
      </c>
    </row>
    <row r="69" spans="1:9" x14ac:dyDescent="0.3">
      <c r="A69" s="1">
        <v>45940</v>
      </c>
      <c r="B69" t="s">
        <v>98</v>
      </c>
      <c r="D69" s="11"/>
      <c r="E69" s="11"/>
      <c r="F69" s="11"/>
      <c r="G69" s="11">
        <f t="shared" si="10"/>
        <v>0</v>
      </c>
      <c r="H69" s="11">
        <f>SUMIFS(Table14[Debit], Table14[Date], Table3[[#This Row],[Date]], Table14[Party], Table3[[#This Row],[Party Name]])</f>
        <v>201255</v>
      </c>
      <c r="I69" s="11">
        <f>(D69*E69)-Table3[[#This Row],[Paid]]</f>
        <v>-201255</v>
      </c>
    </row>
    <row r="70" spans="1:9" x14ac:dyDescent="0.3">
      <c r="A70" s="1">
        <v>45942</v>
      </c>
      <c r="B70" t="s">
        <v>98</v>
      </c>
      <c r="C70" t="s">
        <v>238</v>
      </c>
      <c r="D70" s="11">
        <v>260</v>
      </c>
      <c r="E70" s="11">
        <v>810</v>
      </c>
      <c r="F70" s="11">
        <v>43600</v>
      </c>
      <c r="G70" s="11">
        <f>D70*E70</f>
        <v>210600</v>
      </c>
      <c r="H70" s="11">
        <f>SUMIFS(Table14[Debit], Table14[Date], Table3[[#This Row],[Date]], Table14[Party], Table3[[#This Row],[Party Name]])</f>
        <v>43600</v>
      </c>
      <c r="I70" s="11">
        <f>(D70*E70)-Table3[[#This Row],[Paid]]</f>
        <v>167000</v>
      </c>
    </row>
    <row r="71" spans="1:9" x14ac:dyDescent="0.3">
      <c r="A71" s="1" t="s">
        <v>102</v>
      </c>
      <c r="D71" s="14"/>
      <c r="E71" s="14"/>
      <c r="F71" s="14"/>
      <c r="G71" s="14">
        <f>SUBTOTAL(109,Table3[Total])</f>
        <v>5966145</v>
      </c>
      <c r="H71" s="14">
        <f>SUBTOTAL(109,Table3[Paid])</f>
        <v>6366531</v>
      </c>
      <c r="I71" s="14">
        <f>SUBTOTAL(109,Table3[balance])</f>
        <v>2047761</v>
      </c>
    </row>
    <row r="87" spans="5:9" x14ac:dyDescent="0.3">
      <c r="E87" s="3" t="s">
        <v>2</v>
      </c>
      <c r="F87" t="s">
        <v>89</v>
      </c>
    </row>
    <row r="89" spans="5:9" x14ac:dyDescent="0.3">
      <c r="E89" s="3" t="s">
        <v>103</v>
      </c>
      <c r="F89" t="s">
        <v>104</v>
      </c>
      <c r="G89" t="s">
        <v>105</v>
      </c>
      <c r="H89" t="s">
        <v>106</v>
      </c>
      <c r="I89" t="s">
        <v>107</v>
      </c>
    </row>
    <row r="90" spans="5:9" x14ac:dyDescent="0.3">
      <c r="E90" s="27">
        <v>45916</v>
      </c>
      <c r="F90" s="14">
        <v>579</v>
      </c>
      <c r="G90" s="14">
        <v>448190</v>
      </c>
      <c r="H90" s="14">
        <v>361826</v>
      </c>
      <c r="I90" s="14">
        <v>2641241</v>
      </c>
    </row>
    <row r="91" spans="5:9" x14ac:dyDescent="0.3">
      <c r="E91" s="49" t="s">
        <v>108</v>
      </c>
      <c r="F91" s="14">
        <v>80</v>
      </c>
      <c r="G91" s="14">
        <v>44000</v>
      </c>
      <c r="H91" s="14">
        <v>0</v>
      </c>
      <c r="I91" s="14">
        <v>44000</v>
      </c>
    </row>
    <row r="92" spans="5:9" x14ac:dyDescent="0.3">
      <c r="E92" s="49" t="s">
        <v>99</v>
      </c>
      <c r="F92" s="14"/>
      <c r="G92" s="14">
        <v>0</v>
      </c>
      <c r="H92" s="14">
        <v>0</v>
      </c>
      <c r="I92" s="14">
        <v>2554877</v>
      </c>
    </row>
    <row r="93" spans="5:9" x14ac:dyDescent="0.3">
      <c r="E93" s="49" t="s">
        <v>360</v>
      </c>
      <c r="F93" s="14">
        <v>237</v>
      </c>
      <c r="G93" s="14">
        <v>191970</v>
      </c>
      <c r="H93" s="14">
        <v>361826</v>
      </c>
      <c r="I93" s="14">
        <v>-169856</v>
      </c>
    </row>
    <row r="94" spans="5:9" x14ac:dyDescent="0.3">
      <c r="E94" s="49" t="s">
        <v>170</v>
      </c>
      <c r="F94" s="14">
        <v>262</v>
      </c>
      <c r="G94" s="14">
        <v>212220</v>
      </c>
      <c r="H94" s="14"/>
      <c r="I94" s="14">
        <v>212220</v>
      </c>
    </row>
    <row r="95" spans="5:9" x14ac:dyDescent="0.3">
      <c r="E95" s="27">
        <v>45917</v>
      </c>
      <c r="F95" s="14">
        <v>261</v>
      </c>
      <c r="G95" s="14">
        <v>143550</v>
      </c>
      <c r="H95" s="14">
        <v>120000</v>
      </c>
      <c r="I95" s="14">
        <v>23550</v>
      </c>
    </row>
    <row r="96" spans="5:9" x14ac:dyDescent="0.3">
      <c r="E96" s="49" t="s">
        <v>108</v>
      </c>
      <c r="F96" s="14">
        <v>261</v>
      </c>
      <c r="G96" s="14">
        <v>143550</v>
      </c>
      <c r="H96" s="14">
        <v>120000</v>
      </c>
      <c r="I96" s="14">
        <v>23550</v>
      </c>
    </row>
    <row r="97" spans="5:9" x14ac:dyDescent="0.3">
      <c r="E97" s="27">
        <v>45918</v>
      </c>
      <c r="F97" s="14">
        <v>291</v>
      </c>
      <c r="G97" s="14">
        <v>227390</v>
      </c>
      <c r="H97" s="14">
        <v>361760</v>
      </c>
      <c r="I97" s="14">
        <v>-134370</v>
      </c>
    </row>
    <row r="98" spans="5:9" x14ac:dyDescent="0.3">
      <c r="E98" s="49" t="s">
        <v>108</v>
      </c>
      <c r="F98" s="14">
        <v>32</v>
      </c>
      <c r="G98" s="14">
        <v>17600</v>
      </c>
      <c r="H98" s="14">
        <v>120000</v>
      </c>
      <c r="I98" s="14">
        <v>-102400</v>
      </c>
    </row>
    <row r="99" spans="5:9" x14ac:dyDescent="0.3">
      <c r="E99" s="49" t="s">
        <v>192</v>
      </c>
      <c r="F99" s="14">
        <v>259</v>
      </c>
      <c r="G99" s="14">
        <v>209790</v>
      </c>
      <c r="H99" s="14">
        <v>241760</v>
      </c>
      <c r="I99" s="14">
        <v>-31970</v>
      </c>
    </row>
    <row r="100" spans="5:9" x14ac:dyDescent="0.3">
      <c r="E100" s="27">
        <v>45919</v>
      </c>
      <c r="F100" s="14">
        <v>206</v>
      </c>
      <c r="G100" s="14">
        <v>165285</v>
      </c>
      <c r="H100" s="14">
        <v>234300</v>
      </c>
      <c r="I100" s="14">
        <v>-69015</v>
      </c>
    </row>
    <row r="101" spans="5:9" x14ac:dyDescent="0.3">
      <c r="E101" s="49" t="s">
        <v>361</v>
      </c>
      <c r="F101" s="14">
        <v>206</v>
      </c>
      <c r="G101" s="14">
        <v>165285</v>
      </c>
      <c r="H101" s="14">
        <v>234300</v>
      </c>
      <c r="I101" s="14">
        <v>-69015</v>
      </c>
    </row>
    <row r="102" spans="5:9" x14ac:dyDescent="0.3">
      <c r="E102" s="27">
        <v>45920</v>
      </c>
      <c r="F102" s="14">
        <v>633</v>
      </c>
      <c r="G102" s="14">
        <v>477975</v>
      </c>
      <c r="H102" s="14">
        <v>223385</v>
      </c>
      <c r="I102" s="14">
        <v>254590</v>
      </c>
    </row>
    <row r="103" spans="5:9" x14ac:dyDescent="0.3">
      <c r="E103" s="49" t="s">
        <v>108</v>
      </c>
      <c r="F103" s="14">
        <v>84</v>
      </c>
      <c r="G103" s="14">
        <v>46200</v>
      </c>
      <c r="H103" s="14">
        <v>0</v>
      </c>
      <c r="I103" s="14">
        <v>46200</v>
      </c>
    </row>
    <row r="104" spans="5:9" x14ac:dyDescent="0.3">
      <c r="E104" s="49" t="s">
        <v>208</v>
      </c>
      <c r="F104" s="14">
        <v>262</v>
      </c>
      <c r="G104" s="14">
        <v>212220</v>
      </c>
      <c r="H104" s="14">
        <v>223385</v>
      </c>
      <c r="I104" s="14">
        <v>-11165</v>
      </c>
    </row>
    <row r="105" spans="5:9" x14ac:dyDescent="0.3">
      <c r="E105" s="49" t="s">
        <v>210</v>
      </c>
      <c r="F105" s="14">
        <v>287</v>
      </c>
      <c r="G105" s="14">
        <v>219555</v>
      </c>
      <c r="H105" s="14"/>
      <c r="I105" s="14">
        <v>219555</v>
      </c>
    </row>
    <row r="106" spans="5:9" x14ac:dyDescent="0.3">
      <c r="E106" s="27">
        <v>45921</v>
      </c>
      <c r="F106" s="14">
        <v>298</v>
      </c>
      <c r="G106" s="14">
        <v>216425</v>
      </c>
      <c r="H106" s="14">
        <v>36000</v>
      </c>
      <c r="I106" s="14">
        <v>180425</v>
      </c>
    </row>
    <row r="107" spans="5:9" x14ac:dyDescent="0.3">
      <c r="E107" s="49" t="s">
        <v>108</v>
      </c>
      <c r="F107" s="14">
        <v>83</v>
      </c>
      <c r="G107" s="14">
        <v>45650</v>
      </c>
      <c r="H107" s="14">
        <v>0</v>
      </c>
      <c r="I107" s="14">
        <v>45650</v>
      </c>
    </row>
    <row r="108" spans="5:9" x14ac:dyDescent="0.3">
      <c r="E108" s="49" t="s">
        <v>218</v>
      </c>
      <c r="F108" s="14">
        <v>215</v>
      </c>
      <c r="G108" s="14">
        <v>170775</v>
      </c>
      <c r="H108" s="14">
        <v>36000</v>
      </c>
      <c r="I108" s="14">
        <v>134775</v>
      </c>
    </row>
    <row r="109" spans="5:9" x14ac:dyDescent="0.3">
      <c r="E109" s="27">
        <v>45922</v>
      </c>
      <c r="F109" s="14">
        <v>217</v>
      </c>
      <c r="G109" s="14">
        <v>175770</v>
      </c>
      <c r="H109" s="14">
        <v>399402</v>
      </c>
      <c r="I109" s="14">
        <v>-223632</v>
      </c>
    </row>
    <row r="110" spans="5:9" x14ac:dyDescent="0.3">
      <c r="E110" s="49" t="s">
        <v>108</v>
      </c>
      <c r="F110" s="14"/>
      <c r="G110" s="14">
        <v>0</v>
      </c>
      <c r="H110" s="14">
        <v>150000</v>
      </c>
      <c r="I110" s="14">
        <v>-150000</v>
      </c>
    </row>
    <row r="111" spans="5:9" x14ac:dyDescent="0.3">
      <c r="E111" s="49" t="s">
        <v>222</v>
      </c>
      <c r="F111" s="14">
        <v>217</v>
      </c>
      <c r="G111" s="14">
        <v>175770</v>
      </c>
      <c r="H111" s="14">
        <v>249402</v>
      </c>
      <c r="I111" s="14">
        <v>-73632</v>
      </c>
    </row>
    <row r="112" spans="5:9" x14ac:dyDescent="0.3">
      <c r="E112" s="27">
        <v>45923</v>
      </c>
      <c r="F112" s="14">
        <v>526</v>
      </c>
      <c r="G112" s="14">
        <v>398160</v>
      </c>
      <c r="H112" s="14">
        <v>362400</v>
      </c>
      <c r="I112" s="14">
        <v>35760</v>
      </c>
    </row>
    <row r="113" spans="5:9" x14ac:dyDescent="0.3">
      <c r="E113" s="49" t="s">
        <v>108</v>
      </c>
      <c r="F113" s="14">
        <v>90</v>
      </c>
      <c r="G113" s="14">
        <v>49500</v>
      </c>
      <c r="H113" s="14">
        <v>0</v>
      </c>
      <c r="I113" s="14">
        <v>49500</v>
      </c>
    </row>
    <row r="114" spans="5:9" x14ac:dyDescent="0.3">
      <c r="E114" s="49" t="s">
        <v>234</v>
      </c>
      <c r="F114" s="14">
        <v>204</v>
      </c>
      <c r="G114" s="14">
        <v>160740</v>
      </c>
      <c r="H114" s="14">
        <v>362400</v>
      </c>
      <c r="I114" s="14">
        <v>-201660</v>
      </c>
    </row>
    <row r="115" spans="5:9" x14ac:dyDescent="0.3">
      <c r="E115" s="49" t="s">
        <v>238</v>
      </c>
      <c r="F115" s="14">
        <v>232</v>
      </c>
      <c r="G115" s="14">
        <v>187920</v>
      </c>
      <c r="H115" s="14"/>
      <c r="I115" s="14">
        <v>187920</v>
      </c>
    </row>
    <row r="116" spans="5:9" x14ac:dyDescent="0.3">
      <c r="E116" s="27">
        <v>45925</v>
      </c>
      <c r="F116" s="14">
        <v>90</v>
      </c>
      <c r="G116" s="14">
        <v>52200</v>
      </c>
      <c r="H116" s="14">
        <v>300010</v>
      </c>
      <c r="I116" s="14">
        <v>-247810</v>
      </c>
    </row>
    <row r="117" spans="5:9" x14ac:dyDescent="0.3">
      <c r="E117" s="49" t="s">
        <v>108</v>
      </c>
      <c r="F117" s="14">
        <v>90</v>
      </c>
      <c r="G117" s="14">
        <v>52200</v>
      </c>
      <c r="H117" s="14">
        <v>300010</v>
      </c>
      <c r="I117" s="14">
        <v>-247810</v>
      </c>
    </row>
    <row r="118" spans="5:9" x14ac:dyDescent="0.3">
      <c r="E118" s="27">
        <v>45926</v>
      </c>
      <c r="F118" s="14">
        <v>558</v>
      </c>
      <c r="G118" s="14">
        <v>451980</v>
      </c>
      <c r="H118" s="14">
        <v>395600</v>
      </c>
      <c r="I118" s="14">
        <v>56380</v>
      </c>
    </row>
    <row r="119" spans="5:9" x14ac:dyDescent="0.3">
      <c r="E119" s="49" t="s">
        <v>362</v>
      </c>
      <c r="F119" s="14">
        <v>253</v>
      </c>
      <c r="G119" s="14">
        <v>204930</v>
      </c>
      <c r="H119" s="14">
        <v>395600</v>
      </c>
      <c r="I119" s="14">
        <v>-190670</v>
      </c>
    </row>
    <row r="120" spans="5:9" x14ac:dyDescent="0.3">
      <c r="E120" s="49" t="s">
        <v>258</v>
      </c>
      <c r="F120" s="14">
        <v>305</v>
      </c>
      <c r="G120" s="14">
        <v>247050</v>
      </c>
      <c r="H120" s="14"/>
      <c r="I120" s="14">
        <v>247050</v>
      </c>
    </row>
    <row r="121" spans="5:9" x14ac:dyDescent="0.3">
      <c r="E121" s="27">
        <v>45927</v>
      </c>
      <c r="F121" s="14">
        <v>197</v>
      </c>
      <c r="G121" s="14">
        <v>157320</v>
      </c>
      <c r="H121" s="14">
        <v>334500</v>
      </c>
      <c r="I121" s="14">
        <v>-177180</v>
      </c>
    </row>
    <row r="122" spans="5:9" x14ac:dyDescent="0.3">
      <c r="E122" s="49" t="s">
        <v>270</v>
      </c>
      <c r="F122" s="14">
        <v>197</v>
      </c>
      <c r="G122" s="14">
        <v>157320</v>
      </c>
      <c r="H122" s="14">
        <v>334500</v>
      </c>
      <c r="I122" s="14">
        <v>-177180</v>
      </c>
    </row>
    <row r="123" spans="5:9" x14ac:dyDescent="0.3">
      <c r="E123" s="27">
        <v>45924</v>
      </c>
      <c r="F123" s="14"/>
      <c r="G123" s="14">
        <v>0</v>
      </c>
      <c r="H123" s="14">
        <v>205000</v>
      </c>
      <c r="I123" s="14">
        <v>-205000</v>
      </c>
    </row>
    <row r="124" spans="5:9" x14ac:dyDescent="0.3">
      <c r="E124" s="49" t="s">
        <v>108</v>
      </c>
      <c r="F124" s="14"/>
      <c r="G124" s="14">
        <v>0</v>
      </c>
      <c r="H124" s="14">
        <v>205000</v>
      </c>
      <c r="I124" s="14">
        <v>-205000</v>
      </c>
    </row>
    <row r="125" spans="5:9" x14ac:dyDescent="0.3">
      <c r="E125" s="27">
        <v>45928</v>
      </c>
      <c r="F125" s="14">
        <v>803</v>
      </c>
      <c r="G125" s="14">
        <v>581660</v>
      </c>
      <c r="H125" s="14">
        <v>67300</v>
      </c>
      <c r="I125" s="14">
        <v>514360</v>
      </c>
    </row>
    <row r="126" spans="5:9" x14ac:dyDescent="0.3">
      <c r="E126" s="49" t="s">
        <v>108</v>
      </c>
      <c r="F126" s="14">
        <v>299</v>
      </c>
      <c r="G126" s="14">
        <v>173420</v>
      </c>
      <c r="H126" s="14"/>
      <c r="I126" s="14">
        <v>173420</v>
      </c>
    </row>
    <row r="127" spans="5:9" x14ac:dyDescent="0.3">
      <c r="E127" s="49" t="s">
        <v>275</v>
      </c>
      <c r="F127" s="14">
        <v>263</v>
      </c>
      <c r="G127" s="14">
        <v>213030</v>
      </c>
      <c r="H127" s="14">
        <v>67300</v>
      </c>
      <c r="I127" s="14">
        <v>145730</v>
      </c>
    </row>
    <row r="128" spans="5:9" x14ac:dyDescent="0.3">
      <c r="E128" s="49" t="s">
        <v>276</v>
      </c>
      <c r="F128" s="14">
        <v>241</v>
      </c>
      <c r="G128" s="14">
        <v>195210</v>
      </c>
      <c r="H128" s="14"/>
      <c r="I128" s="14">
        <v>195210</v>
      </c>
    </row>
    <row r="129" spans="5:9" x14ac:dyDescent="0.3">
      <c r="E129" s="27">
        <v>45929</v>
      </c>
      <c r="F129" s="14">
        <v>205</v>
      </c>
      <c r="G129" s="14">
        <v>156825</v>
      </c>
      <c r="H129" s="14">
        <v>342702</v>
      </c>
      <c r="I129" s="14">
        <v>-185877</v>
      </c>
    </row>
    <row r="130" spans="5:9" x14ac:dyDescent="0.3">
      <c r="E130" s="49" t="s">
        <v>282</v>
      </c>
      <c r="F130" s="14">
        <v>205</v>
      </c>
      <c r="G130" s="14">
        <v>156825</v>
      </c>
      <c r="H130" s="14">
        <v>342702</v>
      </c>
      <c r="I130" s="14">
        <v>-185877</v>
      </c>
    </row>
    <row r="131" spans="5:9" x14ac:dyDescent="0.3">
      <c r="E131" s="27">
        <v>45930</v>
      </c>
      <c r="F131" s="14">
        <v>578</v>
      </c>
      <c r="G131" s="14">
        <v>448775</v>
      </c>
      <c r="H131" s="14">
        <v>341390</v>
      </c>
      <c r="I131" s="14">
        <v>107385</v>
      </c>
    </row>
    <row r="132" spans="5:9" x14ac:dyDescent="0.3">
      <c r="E132" s="49" t="s">
        <v>108</v>
      </c>
      <c r="F132" s="14">
        <v>41</v>
      </c>
      <c r="G132" s="14">
        <v>23780</v>
      </c>
      <c r="H132" s="14"/>
      <c r="I132" s="14">
        <v>23780</v>
      </c>
    </row>
    <row r="133" spans="5:9" x14ac:dyDescent="0.3">
      <c r="E133" s="49" t="s">
        <v>293</v>
      </c>
      <c r="F133" s="14">
        <v>252</v>
      </c>
      <c r="G133" s="14">
        <v>204120</v>
      </c>
      <c r="H133" s="14">
        <v>341390</v>
      </c>
      <c r="I133" s="14">
        <v>-137270</v>
      </c>
    </row>
    <row r="134" spans="5:9" x14ac:dyDescent="0.3">
      <c r="E134" s="49">
        <v>3414</v>
      </c>
      <c r="F134" s="14">
        <v>285</v>
      </c>
      <c r="G134" s="14">
        <v>220875</v>
      </c>
      <c r="H134" s="14"/>
      <c r="I134" s="14">
        <v>220875</v>
      </c>
    </row>
    <row r="135" spans="5:9" x14ac:dyDescent="0.3">
      <c r="E135" s="27">
        <v>45931</v>
      </c>
      <c r="F135" s="14">
        <v>671</v>
      </c>
      <c r="G135" s="14">
        <v>530235</v>
      </c>
      <c r="H135" s="14">
        <v>402560</v>
      </c>
      <c r="I135" s="14">
        <v>127675</v>
      </c>
    </row>
    <row r="136" spans="5:9" x14ac:dyDescent="0.3">
      <c r="E136" s="49" t="s">
        <v>300</v>
      </c>
      <c r="F136" s="14">
        <v>295</v>
      </c>
      <c r="G136" s="14">
        <v>225675</v>
      </c>
      <c r="H136" s="14">
        <v>402560</v>
      </c>
      <c r="I136" s="14">
        <v>-176885</v>
      </c>
    </row>
    <row r="137" spans="5:9" x14ac:dyDescent="0.3">
      <c r="E137" s="49" t="s">
        <v>301</v>
      </c>
      <c r="F137" s="14">
        <v>376</v>
      </c>
      <c r="G137" s="14">
        <v>304560</v>
      </c>
      <c r="H137" s="14"/>
      <c r="I137" s="14">
        <v>304560</v>
      </c>
    </row>
    <row r="138" spans="5:9" x14ac:dyDescent="0.3">
      <c r="E138" s="27">
        <v>45932</v>
      </c>
      <c r="F138" s="14">
        <v>519</v>
      </c>
      <c r="G138" s="14">
        <v>420390</v>
      </c>
      <c r="H138" s="14">
        <v>509740</v>
      </c>
      <c r="I138" s="14">
        <v>-89350</v>
      </c>
    </row>
    <row r="139" spans="5:9" x14ac:dyDescent="0.3">
      <c r="E139" s="49" t="s">
        <v>108</v>
      </c>
      <c r="F139" s="14"/>
      <c r="G139" s="14">
        <v>0</v>
      </c>
      <c r="H139" s="14">
        <v>125000</v>
      </c>
      <c r="I139" s="14">
        <v>-125000</v>
      </c>
    </row>
    <row r="140" spans="5:9" x14ac:dyDescent="0.3">
      <c r="E140" s="49" t="s">
        <v>309</v>
      </c>
      <c r="F140" s="14">
        <v>244</v>
      </c>
      <c r="G140" s="14">
        <v>197640</v>
      </c>
      <c r="H140" s="14">
        <v>384740</v>
      </c>
      <c r="I140" s="14">
        <v>-187100</v>
      </c>
    </row>
    <row r="141" spans="5:9" x14ac:dyDescent="0.3">
      <c r="E141" s="49" t="s">
        <v>308</v>
      </c>
      <c r="F141" s="14">
        <v>275</v>
      </c>
      <c r="G141" s="14">
        <v>222750</v>
      </c>
      <c r="H141" s="14"/>
      <c r="I141" s="14">
        <v>222750</v>
      </c>
    </row>
    <row r="142" spans="5:9" x14ac:dyDescent="0.3">
      <c r="E142" s="27">
        <v>45933</v>
      </c>
      <c r="F142" s="14">
        <v>653</v>
      </c>
      <c r="G142" s="14">
        <v>528930</v>
      </c>
      <c r="H142" s="14">
        <v>429370</v>
      </c>
      <c r="I142" s="14">
        <v>99560</v>
      </c>
    </row>
    <row r="143" spans="5:9" x14ac:dyDescent="0.3">
      <c r="E143" s="49" t="s">
        <v>320</v>
      </c>
      <c r="F143" s="14">
        <v>210</v>
      </c>
      <c r="G143" s="14">
        <v>170100</v>
      </c>
      <c r="H143" s="14">
        <v>429370</v>
      </c>
      <c r="I143" s="14">
        <v>-259270</v>
      </c>
    </row>
    <row r="144" spans="5:9" x14ac:dyDescent="0.3">
      <c r="E144" s="49" t="s">
        <v>319</v>
      </c>
      <c r="F144" s="14">
        <v>443</v>
      </c>
      <c r="G144" s="14">
        <v>358830</v>
      </c>
      <c r="H144" s="14"/>
      <c r="I144" s="14">
        <v>358830</v>
      </c>
    </row>
    <row r="145" spans="5:9" x14ac:dyDescent="0.3">
      <c r="E145" s="27">
        <v>45934</v>
      </c>
      <c r="F145" s="14">
        <v>504</v>
      </c>
      <c r="G145" s="14">
        <v>399280</v>
      </c>
      <c r="H145" s="14">
        <v>41720</v>
      </c>
      <c r="I145" s="14">
        <v>357560</v>
      </c>
    </row>
    <row r="146" spans="5:9" x14ac:dyDescent="0.3">
      <c r="E146" s="49" t="s">
        <v>336</v>
      </c>
      <c r="F146" s="14">
        <v>248</v>
      </c>
      <c r="G146" s="14">
        <v>200880</v>
      </c>
      <c r="H146" s="14">
        <v>41720</v>
      </c>
      <c r="I146" s="14">
        <v>159160</v>
      </c>
    </row>
    <row r="147" spans="5:9" x14ac:dyDescent="0.3">
      <c r="E147" s="49" t="s">
        <v>355</v>
      </c>
      <c r="F147" s="14">
        <v>256</v>
      </c>
      <c r="G147" s="14">
        <v>198400</v>
      </c>
      <c r="H147" s="14"/>
      <c r="I147" s="14">
        <v>198400</v>
      </c>
    </row>
    <row r="148" spans="5:9" x14ac:dyDescent="0.3">
      <c r="E148" s="27">
        <v>45935</v>
      </c>
      <c r="F148" s="14"/>
      <c r="G148" s="14">
        <v>0</v>
      </c>
      <c r="H148" s="14">
        <v>300900</v>
      </c>
      <c r="I148" s="14">
        <v>-300900</v>
      </c>
    </row>
    <row r="149" spans="5:9" x14ac:dyDescent="0.3">
      <c r="E149" s="49" t="s">
        <v>108</v>
      </c>
      <c r="F149" s="14"/>
      <c r="G149" s="14">
        <v>0</v>
      </c>
      <c r="H149" s="14">
        <v>300900</v>
      </c>
      <c r="I149" s="14">
        <v>-300900</v>
      </c>
    </row>
    <row r="150" spans="5:9" x14ac:dyDescent="0.3">
      <c r="E150" s="27">
        <v>45936</v>
      </c>
      <c r="F150" s="14">
        <v>992</v>
      </c>
      <c r="G150" s="14">
        <v>790380</v>
      </c>
      <c r="H150" s="14">
        <v>361393</v>
      </c>
      <c r="I150" s="14">
        <v>428987</v>
      </c>
    </row>
    <row r="151" spans="5:9" x14ac:dyDescent="0.3">
      <c r="E151" s="49" t="s">
        <v>108</v>
      </c>
      <c r="F151" s="14"/>
      <c r="G151" s="14">
        <v>0</v>
      </c>
      <c r="H151" s="14">
        <v>219875</v>
      </c>
      <c r="I151" s="14">
        <v>-219875</v>
      </c>
    </row>
    <row r="152" spans="5:9" x14ac:dyDescent="0.3">
      <c r="E152" s="49" t="s">
        <v>347</v>
      </c>
      <c r="F152" s="14">
        <v>292</v>
      </c>
      <c r="G152" s="14">
        <v>223380</v>
      </c>
      <c r="H152" s="14">
        <v>141518</v>
      </c>
      <c r="I152" s="14">
        <v>81862</v>
      </c>
    </row>
    <row r="153" spans="5:9" x14ac:dyDescent="0.3">
      <c r="E153" s="49" t="s">
        <v>348</v>
      </c>
      <c r="F153" s="14">
        <v>439</v>
      </c>
      <c r="G153" s="14">
        <v>355590</v>
      </c>
      <c r="H153" s="14"/>
      <c r="I153" s="14">
        <v>355590</v>
      </c>
    </row>
    <row r="154" spans="5:9" x14ac:dyDescent="0.3">
      <c r="E154" s="49" t="s">
        <v>345</v>
      </c>
      <c r="F154" s="14">
        <v>261</v>
      </c>
      <c r="G154" s="14">
        <v>211410</v>
      </c>
      <c r="H154" s="14"/>
      <c r="I154" s="14">
        <v>211410</v>
      </c>
    </row>
    <row r="155" spans="5:9" x14ac:dyDescent="0.3">
      <c r="E155" s="27">
        <v>45937</v>
      </c>
      <c r="F155" s="14"/>
      <c r="G155" s="14">
        <v>0</v>
      </c>
      <c r="H155" s="14">
        <v>452300</v>
      </c>
      <c r="I155" s="14">
        <v>-452300</v>
      </c>
    </row>
    <row r="156" spans="5:9" x14ac:dyDescent="0.3">
      <c r="E156" s="49" t="s">
        <v>108</v>
      </c>
      <c r="F156" s="14"/>
      <c r="G156" s="14">
        <v>0</v>
      </c>
      <c r="H156" s="14">
        <v>452300</v>
      </c>
      <c r="I156" s="14">
        <v>-452300</v>
      </c>
    </row>
    <row r="157" spans="5:9" x14ac:dyDescent="0.3">
      <c r="E157" s="27">
        <v>45938</v>
      </c>
      <c r="F157" s="14">
        <v>605</v>
      </c>
      <c r="G157" s="14">
        <v>465515</v>
      </c>
      <c r="H157" s="14">
        <v>609043</v>
      </c>
      <c r="I157" s="14">
        <v>-143528</v>
      </c>
    </row>
    <row r="158" spans="5:9" x14ac:dyDescent="0.3">
      <c r="E158" s="49" t="s">
        <v>108</v>
      </c>
      <c r="F158" s="14"/>
      <c r="G158" s="14">
        <v>0</v>
      </c>
      <c r="H158" s="14">
        <v>303003</v>
      </c>
      <c r="I158" s="14">
        <v>-303003</v>
      </c>
    </row>
    <row r="159" spans="5:9" x14ac:dyDescent="0.3">
      <c r="E159" s="49" t="s">
        <v>376</v>
      </c>
      <c r="F159" s="14">
        <v>336</v>
      </c>
      <c r="G159" s="14">
        <v>257040</v>
      </c>
      <c r="H159" s="14">
        <v>256040</v>
      </c>
      <c r="I159" s="14">
        <v>1000</v>
      </c>
    </row>
    <row r="160" spans="5:9" x14ac:dyDescent="0.3">
      <c r="E160" s="49" t="s">
        <v>377</v>
      </c>
      <c r="F160" s="14">
        <v>269</v>
      </c>
      <c r="G160" s="14">
        <v>208475</v>
      </c>
      <c r="H160" s="14">
        <v>0</v>
      </c>
      <c r="I160" s="14">
        <v>208475</v>
      </c>
    </row>
    <row r="161" spans="5:9" x14ac:dyDescent="0.3">
      <c r="E161" s="49" t="s">
        <v>378</v>
      </c>
      <c r="F161" s="14"/>
      <c r="G161" s="14">
        <v>0</v>
      </c>
      <c r="H161" s="14">
        <v>50000</v>
      </c>
      <c r="I161" s="14">
        <v>-50000</v>
      </c>
    </row>
    <row r="162" spans="5:9" x14ac:dyDescent="0.3">
      <c r="E162" s="27">
        <v>45940</v>
      </c>
      <c r="F162" s="14"/>
      <c r="G162" s="14">
        <v>0</v>
      </c>
      <c r="H162" s="14">
        <v>201255</v>
      </c>
      <c r="I162" s="14">
        <v>-201255</v>
      </c>
    </row>
    <row r="163" spans="5:9" x14ac:dyDescent="0.3">
      <c r="E163" s="49" t="s">
        <v>108</v>
      </c>
      <c r="F163" s="14"/>
      <c r="G163" s="14">
        <v>0</v>
      </c>
      <c r="H163" s="14">
        <v>201255</v>
      </c>
      <c r="I163" s="14">
        <v>-201255</v>
      </c>
    </row>
    <row r="164" spans="5:9" x14ac:dyDescent="0.3">
      <c r="E164" s="27">
        <v>45942</v>
      </c>
      <c r="F164" s="14">
        <v>260</v>
      </c>
      <c r="G164" s="14">
        <v>210600</v>
      </c>
      <c r="H164" s="14">
        <v>43600</v>
      </c>
      <c r="I164" s="14">
        <v>167000</v>
      </c>
    </row>
    <row r="165" spans="5:9" x14ac:dyDescent="0.3">
      <c r="E165" s="49" t="s">
        <v>238</v>
      </c>
      <c r="F165" s="14">
        <v>260</v>
      </c>
      <c r="G165" s="14">
        <v>210600</v>
      </c>
      <c r="H165" s="14">
        <v>43600</v>
      </c>
      <c r="I165" s="14">
        <v>167000</v>
      </c>
    </row>
    <row r="166" spans="5:9" x14ac:dyDescent="0.3">
      <c r="E166" s="27" t="s">
        <v>28</v>
      </c>
      <c r="F166" s="14">
        <v>9646</v>
      </c>
      <c r="G166" s="14">
        <v>7446835</v>
      </c>
      <c r="H166" s="14">
        <v>7437456</v>
      </c>
      <c r="I166" s="14">
        <v>2564256</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364"/>
  <sheetViews>
    <sheetView topLeftCell="A232" zoomScale="132" workbookViewId="0">
      <selection activeCell="C366" sqref="C366"/>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hidden="1" x14ac:dyDescent="0.3">
      <c r="A2" s="94">
        <v>45916</v>
      </c>
      <c r="B2" s="89" t="s">
        <v>167</v>
      </c>
      <c r="C2" s="11"/>
      <c r="D2" s="95">
        <f>[1]Cashbook!$R$10</f>
        <v>-447902</v>
      </c>
      <c r="E2" s="89"/>
      <c r="F2" s="96" t="s">
        <v>113</v>
      </c>
    </row>
    <row r="3" spans="1:16" hidden="1" x14ac:dyDescent="0.3">
      <c r="A3" s="94">
        <v>45916</v>
      </c>
      <c r="B3" s="89" t="s">
        <v>167</v>
      </c>
      <c r="C3" s="11"/>
      <c r="D3" s="95">
        <f>[1]Cashbook!$R$11</f>
        <v>-781867</v>
      </c>
      <c r="E3" s="89"/>
      <c r="F3" s="96" t="s">
        <v>114</v>
      </c>
      <c r="J3" s="55" t="s">
        <v>45</v>
      </c>
      <c r="K3" s="40" t="s">
        <v>46</v>
      </c>
      <c r="M3" s="55" t="s">
        <v>45</v>
      </c>
      <c r="N3" s="58" t="s">
        <v>109</v>
      </c>
      <c r="O3" s="98" t="s">
        <v>110</v>
      </c>
      <c r="P3" t="s">
        <v>111</v>
      </c>
    </row>
    <row r="4" spans="1:16" hidden="1" x14ac:dyDescent="0.3">
      <c r="A4" s="104">
        <v>45916</v>
      </c>
      <c r="B4" t="s">
        <v>22</v>
      </c>
      <c r="C4" s="11"/>
      <c r="D4" s="11">
        <v>125000</v>
      </c>
      <c r="F4" s="52" t="s">
        <v>113</v>
      </c>
      <c r="J4" s="53" t="s">
        <v>71</v>
      </c>
      <c r="K4" s="54">
        <f>Table14[[#Totals],[Debit]]</f>
        <v>6366531</v>
      </c>
      <c r="M4" s="53" t="s">
        <v>112</v>
      </c>
      <c r="N4" s="59">
        <f>SUMIFS(Table14[Withdrawal],Table14[Party],"Cash",Table14[Mode],"Transfer")</f>
        <v>352000</v>
      </c>
    </row>
    <row r="5" spans="1:16" x14ac:dyDescent="0.3">
      <c r="A5" s="104">
        <v>45916</v>
      </c>
      <c r="B5" t="s">
        <v>98</v>
      </c>
      <c r="C5" s="112">
        <v>38800</v>
      </c>
      <c r="D5" s="11"/>
      <c r="E5" t="s">
        <v>168</v>
      </c>
      <c r="F5" s="52" t="s">
        <v>113</v>
      </c>
      <c r="J5" s="53" t="s">
        <v>70</v>
      </c>
      <c r="K5" s="54">
        <f>Table14[[#Totals],[Credit]]</f>
        <v>0</v>
      </c>
      <c r="M5" s="53" t="s">
        <v>113</v>
      </c>
      <c r="N5" s="54">
        <f>(SUMIFS(Table14[Credit],Table14[Mode],"Bank")-SUMIFS(Table14[Debit],Table14[Mode],"Bank")-SUMIFS(Table14[Withdrawal],Table14[Mode],"Transfer"))</f>
        <v>19316</v>
      </c>
      <c r="O5">
        <v>360000</v>
      </c>
    </row>
    <row r="6" spans="1:16" hidden="1" x14ac:dyDescent="0.3">
      <c r="A6" s="104">
        <v>45916</v>
      </c>
      <c r="B6" t="s">
        <v>27</v>
      </c>
      <c r="C6" s="11"/>
      <c r="D6" s="11">
        <v>100000</v>
      </c>
      <c r="F6" s="52" t="s">
        <v>114</v>
      </c>
      <c r="J6" s="60" t="s">
        <v>43</v>
      </c>
      <c r="K6" s="61">
        <f>(K5-K4)</f>
        <v>-6366531</v>
      </c>
      <c r="M6" s="53" t="s">
        <v>114</v>
      </c>
      <c r="N6" s="54">
        <f>((SUMIFS(Table14[Credit],Table14[Mode],"Cash")-SUMIFS(Table14[Debit],Table14[Mode],"Cash"))+SUMIFS(Table14[Withdrawal],Table14[Party],"Cash",Table14[Mode],"Transfer"))</f>
        <v>38492</v>
      </c>
      <c r="O6">
        <v>50000</v>
      </c>
    </row>
    <row r="7" spans="1:16" hidden="1" x14ac:dyDescent="0.3">
      <c r="A7" s="104">
        <v>45916</v>
      </c>
      <c r="B7" t="s">
        <v>9</v>
      </c>
      <c r="C7" s="11"/>
      <c r="D7" s="11">
        <v>100000</v>
      </c>
      <c r="F7" s="52" t="s">
        <v>114</v>
      </c>
      <c r="M7" s="56" t="s">
        <v>5</v>
      </c>
      <c r="N7" s="57">
        <f>SUM(N5:N6)</f>
        <v>57808</v>
      </c>
      <c r="O7" s="99">
        <f>SUM(O5,O6)</f>
        <v>410000</v>
      </c>
      <c r="P7" s="14">
        <f>Table18[[#Totals],[amount]]-Table18[[#Totals],[Actual]]</f>
        <v>-352192</v>
      </c>
    </row>
    <row r="8" spans="1:16" hidden="1" x14ac:dyDescent="0.3">
      <c r="A8" s="104">
        <v>45916</v>
      </c>
      <c r="B8" t="s">
        <v>9</v>
      </c>
      <c r="C8" s="47"/>
      <c r="D8" s="47">
        <v>280516</v>
      </c>
      <c r="F8" s="52" t="s">
        <v>113</v>
      </c>
    </row>
    <row r="9" spans="1:16" x14ac:dyDescent="0.3">
      <c r="A9" s="104">
        <v>45916</v>
      </c>
      <c r="B9" t="s">
        <v>98</v>
      </c>
      <c r="C9" s="112">
        <v>280516</v>
      </c>
      <c r="D9" s="11"/>
      <c r="F9" s="52" t="s">
        <v>113</v>
      </c>
    </row>
    <row r="10" spans="1:16" hidden="1" x14ac:dyDescent="0.3">
      <c r="A10" s="104">
        <v>45916</v>
      </c>
      <c r="B10" t="s">
        <v>50</v>
      </c>
      <c r="C10" s="11">
        <v>200</v>
      </c>
      <c r="D10" s="11"/>
      <c r="E10" t="s">
        <v>169</v>
      </c>
      <c r="F10" s="52" t="s">
        <v>113</v>
      </c>
    </row>
    <row r="11" spans="1:16" hidden="1" x14ac:dyDescent="0.3">
      <c r="A11" s="104">
        <v>45916</v>
      </c>
      <c r="B11" t="s">
        <v>118</v>
      </c>
      <c r="C11" s="11"/>
      <c r="D11" s="11">
        <v>200</v>
      </c>
      <c r="F11" s="52" t="s">
        <v>113</v>
      </c>
    </row>
    <row r="12" spans="1:16" x14ac:dyDescent="0.3">
      <c r="A12" s="104">
        <v>45916</v>
      </c>
      <c r="B12" t="s">
        <v>98</v>
      </c>
      <c r="C12" s="112">
        <v>42510</v>
      </c>
      <c r="D12" s="11"/>
      <c r="E12" t="s">
        <v>170</v>
      </c>
      <c r="F12" s="52" t="s">
        <v>114</v>
      </c>
    </row>
    <row r="13" spans="1:16" hidden="1" x14ac:dyDescent="0.3">
      <c r="A13" s="104">
        <v>45916</v>
      </c>
      <c r="B13" t="s">
        <v>123</v>
      </c>
      <c r="C13" s="11"/>
      <c r="D13" s="11"/>
      <c r="E13" t="s">
        <v>172</v>
      </c>
      <c r="F13" s="52" t="s">
        <v>113</v>
      </c>
    </row>
    <row r="14" spans="1:16" hidden="1" x14ac:dyDescent="0.3">
      <c r="A14" s="104">
        <v>45916</v>
      </c>
      <c r="B14" t="s">
        <v>21</v>
      </c>
      <c r="C14" s="11"/>
      <c r="D14" s="11">
        <v>20000</v>
      </c>
      <c r="E14" t="s">
        <v>158</v>
      </c>
      <c r="F14" s="52" t="s">
        <v>113</v>
      </c>
    </row>
    <row r="15" spans="1:16" hidden="1" x14ac:dyDescent="0.3">
      <c r="A15" s="104">
        <v>45916</v>
      </c>
      <c r="B15" t="s">
        <v>54</v>
      </c>
      <c r="C15" s="11">
        <v>20000</v>
      </c>
      <c r="D15" s="11"/>
      <c r="E15" t="s">
        <v>158</v>
      </c>
      <c r="F15" s="52" t="s">
        <v>113</v>
      </c>
    </row>
    <row r="16" spans="1:16" hidden="1" x14ac:dyDescent="0.3">
      <c r="A16" s="104">
        <v>45916</v>
      </c>
      <c r="B16" t="s">
        <v>121</v>
      </c>
      <c r="C16" s="11">
        <v>3300</v>
      </c>
      <c r="D16" s="11"/>
      <c r="E16" t="s">
        <v>171</v>
      </c>
      <c r="F16" s="52" t="s">
        <v>114</v>
      </c>
    </row>
    <row r="17" spans="1:6" hidden="1" x14ac:dyDescent="0.3">
      <c r="A17" s="104">
        <v>45916</v>
      </c>
      <c r="B17" t="s">
        <v>118</v>
      </c>
      <c r="C17" s="47"/>
      <c r="D17" s="47">
        <v>13000</v>
      </c>
      <c r="F17" s="52" t="s">
        <v>113</v>
      </c>
    </row>
    <row r="18" spans="1:6" hidden="1" x14ac:dyDescent="0.3">
      <c r="A18" s="104">
        <v>45916</v>
      </c>
      <c r="B18" t="s">
        <v>55</v>
      </c>
      <c r="C18" s="11">
        <v>5800</v>
      </c>
      <c r="D18" s="11"/>
      <c r="F18" s="52" t="s">
        <v>113</v>
      </c>
    </row>
    <row r="19" spans="1:6" hidden="1" x14ac:dyDescent="0.3">
      <c r="A19" s="104">
        <v>45916</v>
      </c>
      <c r="B19" t="s">
        <v>52</v>
      </c>
      <c r="C19" s="11"/>
      <c r="D19" s="11"/>
      <c r="E19" t="s">
        <v>173</v>
      </c>
      <c r="F19" s="52" t="s">
        <v>113</v>
      </c>
    </row>
    <row r="20" spans="1:6" hidden="1" x14ac:dyDescent="0.3">
      <c r="A20" s="104">
        <v>45916</v>
      </c>
      <c r="B20" t="s">
        <v>21</v>
      </c>
      <c r="C20" s="11"/>
      <c r="D20" s="11">
        <v>4000</v>
      </c>
      <c r="E20" t="s">
        <v>184</v>
      </c>
      <c r="F20" s="52" t="s">
        <v>113</v>
      </c>
    </row>
    <row r="21" spans="1:6" hidden="1" x14ac:dyDescent="0.3">
      <c r="A21" s="104">
        <v>45916</v>
      </c>
      <c r="B21" t="s">
        <v>123</v>
      </c>
      <c r="C21" s="11">
        <v>4000</v>
      </c>
      <c r="D21" s="11"/>
      <c r="E21" t="s">
        <v>184</v>
      </c>
      <c r="F21" s="52" t="s">
        <v>113</v>
      </c>
    </row>
    <row r="22" spans="1:6" hidden="1" x14ac:dyDescent="0.3">
      <c r="A22" s="104">
        <v>45917</v>
      </c>
      <c r="B22" t="s">
        <v>9</v>
      </c>
      <c r="C22" s="11"/>
      <c r="D22" s="11">
        <v>100000</v>
      </c>
      <c r="F22" s="52" t="s">
        <v>113</v>
      </c>
    </row>
    <row r="23" spans="1:6" x14ac:dyDescent="0.3">
      <c r="A23" s="43">
        <v>45917</v>
      </c>
      <c r="B23" t="s">
        <v>98</v>
      </c>
      <c r="C23" s="113">
        <v>120000</v>
      </c>
      <c r="D23" s="47"/>
      <c r="F23" s="52" t="s">
        <v>113</v>
      </c>
    </row>
    <row r="24" spans="1:6" hidden="1" x14ac:dyDescent="0.3">
      <c r="A24" s="104">
        <v>45917</v>
      </c>
      <c r="B24" t="s">
        <v>21</v>
      </c>
      <c r="C24" s="11"/>
      <c r="D24" s="11">
        <v>47000</v>
      </c>
      <c r="E24" t="s">
        <v>64</v>
      </c>
      <c r="F24" s="52" t="s">
        <v>113</v>
      </c>
    </row>
    <row r="25" spans="1:6" hidden="1" x14ac:dyDescent="0.3">
      <c r="A25" s="104">
        <v>45917</v>
      </c>
      <c r="B25" t="s">
        <v>64</v>
      </c>
      <c r="C25" s="11">
        <v>47000</v>
      </c>
      <c r="D25" s="11"/>
      <c r="F25" s="52" t="s">
        <v>113</v>
      </c>
    </row>
    <row r="26" spans="1:6" hidden="1" x14ac:dyDescent="0.3">
      <c r="A26" s="104">
        <v>45917</v>
      </c>
      <c r="B26" t="s">
        <v>55</v>
      </c>
      <c r="C26" s="11">
        <v>1200</v>
      </c>
      <c r="D26" s="11"/>
      <c r="F26" s="52" t="s">
        <v>114</v>
      </c>
    </row>
    <row r="27" spans="1:6" hidden="1" x14ac:dyDescent="0.3">
      <c r="A27" s="104">
        <v>45917</v>
      </c>
      <c r="B27" t="s">
        <v>121</v>
      </c>
      <c r="C27" s="11">
        <v>3300</v>
      </c>
      <c r="D27" s="11"/>
      <c r="E27" t="s">
        <v>171</v>
      </c>
      <c r="F27" s="52" t="s">
        <v>114</v>
      </c>
    </row>
    <row r="28" spans="1:6" hidden="1" x14ac:dyDescent="0.3">
      <c r="A28" s="43">
        <v>45917</v>
      </c>
      <c r="B28" t="s">
        <v>123</v>
      </c>
      <c r="C28" s="47">
        <v>10000</v>
      </c>
      <c r="D28" s="47"/>
      <c r="E28" t="s">
        <v>185</v>
      </c>
      <c r="F28" s="52" t="s">
        <v>113</v>
      </c>
    </row>
    <row r="29" spans="1:6" hidden="1" x14ac:dyDescent="0.3">
      <c r="A29" s="104">
        <v>45917</v>
      </c>
      <c r="B29" t="s">
        <v>22</v>
      </c>
      <c r="C29" s="11"/>
      <c r="D29" s="11">
        <v>122550</v>
      </c>
      <c r="F29" s="52" t="s">
        <v>114</v>
      </c>
    </row>
    <row r="30" spans="1:6" hidden="1" x14ac:dyDescent="0.3">
      <c r="A30" s="104">
        <v>45917</v>
      </c>
      <c r="B30" t="s">
        <v>118</v>
      </c>
      <c r="C30" s="11">
        <v>6500</v>
      </c>
      <c r="D30" s="11"/>
      <c r="E30" t="s">
        <v>187</v>
      </c>
      <c r="F30" s="52" t="s">
        <v>114</v>
      </c>
    </row>
    <row r="31" spans="1:6" hidden="1" x14ac:dyDescent="0.3">
      <c r="A31" s="104">
        <v>45917</v>
      </c>
      <c r="B31" t="s">
        <v>121</v>
      </c>
      <c r="C31" s="11">
        <v>1700</v>
      </c>
      <c r="D31" s="11"/>
      <c r="E31" t="s">
        <v>186</v>
      </c>
      <c r="F31" s="52" t="s">
        <v>114</v>
      </c>
    </row>
    <row r="32" spans="1:6" hidden="1" x14ac:dyDescent="0.3">
      <c r="A32" s="104">
        <v>45917</v>
      </c>
      <c r="B32" t="s">
        <v>121</v>
      </c>
      <c r="C32" s="11"/>
      <c r="D32" s="11">
        <v>1500</v>
      </c>
      <c r="F32" s="52" t="s">
        <v>113</v>
      </c>
    </row>
    <row r="33" spans="1:6" hidden="1" x14ac:dyDescent="0.3">
      <c r="A33" s="43">
        <v>45918</v>
      </c>
      <c r="B33" t="s">
        <v>54</v>
      </c>
      <c r="C33" s="47">
        <v>1500</v>
      </c>
      <c r="D33" s="47"/>
      <c r="E33" t="s">
        <v>190</v>
      </c>
      <c r="F33" s="52" t="s">
        <v>113</v>
      </c>
    </row>
    <row r="34" spans="1:6" x14ac:dyDescent="0.3">
      <c r="A34" s="104">
        <v>45918</v>
      </c>
      <c r="B34" t="s">
        <v>98</v>
      </c>
      <c r="C34" s="114">
        <v>201010</v>
      </c>
      <c r="D34" s="11"/>
      <c r="E34" t="s">
        <v>191</v>
      </c>
      <c r="F34" s="52" t="s">
        <v>113</v>
      </c>
    </row>
    <row r="35" spans="1:6" hidden="1" x14ac:dyDescent="0.3">
      <c r="A35" s="43">
        <v>45918</v>
      </c>
      <c r="B35" t="s">
        <v>159</v>
      </c>
      <c r="C35" s="11">
        <v>120000</v>
      </c>
      <c r="D35" s="11"/>
      <c r="E35" t="s">
        <v>191</v>
      </c>
      <c r="F35" s="52" t="s">
        <v>113</v>
      </c>
    </row>
    <row r="36" spans="1:6" hidden="1" x14ac:dyDescent="0.3">
      <c r="A36" s="104">
        <v>45918</v>
      </c>
      <c r="B36" t="s">
        <v>21</v>
      </c>
      <c r="C36" s="11"/>
      <c r="D36" s="11">
        <v>315000</v>
      </c>
      <c r="F36" s="52" t="s">
        <v>113</v>
      </c>
    </row>
    <row r="37" spans="1:6" hidden="1" x14ac:dyDescent="0.3">
      <c r="A37" s="43">
        <v>45918</v>
      </c>
      <c r="B37" t="s">
        <v>55</v>
      </c>
      <c r="C37" s="11">
        <v>5350</v>
      </c>
      <c r="D37" s="11"/>
      <c r="F37" s="52" t="s">
        <v>114</v>
      </c>
    </row>
    <row r="38" spans="1:6" x14ac:dyDescent="0.3">
      <c r="A38" s="104">
        <v>45918</v>
      </c>
      <c r="B38" t="s">
        <v>98</v>
      </c>
      <c r="C38" s="113">
        <v>40750</v>
      </c>
      <c r="D38" s="47"/>
      <c r="E38" t="s">
        <v>192</v>
      </c>
      <c r="F38" s="52" t="s">
        <v>114</v>
      </c>
    </row>
    <row r="39" spans="1:6" hidden="1" x14ac:dyDescent="0.3">
      <c r="A39" s="43">
        <v>45918</v>
      </c>
      <c r="B39" t="s">
        <v>54</v>
      </c>
      <c r="C39" s="11">
        <v>3000</v>
      </c>
      <c r="D39" s="11"/>
      <c r="E39" t="s">
        <v>193</v>
      </c>
      <c r="F39" s="52" t="s">
        <v>114</v>
      </c>
    </row>
    <row r="40" spans="1:6" hidden="1" x14ac:dyDescent="0.3">
      <c r="A40" s="104">
        <v>45918</v>
      </c>
      <c r="B40" t="s">
        <v>121</v>
      </c>
      <c r="C40" s="11">
        <v>3300</v>
      </c>
      <c r="D40" s="11"/>
      <c r="E40" t="s">
        <v>171</v>
      </c>
      <c r="F40" s="52" t="s">
        <v>114</v>
      </c>
    </row>
    <row r="41" spans="1:6" hidden="1" x14ac:dyDescent="0.3">
      <c r="A41" s="43">
        <v>45919</v>
      </c>
      <c r="B41" t="s">
        <v>162</v>
      </c>
      <c r="C41" s="11"/>
      <c r="D41" s="11">
        <v>300000</v>
      </c>
      <c r="F41" s="52" t="s">
        <v>113</v>
      </c>
    </row>
    <row r="42" spans="1:6" x14ac:dyDescent="0.3">
      <c r="A42" s="104">
        <v>45919</v>
      </c>
      <c r="B42" t="s">
        <v>98</v>
      </c>
      <c r="C42" s="107">
        <v>34300</v>
      </c>
      <c r="D42" s="11"/>
      <c r="E42" t="s">
        <v>194</v>
      </c>
      <c r="F42" s="52" t="s">
        <v>114</v>
      </c>
    </row>
    <row r="43" spans="1:6" x14ac:dyDescent="0.3">
      <c r="A43" s="43">
        <v>45919</v>
      </c>
      <c r="B43" t="s">
        <v>98</v>
      </c>
      <c r="C43" s="114">
        <v>200000</v>
      </c>
      <c r="D43" s="11"/>
      <c r="E43" t="s">
        <v>191</v>
      </c>
      <c r="F43" s="52" t="s">
        <v>113</v>
      </c>
    </row>
    <row r="44" spans="1:6" hidden="1" x14ac:dyDescent="0.3">
      <c r="A44" s="104">
        <v>45919</v>
      </c>
      <c r="B44" t="s">
        <v>121</v>
      </c>
      <c r="C44" s="11"/>
      <c r="D44" s="11">
        <f>20000-5450</f>
        <v>14550</v>
      </c>
      <c r="E44" t="s">
        <v>195</v>
      </c>
      <c r="F44" s="52" t="s">
        <v>114</v>
      </c>
    </row>
    <row r="45" spans="1:6" hidden="1" x14ac:dyDescent="0.3">
      <c r="A45" s="43">
        <v>45919</v>
      </c>
      <c r="B45" t="s">
        <v>24</v>
      </c>
      <c r="C45" s="11"/>
      <c r="D45" s="11">
        <v>1000000</v>
      </c>
      <c r="E45" t="s">
        <v>196</v>
      </c>
      <c r="F45" s="52" t="s">
        <v>113</v>
      </c>
    </row>
    <row r="46" spans="1:6" hidden="1" x14ac:dyDescent="0.3">
      <c r="A46" s="104">
        <v>45919</v>
      </c>
      <c r="B46" t="s">
        <v>64</v>
      </c>
      <c r="C46" s="11">
        <v>121000</v>
      </c>
      <c r="D46" s="11"/>
      <c r="E46" t="s">
        <v>197</v>
      </c>
      <c r="F46" s="52" t="s">
        <v>113</v>
      </c>
    </row>
    <row r="47" spans="1:6" hidden="1" x14ac:dyDescent="0.3">
      <c r="A47" s="43">
        <v>45919</v>
      </c>
      <c r="B47" t="s">
        <v>55</v>
      </c>
      <c r="C47" s="11">
        <v>1371</v>
      </c>
      <c r="D47" s="11"/>
      <c r="E47" t="s">
        <v>198</v>
      </c>
      <c r="F47" s="52" t="s">
        <v>113</v>
      </c>
    </row>
    <row r="48" spans="1:6" hidden="1" x14ac:dyDescent="0.3">
      <c r="A48" s="104">
        <v>45919</v>
      </c>
      <c r="B48" t="s">
        <v>50</v>
      </c>
      <c r="C48" s="11">
        <v>780</v>
      </c>
      <c r="D48" s="11"/>
      <c r="E48" t="s">
        <v>199</v>
      </c>
      <c r="F48" s="52" t="s">
        <v>114</v>
      </c>
    </row>
    <row r="49" spans="1:6" hidden="1" x14ac:dyDescent="0.3">
      <c r="A49" s="43">
        <v>45919</v>
      </c>
      <c r="B49" t="s">
        <v>119</v>
      </c>
      <c r="C49" s="11">
        <v>11185</v>
      </c>
      <c r="D49" s="11"/>
      <c r="E49" t="s">
        <v>200</v>
      </c>
      <c r="F49" s="52" t="s">
        <v>114</v>
      </c>
    </row>
    <row r="50" spans="1:6" hidden="1" x14ac:dyDescent="0.3">
      <c r="A50" s="104">
        <v>45919</v>
      </c>
      <c r="B50" t="s">
        <v>9</v>
      </c>
      <c r="C50" s="11"/>
      <c r="D50" s="11">
        <v>84190</v>
      </c>
      <c r="E50" t="s">
        <v>201</v>
      </c>
      <c r="F50" s="52" t="s">
        <v>113</v>
      </c>
    </row>
    <row r="51" spans="1:6" hidden="1" x14ac:dyDescent="0.3">
      <c r="A51" s="104">
        <v>45919</v>
      </c>
      <c r="B51" t="s">
        <v>55</v>
      </c>
      <c r="C51" s="11">
        <v>8230</v>
      </c>
      <c r="D51" s="11"/>
      <c r="E51" t="s">
        <v>198</v>
      </c>
      <c r="F51" s="52" t="s">
        <v>113</v>
      </c>
    </row>
    <row r="52" spans="1:6" hidden="1" x14ac:dyDescent="0.3">
      <c r="A52" s="43">
        <v>45919</v>
      </c>
      <c r="B52" t="s">
        <v>54</v>
      </c>
      <c r="C52" s="47">
        <v>2500</v>
      </c>
      <c r="D52" s="47"/>
      <c r="E52" t="s">
        <v>202</v>
      </c>
      <c r="F52" s="52" t="s">
        <v>114</v>
      </c>
    </row>
    <row r="53" spans="1:6" hidden="1" x14ac:dyDescent="0.3">
      <c r="A53" s="104">
        <v>45919</v>
      </c>
      <c r="B53" t="s">
        <v>54</v>
      </c>
      <c r="C53" s="11">
        <v>5330</v>
      </c>
      <c r="D53" s="11"/>
      <c r="E53" t="s">
        <v>203</v>
      </c>
      <c r="F53" s="52" t="s">
        <v>114</v>
      </c>
    </row>
    <row r="54" spans="1:6" hidden="1" x14ac:dyDescent="0.3">
      <c r="A54" s="43">
        <v>45919</v>
      </c>
      <c r="B54" t="s">
        <v>21</v>
      </c>
      <c r="C54" s="11"/>
      <c r="D54" s="47">
        <f>20000+4480</f>
        <v>24480</v>
      </c>
      <c r="E54" t="s">
        <v>314</v>
      </c>
      <c r="F54" s="52" t="s">
        <v>113</v>
      </c>
    </row>
    <row r="55" spans="1:6" hidden="1" x14ac:dyDescent="0.3">
      <c r="A55" s="104">
        <v>45919</v>
      </c>
      <c r="B55" t="s">
        <v>54</v>
      </c>
      <c r="C55" s="11">
        <v>20000</v>
      </c>
      <c r="D55" s="11"/>
      <c r="E55" t="s">
        <v>158</v>
      </c>
      <c r="F55" s="52" t="s">
        <v>113</v>
      </c>
    </row>
    <row r="56" spans="1:6" hidden="1" x14ac:dyDescent="0.3">
      <c r="A56" s="43">
        <v>45919</v>
      </c>
      <c r="B56" t="s">
        <v>54</v>
      </c>
      <c r="C56" s="47">
        <v>4480</v>
      </c>
      <c r="D56" s="47"/>
      <c r="E56" t="s">
        <v>206</v>
      </c>
      <c r="F56" s="52" t="s">
        <v>113</v>
      </c>
    </row>
    <row r="57" spans="1:6" hidden="1" x14ac:dyDescent="0.3">
      <c r="A57" s="104">
        <v>45920</v>
      </c>
      <c r="B57" t="s">
        <v>121</v>
      </c>
      <c r="C57" s="11">
        <v>2000</v>
      </c>
      <c r="D57" s="11"/>
      <c r="E57" t="s">
        <v>207</v>
      </c>
      <c r="F57" s="52" t="s">
        <v>114</v>
      </c>
    </row>
    <row r="58" spans="1:6" x14ac:dyDescent="0.3">
      <c r="A58" s="104">
        <v>45920</v>
      </c>
      <c r="B58" t="s">
        <v>98</v>
      </c>
      <c r="C58" s="114">
        <v>43000</v>
      </c>
      <c r="D58" s="11"/>
      <c r="E58" t="s">
        <v>208</v>
      </c>
      <c r="F58" s="52" t="s">
        <v>114</v>
      </c>
    </row>
    <row r="59" spans="1:6" x14ac:dyDescent="0.3">
      <c r="A59" s="104">
        <v>45920</v>
      </c>
      <c r="B59" t="s">
        <v>98</v>
      </c>
      <c r="C59" s="114">
        <v>150000</v>
      </c>
      <c r="D59" s="11"/>
      <c r="E59" t="s">
        <v>201</v>
      </c>
      <c r="F59" s="52" t="s">
        <v>113</v>
      </c>
    </row>
    <row r="60" spans="1:6" hidden="1" x14ac:dyDescent="0.3">
      <c r="A60" s="104">
        <v>45920</v>
      </c>
      <c r="B60" t="s">
        <v>9</v>
      </c>
      <c r="C60" s="11"/>
      <c r="D60" s="11">
        <v>65000</v>
      </c>
      <c r="E60" t="s">
        <v>201</v>
      </c>
      <c r="F60" s="52" t="s">
        <v>113</v>
      </c>
    </row>
    <row r="61" spans="1:6" hidden="1" x14ac:dyDescent="0.3">
      <c r="A61" s="104">
        <v>45920</v>
      </c>
      <c r="B61" t="s">
        <v>21</v>
      </c>
      <c r="C61" s="11"/>
      <c r="D61" s="11">
        <f>1680+6460</f>
        <v>8140</v>
      </c>
      <c r="E61" t="s">
        <v>158</v>
      </c>
      <c r="F61" s="52" t="s">
        <v>113</v>
      </c>
    </row>
    <row r="62" spans="1:6" hidden="1" x14ac:dyDescent="0.3">
      <c r="A62" s="104">
        <v>45920</v>
      </c>
      <c r="B62" t="s">
        <v>55</v>
      </c>
      <c r="C62" s="11">
        <v>8140</v>
      </c>
      <c r="D62" s="11"/>
      <c r="E62" t="s">
        <v>158</v>
      </c>
      <c r="F62" s="52" t="s">
        <v>113</v>
      </c>
    </row>
    <row r="63" spans="1:6" hidden="1" x14ac:dyDescent="0.3">
      <c r="A63" s="104">
        <v>45920</v>
      </c>
      <c r="B63" t="s">
        <v>123</v>
      </c>
      <c r="C63" s="11">
        <v>10000</v>
      </c>
      <c r="D63" s="11"/>
      <c r="E63" t="s">
        <v>209</v>
      </c>
      <c r="F63" s="52" t="s">
        <v>114</v>
      </c>
    </row>
    <row r="64" spans="1:6" hidden="1" x14ac:dyDescent="0.3">
      <c r="A64" s="104">
        <v>45920</v>
      </c>
      <c r="B64" t="s">
        <v>121</v>
      </c>
      <c r="C64" s="47">
        <v>3300</v>
      </c>
      <c r="D64" s="47"/>
      <c r="E64" t="s">
        <v>171</v>
      </c>
      <c r="F64" s="52" t="s">
        <v>114</v>
      </c>
    </row>
    <row r="65" spans="1:6" x14ac:dyDescent="0.3">
      <c r="A65" s="104">
        <v>45920</v>
      </c>
      <c r="B65" t="s">
        <v>98</v>
      </c>
      <c r="C65" s="114">
        <v>30385</v>
      </c>
      <c r="D65" s="11"/>
      <c r="E65" t="s">
        <v>210</v>
      </c>
      <c r="F65" s="52" t="s">
        <v>114</v>
      </c>
    </row>
    <row r="66" spans="1:6" hidden="1" x14ac:dyDescent="0.3">
      <c r="A66" s="104">
        <v>45920</v>
      </c>
      <c r="B66" t="s">
        <v>54</v>
      </c>
      <c r="C66" s="11">
        <v>13000</v>
      </c>
      <c r="D66" s="11"/>
      <c r="E66" t="s">
        <v>211</v>
      </c>
      <c r="F66" s="52" t="s">
        <v>114</v>
      </c>
    </row>
    <row r="67" spans="1:6" hidden="1" x14ac:dyDescent="0.3">
      <c r="A67" s="104">
        <v>45920</v>
      </c>
      <c r="B67" t="s">
        <v>121</v>
      </c>
      <c r="C67" s="11"/>
      <c r="D67" s="11">
        <v>6000</v>
      </c>
      <c r="E67" t="s">
        <v>212</v>
      </c>
      <c r="F67" s="52" t="s">
        <v>113</v>
      </c>
    </row>
    <row r="68" spans="1:6" hidden="1" x14ac:dyDescent="0.3">
      <c r="A68" s="104">
        <v>45920</v>
      </c>
      <c r="B68" t="s">
        <v>123</v>
      </c>
      <c r="C68" s="11">
        <v>6000</v>
      </c>
      <c r="D68" s="11"/>
      <c r="E68" t="s">
        <v>213</v>
      </c>
      <c r="F68" s="52" t="s">
        <v>113</v>
      </c>
    </row>
    <row r="69" spans="1:6" hidden="1" x14ac:dyDescent="0.3">
      <c r="A69" s="104">
        <v>45920</v>
      </c>
      <c r="B69" t="s">
        <v>54</v>
      </c>
      <c r="C69" s="11">
        <v>1300</v>
      </c>
      <c r="D69" s="11"/>
      <c r="E69" t="s">
        <v>214</v>
      </c>
      <c r="F69" s="52" t="s">
        <v>113</v>
      </c>
    </row>
    <row r="70" spans="1:6" hidden="1" x14ac:dyDescent="0.3">
      <c r="A70" s="104">
        <v>45920</v>
      </c>
      <c r="B70" t="s">
        <v>121</v>
      </c>
      <c r="C70" s="11"/>
      <c r="D70" s="11">
        <v>1300</v>
      </c>
      <c r="E70" t="s">
        <v>214</v>
      </c>
      <c r="F70" s="52" t="s">
        <v>113</v>
      </c>
    </row>
    <row r="71" spans="1:6" hidden="1" x14ac:dyDescent="0.3">
      <c r="A71" s="104">
        <v>45921</v>
      </c>
      <c r="B71" t="s">
        <v>21</v>
      </c>
      <c r="C71" s="11"/>
      <c r="D71" s="11">
        <f>12030+2750</f>
        <v>14780</v>
      </c>
      <c r="E71" t="s">
        <v>217</v>
      </c>
      <c r="F71" s="52" t="s">
        <v>113</v>
      </c>
    </row>
    <row r="72" spans="1:6" hidden="1" x14ac:dyDescent="0.3">
      <c r="A72" s="43">
        <v>45921</v>
      </c>
      <c r="B72" t="s">
        <v>55</v>
      </c>
      <c r="C72" s="47">
        <v>14780</v>
      </c>
      <c r="D72" s="47"/>
      <c r="E72" t="s">
        <v>217</v>
      </c>
      <c r="F72" s="52" t="s">
        <v>113</v>
      </c>
    </row>
    <row r="73" spans="1:6" hidden="1" x14ac:dyDescent="0.3">
      <c r="A73" s="43">
        <v>45921</v>
      </c>
      <c r="B73" t="s">
        <v>121</v>
      </c>
      <c r="C73" s="47"/>
      <c r="D73" s="47">
        <v>1200</v>
      </c>
      <c r="F73" s="52" t="s">
        <v>114</v>
      </c>
    </row>
    <row r="74" spans="1:6" x14ac:dyDescent="0.3">
      <c r="A74" s="43">
        <v>45921</v>
      </c>
      <c r="B74" t="s">
        <v>98</v>
      </c>
      <c r="C74" s="115">
        <v>36000</v>
      </c>
      <c r="D74" s="47"/>
      <c r="E74" t="s">
        <v>218</v>
      </c>
      <c r="F74" s="52" t="s">
        <v>114</v>
      </c>
    </row>
    <row r="75" spans="1:6" hidden="1" x14ac:dyDescent="0.3">
      <c r="A75" s="104">
        <v>45922</v>
      </c>
      <c r="B75" t="s">
        <v>9</v>
      </c>
      <c r="C75" s="11"/>
      <c r="D75" s="11">
        <v>52800</v>
      </c>
      <c r="E75" t="s">
        <v>219</v>
      </c>
      <c r="F75" s="52" t="s">
        <v>113</v>
      </c>
    </row>
    <row r="76" spans="1:6" hidden="1" x14ac:dyDescent="0.3">
      <c r="A76" s="104">
        <v>45922</v>
      </c>
      <c r="B76" t="s">
        <v>125</v>
      </c>
      <c r="C76" s="11">
        <v>310500</v>
      </c>
      <c r="D76" s="11"/>
      <c r="E76" t="s">
        <v>61</v>
      </c>
      <c r="F76" s="52" t="s">
        <v>113</v>
      </c>
    </row>
    <row r="77" spans="1:6" hidden="1" x14ac:dyDescent="0.3">
      <c r="A77" s="104">
        <v>45922</v>
      </c>
      <c r="B77" t="s">
        <v>118</v>
      </c>
      <c r="C77" s="11"/>
      <c r="D77" s="11">
        <v>200</v>
      </c>
      <c r="E77" t="s">
        <v>220</v>
      </c>
      <c r="F77" s="52" t="s">
        <v>113</v>
      </c>
    </row>
    <row r="78" spans="1:6" hidden="1" x14ac:dyDescent="0.3">
      <c r="A78" s="104">
        <v>45922</v>
      </c>
      <c r="B78" t="s">
        <v>50</v>
      </c>
      <c r="C78" s="11">
        <v>200</v>
      </c>
      <c r="D78" s="11"/>
      <c r="E78" t="s">
        <v>221</v>
      </c>
      <c r="F78" s="52" t="s">
        <v>113</v>
      </c>
    </row>
    <row r="79" spans="1:6" hidden="1" x14ac:dyDescent="0.3">
      <c r="A79" s="104">
        <v>45922</v>
      </c>
      <c r="B79" t="s">
        <v>55</v>
      </c>
      <c r="C79" s="11">
        <v>5600</v>
      </c>
      <c r="D79" s="11"/>
      <c r="F79" s="52" t="s">
        <v>113</v>
      </c>
    </row>
    <row r="80" spans="1:6" x14ac:dyDescent="0.3">
      <c r="A80" s="104">
        <v>45922</v>
      </c>
      <c r="B80" t="s">
        <v>98</v>
      </c>
      <c r="C80" s="114">
        <v>37400</v>
      </c>
      <c r="D80" s="11"/>
      <c r="E80" t="s">
        <v>222</v>
      </c>
      <c r="F80" s="52" t="s">
        <v>113</v>
      </c>
    </row>
    <row r="81" spans="1:6" hidden="1" x14ac:dyDescent="0.3">
      <c r="A81" s="104">
        <v>45922</v>
      </c>
      <c r="B81" t="s">
        <v>223</v>
      </c>
      <c r="C81" s="47">
        <v>1895031</v>
      </c>
      <c r="D81" s="47"/>
      <c r="E81" t="s">
        <v>224</v>
      </c>
      <c r="F81" s="52" t="s">
        <v>113</v>
      </c>
    </row>
    <row r="82" spans="1:6" hidden="1" x14ac:dyDescent="0.3">
      <c r="A82" s="104">
        <v>45922</v>
      </c>
      <c r="B82" t="s">
        <v>55</v>
      </c>
      <c r="C82" s="11">
        <v>5000</v>
      </c>
      <c r="D82" s="11"/>
      <c r="F82" s="52" t="s">
        <v>113</v>
      </c>
    </row>
    <row r="83" spans="1:6" x14ac:dyDescent="0.3">
      <c r="A83" s="104">
        <v>45922</v>
      </c>
      <c r="B83" t="s">
        <v>98</v>
      </c>
      <c r="C83" s="107">
        <v>12000</v>
      </c>
      <c r="D83" s="11"/>
      <c r="E83" t="s">
        <v>225</v>
      </c>
      <c r="F83" s="52" t="s">
        <v>114</v>
      </c>
    </row>
    <row r="84" spans="1:6" hidden="1" x14ac:dyDescent="0.3">
      <c r="A84" s="104">
        <v>45922</v>
      </c>
      <c r="B84" t="s">
        <v>159</v>
      </c>
      <c r="C84" s="11">
        <v>150000</v>
      </c>
      <c r="D84" s="11"/>
      <c r="F84" s="52" t="s">
        <v>114</v>
      </c>
    </row>
    <row r="85" spans="1:6" hidden="1" x14ac:dyDescent="0.3">
      <c r="A85" s="104">
        <v>45922</v>
      </c>
      <c r="B85" t="s">
        <v>121</v>
      </c>
      <c r="C85" s="11">
        <v>9200</v>
      </c>
      <c r="D85" s="11"/>
      <c r="E85" t="s">
        <v>171</v>
      </c>
      <c r="F85" s="52" t="s">
        <v>114</v>
      </c>
    </row>
    <row r="86" spans="1:6" hidden="1" x14ac:dyDescent="0.3">
      <c r="A86" s="104">
        <v>45922</v>
      </c>
      <c r="B86" t="s">
        <v>54</v>
      </c>
      <c r="C86" s="11">
        <v>3000</v>
      </c>
      <c r="D86" s="11"/>
      <c r="E86" t="s">
        <v>226</v>
      </c>
      <c r="F86" s="52" t="s">
        <v>114</v>
      </c>
    </row>
    <row r="87" spans="1:6" hidden="1" x14ac:dyDescent="0.3">
      <c r="A87" s="104">
        <v>45922</v>
      </c>
      <c r="B87" t="s">
        <v>64</v>
      </c>
      <c r="C87" s="11">
        <v>138000</v>
      </c>
      <c r="D87" s="11"/>
      <c r="E87" t="s">
        <v>227</v>
      </c>
      <c r="F87" s="52" t="s">
        <v>113</v>
      </c>
    </row>
    <row r="88" spans="1:6" hidden="1" x14ac:dyDescent="0.3">
      <c r="A88" s="104">
        <v>45922</v>
      </c>
      <c r="B88" t="s">
        <v>55</v>
      </c>
      <c r="C88" s="11">
        <v>1000</v>
      </c>
      <c r="D88" s="11"/>
      <c r="E88" t="s">
        <v>228</v>
      </c>
      <c r="F88" s="52" t="s">
        <v>113</v>
      </c>
    </row>
    <row r="89" spans="1:6" hidden="1" x14ac:dyDescent="0.3">
      <c r="A89" s="104">
        <v>45922</v>
      </c>
      <c r="B89" t="s">
        <v>21</v>
      </c>
      <c r="C89" s="11"/>
      <c r="D89" s="11">
        <v>140000</v>
      </c>
      <c r="E89" t="s">
        <v>64</v>
      </c>
      <c r="F89" s="52" t="s">
        <v>113</v>
      </c>
    </row>
    <row r="90" spans="1:6" hidden="1" x14ac:dyDescent="0.3">
      <c r="A90" s="104">
        <v>45922</v>
      </c>
      <c r="B90" t="s">
        <v>52</v>
      </c>
      <c r="C90" s="11">
        <v>10000</v>
      </c>
      <c r="D90" s="11"/>
      <c r="E90" t="s">
        <v>229</v>
      </c>
      <c r="F90" s="52" t="s">
        <v>114</v>
      </c>
    </row>
    <row r="91" spans="1:6" x14ac:dyDescent="0.3">
      <c r="A91" s="104">
        <v>45922</v>
      </c>
      <c r="B91" t="s">
        <v>98</v>
      </c>
      <c r="C91" s="114">
        <v>200002</v>
      </c>
      <c r="D91" s="11"/>
      <c r="F91" s="52" t="s">
        <v>113</v>
      </c>
    </row>
    <row r="92" spans="1:6" hidden="1" x14ac:dyDescent="0.3">
      <c r="A92" s="104">
        <v>45922</v>
      </c>
      <c r="B92" t="s">
        <v>162</v>
      </c>
      <c r="C92" s="11"/>
      <c r="D92" s="11">
        <v>250000</v>
      </c>
      <c r="F92" s="52" t="s">
        <v>113</v>
      </c>
    </row>
    <row r="93" spans="1:6" hidden="1" x14ac:dyDescent="0.3">
      <c r="A93" s="104">
        <v>45922</v>
      </c>
      <c r="B93" t="s">
        <v>25</v>
      </c>
      <c r="C93" s="11"/>
      <c r="D93" s="11">
        <v>400000</v>
      </c>
      <c r="F93" s="52" t="s">
        <v>113</v>
      </c>
    </row>
    <row r="94" spans="1:6" hidden="1" x14ac:dyDescent="0.3">
      <c r="A94" s="104">
        <v>45922</v>
      </c>
      <c r="B94" t="s">
        <v>21</v>
      </c>
      <c r="C94" s="11"/>
      <c r="D94" s="11">
        <v>1116533</v>
      </c>
      <c r="E94" t="s">
        <v>315</v>
      </c>
      <c r="F94" s="52" t="s">
        <v>113</v>
      </c>
    </row>
    <row r="95" spans="1:6" hidden="1" x14ac:dyDescent="0.3">
      <c r="A95" s="104">
        <v>45922</v>
      </c>
      <c r="B95" t="s">
        <v>123</v>
      </c>
      <c r="C95" s="11">
        <v>2000</v>
      </c>
      <c r="D95" s="11"/>
      <c r="E95" t="s">
        <v>230</v>
      </c>
      <c r="F95" s="52" t="s">
        <v>114</v>
      </c>
    </row>
    <row r="96" spans="1:6" hidden="1" x14ac:dyDescent="0.3">
      <c r="A96" s="104">
        <v>45922</v>
      </c>
      <c r="B96" t="s">
        <v>119</v>
      </c>
      <c r="C96" s="11">
        <v>18000</v>
      </c>
      <c r="D96" s="11"/>
      <c r="E96" t="s">
        <v>231</v>
      </c>
      <c r="F96" s="52" t="s">
        <v>114</v>
      </c>
    </row>
    <row r="97" spans="1:6" hidden="1" x14ac:dyDescent="0.3">
      <c r="A97" s="104">
        <v>45923</v>
      </c>
      <c r="B97" t="s">
        <v>55</v>
      </c>
      <c r="C97" s="11">
        <v>91000</v>
      </c>
      <c r="D97" s="11"/>
      <c r="E97" t="s">
        <v>233</v>
      </c>
      <c r="F97" s="52" t="s">
        <v>114</v>
      </c>
    </row>
    <row r="98" spans="1:6" hidden="1" x14ac:dyDescent="0.3">
      <c r="A98" s="104">
        <v>45923</v>
      </c>
      <c r="B98" t="s">
        <v>121</v>
      </c>
      <c r="C98" s="47"/>
      <c r="D98" s="47">
        <f>65000-41028</f>
        <v>23972</v>
      </c>
      <c r="E98" t="s">
        <v>244</v>
      </c>
      <c r="F98" s="52" t="s">
        <v>113</v>
      </c>
    </row>
    <row r="99" spans="1:6" x14ac:dyDescent="0.3">
      <c r="A99" s="104">
        <v>45923</v>
      </c>
      <c r="B99" t="s">
        <v>98</v>
      </c>
      <c r="C99" s="114">
        <v>34500</v>
      </c>
      <c r="D99" s="11"/>
      <c r="E99" t="s">
        <v>234</v>
      </c>
      <c r="F99" s="52" t="s">
        <v>113</v>
      </c>
    </row>
    <row r="100" spans="1:6" hidden="1" x14ac:dyDescent="0.3">
      <c r="A100" s="104">
        <v>45923</v>
      </c>
      <c r="B100" t="s">
        <v>54</v>
      </c>
      <c r="C100" s="11">
        <v>10000</v>
      </c>
      <c r="D100" s="11"/>
      <c r="E100" t="s">
        <v>158</v>
      </c>
      <c r="F100" s="52" t="s">
        <v>114</v>
      </c>
    </row>
    <row r="101" spans="1:6" hidden="1" x14ac:dyDescent="0.3">
      <c r="A101" s="104">
        <v>45923</v>
      </c>
      <c r="B101" t="s">
        <v>21</v>
      </c>
      <c r="C101" s="11"/>
      <c r="D101" s="11">
        <v>9000</v>
      </c>
      <c r="E101" t="s">
        <v>158</v>
      </c>
      <c r="F101" s="52" t="s">
        <v>114</v>
      </c>
    </row>
    <row r="102" spans="1:6" hidden="1" x14ac:dyDescent="0.3">
      <c r="A102" s="104">
        <v>45923</v>
      </c>
      <c r="B102" t="s">
        <v>118</v>
      </c>
      <c r="C102" s="11"/>
      <c r="D102" s="11">
        <v>8700</v>
      </c>
      <c r="F102" s="52" t="s">
        <v>113</v>
      </c>
    </row>
    <row r="103" spans="1:6" hidden="1" x14ac:dyDescent="0.3">
      <c r="A103" s="104">
        <v>45923</v>
      </c>
      <c r="B103" t="s">
        <v>50</v>
      </c>
      <c r="C103" s="11">
        <v>200</v>
      </c>
      <c r="D103" s="11"/>
      <c r="E103" t="s">
        <v>169</v>
      </c>
      <c r="F103" s="52" t="s">
        <v>113</v>
      </c>
    </row>
    <row r="104" spans="1:6" hidden="1" x14ac:dyDescent="0.3">
      <c r="A104" s="104">
        <v>45923</v>
      </c>
      <c r="B104" t="s">
        <v>21</v>
      </c>
      <c r="C104" s="11"/>
      <c r="D104" s="11">
        <v>250000</v>
      </c>
      <c r="E104" t="s">
        <v>235</v>
      </c>
      <c r="F104" s="52" t="s">
        <v>114</v>
      </c>
    </row>
    <row r="105" spans="1:6" hidden="1" x14ac:dyDescent="0.3">
      <c r="A105" s="104">
        <v>45923</v>
      </c>
      <c r="B105" t="s">
        <v>237</v>
      </c>
      <c r="C105" s="11">
        <v>250000</v>
      </c>
      <c r="D105" s="11"/>
      <c r="E105" t="s">
        <v>236</v>
      </c>
      <c r="F105" s="52" t="s">
        <v>113</v>
      </c>
    </row>
    <row r="106" spans="1:6" hidden="1" x14ac:dyDescent="0.3">
      <c r="A106" s="104">
        <v>45923</v>
      </c>
      <c r="B106" t="s">
        <v>55</v>
      </c>
      <c r="C106" s="11">
        <v>2530</v>
      </c>
      <c r="D106" s="11"/>
      <c r="F106" s="52" t="s">
        <v>114</v>
      </c>
    </row>
    <row r="107" spans="1:6" x14ac:dyDescent="0.3">
      <c r="A107" s="104">
        <v>45923</v>
      </c>
      <c r="B107" t="s">
        <v>98</v>
      </c>
      <c r="C107" s="115">
        <v>37900</v>
      </c>
      <c r="D107" s="47"/>
      <c r="E107" t="s">
        <v>238</v>
      </c>
      <c r="F107" s="52" t="s">
        <v>114</v>
      </c>
    </row>
    <row r="108" spans="1:6" hidden="1" x14ac:dyDescent="0.3">
      <c r="A108" s="104">
        <v>45923</v>
      </c>
      <c r="B108" t="s">
        <v>54</v>
      </c>
      <c r="C108" s="11">
        <v>3000</v>
      </c>
      <c r="D108" s="11"/>
      <c r="E108" t="s">
        <v>211</v>
      </c>
      <c r="F108" s="52" t="s">
        <v>114</v>
      </c>
    </row>
    <row r="109" spans="1:6" hidden="1" x14ac:dyDescent="0.3">
      <c r="A109" s="104">
        <v>45923</v>
      </c>
      <c r="B109" t="s">
        <v>54</v>
      </c>
      <c r="C109" s="11">
        <v>6500</v>
      </c>
      <c r="D109" s="11"/>
      <c r="E109" t="s">
        <v>239</v>
      </c>
      <c r="F109" s="52" t="s">
        <v>114</v>
      </c>
    </row>
    <row r="110" spans="1:6" hidden="1" x14ac:dyDescent="0.3">
      <c r="A110" s="104">
        <v>45923</v>
      </c>
      <c r="B110" t="s">
        <v>52</v>
      </c>
      <c r="C110" s="11">
        <v>10000</v>
      </c>
      <c r="D110" s="11"/>
      <c r="E110" t="s">
        <v>240</v>
      </c>
      <c r="F110" s="52" t="s">
        <v>114</v>
      </c>
    </row>
    <row r="111" spans="1:6" hidden="1" x14ac:dyDescent="0.3">
      <c r="A111" s="104">
        <v>45923</v>
      </c>
      <c r="B111" t="s">
        <v>52</v>
      </c>
      <c r="C111" s="11">
        <v>4000</v>
      </c>
      <c r="D111" s="11"/>
      <c r="E111" t="s">
        <v>240</v>
      </c>
      <c r="F111" s="52" t="s">
        <v>113</v>
      </c>
    </row>
    <row r="112" spans="1:6" hidden="1" x14ac:dyDescent="0.3">
      <c r="A112" s="104">
        <v>45923</v>
      </c>
      <c r="B112" t="s">
        <v>123</v>
      </c>
      <c r="C112" s="11">
        <v>1000</v>
      </c>
      <c r="D112" s="11"/>
      <c r="E112" t="s">
        <v>241</v>
      </c>
      <c r="F112" s="52" t="s">
        <v>114</v>
      </c>
    </row>
    <row r="113" spans="1:6" hidden="1" x14ac:dyDescent="0.3">
      <c r="A113" s="104">
        <v>45923</v>
      </c>
      <c r="B113" t="s">
        <v>121</v>
      </c>
      <c r="C113" s="11">
        <v>11000</v>
      </c>
      <c r="D113" s="11"/>
      <c r="E113" t="s">
        <v>211</v>
      </c>
      <c r="F113" s="52" t="s">
        <v>114</v>
      </c>
    </row>
    <row r="114" spans="1:6" hidden="1" x14ac:dyDescent="0.3">
      <c r="A114" s="104">
        <v>45923</v>
      </c>
      <c r="B114" t="s">
        <v>54</v>
      </c>
      <c r="C114" s="11">
        <v>5700</v>
      </c>
      <c r="D114" s="11"/>
      <c r="E114" t="s">
        <v>206</v>
      </c>
      <c r="F114" s="52" t="s">
        <v>113</v>
      </c>
    </row>
    <row r="115" spans="1:6" hidden="1" x14ac:dyDescent="0.3">
      <c r="A115" s="104">
        <v>45923</v>
      </c>
      <c r="B115" t="s">
        <v>243</v>
      </c>
      <c r="C115" s="11"/>
      <c r="D115" s="11">
        <v>290000</v>
      </c>
      <c r="F115" s="52" t="s">
        <v>113</v>
      </c>
    </row>
    <row r="116" spans="1:6" x14ac:dyDescent="0.3">
      <c r="A116" s="104">
        <v>45923</v>
      </c>
      <c r="B116" t="s">
        <v>98</v>
      </c>
      <c r="C116" s="114">
        <v>290000</v>
      </c>
      <c r="D116" s="11"/>
      <c r="E116" t="s">
        <v>242</v>
      </c>
      <c r="F116" s="52" t="s">
        <v>113</v>
      </c>
    </row>
    <row r="117" spans="1:6" hidden="1" x14ac:dyDescent="0.3">
      <c r="A117" s="43">
        <v>45923</v>
      </c>
      <c r="B117" t="s">
        <v>54</v>
      </c>
      <c r="C117" s="47">
        <v>14000</v>
      </c>
      <c r="D117" s="47"/>
      <c r="E117" t="s">
        <v>158</v>
      </c>
      <c r="F117" s="52" t="s">
        <v>113</v>
      </c>
    </row>
    <row r="118" spans="1:6" hidden="1" x14ac:dyDescent="0.3">
      <c r="A118" s="43">
        <v>45923</v>
      </c>
      <c r="B118" t="s">
        <v>21</v>
      </c>
      <c r="C118" s="47"/>
      <c r="D118" s="47">
        <v>14000</v>
      </c>
      <c r="E118" t="s">
        <v>158</v>
      </c>
      <c r="F118" s="52" t="s">
        <v>113</v>
      </c>
    </row>
    <row r="119" spans="1:6" hidden="1" x14ac:dyDescent="0.3">
      <c r="A119" s="104">
        <v>45923</v>
      </c>
      <c r="B119" t="s">
        <v>54</v>
      </c>
      <c r="C119" s="11">
        <v>5000</v>
      </c>
      <c r="D119" s="11"/>
      <c r="E119" t="s">
        <v>203</v>
      </c>
      <c r="F119" s="52" t="s">
        <v>113</v>
      </c>
    </row>
    <row r="120" spans="1:6" hidden="1" x14ac:dyDescent="0.3">
      <c r="A120" s="43">
        <v>45924</v>
      </c>
      <c r="B120" t="s">
        <v>54</v>
      </c>
      <c r="C120" s="47">
        <v>1000</v>
      </c>
      <c r="D120" s="47"/>
      <c r="E120" t="s">
        <v>245</v>
      </c>
      <c r="F120" s="52" t="s">
        <v>114</v>
      </c>
    </row>
    <row r="121" spans="1:6" hidden="1" x14ac:dyDescent="0.3">
      <c r="A121" s="104">
        <v>45924</v>
      </c>
      <c r="B121" t="s">
        <v>35</v>
      </c>
      <c r="C121" s="11"/>
      <c r="D121" s="11">
        <v>155000</v>
      </c>
      <c r="F121" s="52" t="s">
        <v>113</v>
      </c>
    </row>
    <row r="122" spans="1:6" x14ac:dyDescent="0.3">
      <c r="A122" s="104">
        <v>45924</v>
      </c>
      <c r="B122" t="s">
        <v>98</v>
      </c>
      <c r="C122" s="114">
        <v>155000</v>
      </c>
      <c r="D122" s="11"/>
      <c r="E122" t="s">
        <v>246</v>
      </c>
      <c r="F122" s="52" t="s">
        <v>113</v>
      </c>
    </row>
    <row r="123" spans="1:6" hidden="1" x14ac:dyDescent="0.3">
      <c r="A123" s="104">
        <v>45924</v>
      </c>
      <c r="B123" t="s">
        <v>243</v>
      </c>
      <c r="C123" s="11"/>
      <c r="D123" s="11">
        <v>100000</v>
      </c>
      <c r="F123" s="52" t="s">
        <v>113</v>
      </c>
    </row>
    <row r="124" spans="1:6" hidden="1" x14ac:dyDescent="0.3">
      <c r="A124" s="104">
        <v>45924</v>
      </c>
      <c r="B124" t="s">
        <v>159</v>
      </c>
      <c r="C124" s="11">
        <v>50000</v>
      </c>
      <c r="D124" s="11"/>
      <c r="F124" s="52" t="s">
        <v>113</v>
      </c>
    </row>
    <row r="125" spans="1:6" hidden="1" x14ac:dyDescent="0.3">
      <c r="A125" s="104">
        <v>45924</v>
      </c>
      <c r="B125" t="s">
        <v>55</v>
      </c>
      <c r="C125" s="11">
        <v>4500</v>
      </c>
      <c r="D125" s="11"/>
      <c r="E125" t="s">
        <v>247</v>
      </c>
      <c r="F125" s="52" t="s">
        <v>113</v>
      </c>
    </row>
    <row r="126" spans="1:6" hidden="1" x14ac:dyDescent="0.3">
      <c r="A126" s="104">
        <v>45924</v>
      </c>
      <c r="B126" t="s">
        <v>50</v>
      </c>
      <c r="C126" s="11">
        <v>1140</v>
      </c>
      <c r="D126" s="11"/>
      <c r="E126" t="s">
        <v>248</v>
      </c>
      <c r="F126" s="52" t="s">
        <v>113</v>
      </c>
    </row>
    <row r="127" spans="1:6" hidden="1" x14ac:dyDescent="0.3">
      <c r="A127" s="104">
        <v>45924</v>
      </c>
      <c r="B127" t="s">
        <v>55</v>
      </c>
      <c r="C127" s="11">
        <v>940</v>
      </c>
      <c r="D127" s="11"/>
      <c r="F127" s="52" t="s">
        <v>113</v>
      </c>
    </row>
    <row r="128" spans="1:6" hidden="1" x14ac:dyDescent="0.3">
      <c r="A128" s="104">
        <v>45924</v>
      </c>
      <c r="B128" t="s">
        <v>54</v>
      </c>
      <c r="C128" s="11">
        <v>5000</v>
      </c>
      <c r="D128" s="11"/>
      <c r="E128" t="s">
        <v>203</v>
      </c>
      <c r="F128" s="52" t="s">
        <v>113</v>
      </c>
    </row>
    <row r="129" spans="1:6" hidden="1" x14ac:dyDescent="0.3">
      <c r="A129" s="104">
        <v>45925</v>
      </c>
      <c r="B129" t="s">
        <v>243</v>
      </c>
      <c r="C129" s="11"/>
      <c r="D129" s="11">
        <v>200000</v>
      </c>
      <c r="F129" s="52" t="s">
        <v>113</v>
      </c>
    </row>
    <row r="130" spans="1:6" x14ac:dyDescent="0.3">
      <c r="A130" s="43">
        <v>45925</v>
      </c>
      <c r="B130" t="s">
        <v>98</v>
      </c>
      <c r="C130" s="115">
        <v>200000</v>
      </c>
      <c r="D130" s="47"/>
      <c r="E130" t="s">
        <v>249</v>
      </c>
      <c r="F130" s="52" t="s">
        <v>113</v>
      </c>
    </row>
    <row r="131" spans="1:6" hidden="1" x14ac:dyDescent="0.3">
      <c r="A131" s="104">
        <v>45925</v>
      </c>
      <c r="B131" t="s">
        <v>118</v>
      </c>
      <c r="C131" s="11"/>
      <c r="D131" s="11">
        <v>650</v>
      </c>
      <c r="F131" s="52" t="s">
        <v>113</v>
      </c>
    </row>
    <row r="132" spans="1:6" hidden="1" x14ac:dyDescent="0.3">
      <c r="A132" s="43">
        <v>45925</v>
      </c>
      <c r="B132" t="s">
        <v>159</v>
      </c>
      <c r="C132" s="11">
        <v>100010</v>
      </c>
      <c r="D132" s="11"/>
      <c r="E132" t="s">
        <v>250</v>
      </c>
      <c r="F132" s="52" t="s">
        <v>113</v>
      </c>
    </row>
    <row r="133" spans="1:6" hidden="1" x14ac:dyDescent="0.3">
      <c r="A133" s="104">
        <v>45925</v>
      </c>
      <c r="B133" t="s">
        <v>54</v>
      </c>
      <c r="C133" s="11">
        <v>600</v>
      </c>
      <c r="D133" s="11"/>
      <c r="E133" t="s">
        <v>211</v>
      </c>
      <c r="F133" s="52" t="s">
        <v>113</v>
      </c>
    </row>
    <row r="134" spans="1:6" hidden="1" x14ac:dyDescent="0.3">
      <c r="A134" s="43">
        <v>45925</v>
      </c>
      <c r="B134" t="s">
        <v>50</v>
      </c>
      <c r="C134" s="11">
        <v>100</v>
      </c>
      <c r="D134" s="11"/>
      <c r="E134" t="s">
        <v>251</v>
      </c>
      <c r="F134" s="52" t="s">
        <v>114</v>
      </c>
    </row>
    <row r="135" spans="1:6" hidden="1" x14ac:dyDescent="0.3">
      <c r="A135" s="104">
        <v>45925</v>
      </c>
      <c r="B135" t="s">
        <v>64</v>
      </c>
      <c r="C135" s="11">
        <v>69000</v>
      </c>
      <c r="D135" s="11"/>
      <c r="F135" s="52" t="s">
        <v>113</v>
      </c>
    </row>
    <row r="136" spans="1:6" hidden="1" x14ac:dyDescent="0.3">
      <c r="A136" s="104">
        <v>45925</v>
      </c>
      <c r="B136" t="s">
        <v>125</v>
      </c>
      <c r="C136" s="11">
        <v>24600</v>
      </c>
      <c r="D136" s="11"/>
      <c r="E136" t="s">
        <v>61</v>
      </c>
      <c r="F136" s="52" t="s">
        <v>114</v>
      </c>
    </row>
    <row r="137" spans="1:6" hidden="1" x14ac:dyDescent="0.3">
      <c r="A137" s="43">
        <v>45925</v>
      </c>
      <c r="B137" t="s">
        <v>21</v>
      </c>
      <c r="C137" s="11"/>
      <c r="D137" s="11">
        <v>69000</v>
      </c>
      <c r="E137" t="s">
        <v>64</v>
      </c>
      <c r="F137" s="52" t="s">
        <v>113</v>
      </c>
    </row>
    <row r="138" spans="1:6" hidden="1" x14ac:dyDescent="0.3">
      <c r="A138" s="104">
        <v>45925</v>
      </c>
      <c r="B138" t="s">
        <v>21</v>
      </c>
      <c r="C138" s="47"/>
      <c r="D138" s="47">
        <v>24600</v>
      </c>
      <c r="E138" t="s">
        <v>61</v>
      </c>
      <c r="F138" s="52" t="s">
        <v>113</v>
      </c>
    </row>
    <row r="139" spans="1:6" hidden="1" x14ac:dyDescent="0.3">
      <c r="A139" s="104">
        <v>45925</v>
      </c>
      <c r="B139" t="s">
        <v>119</v>
      </c>
      <c r="C139" s="11">
        <v>15995</v>
      </c>
      <c r="D139" s="11"/>
      <c r="E139" t="s">
        <v>119</v>
      </c>
      <c r="F139" s="52" t="s">
        <v>114</v>
      </c>
    </row>
    <row r="140" spans="1:6" hidden="1" x14ac:dyDescent="0.3">
      <c r="A140" s="43">
        <v>45925</v>
      </c>
      <c r="B140" t="s">
        <v>54</v>
      </c>
      <c r="C140" s="47">
        <v>6708</v>
      </c>
      <c r="D140" s="47"/>
      <c r="E140" t="s">
        <v>206</v>
      </c>
      <c r="F140" s="52" t="s">
        <v>113</v>
      </c>
    </row>
    <row r="141" spans="1:6" hidden="1" x14ac:dyDescent="0.3">
      <c r="A141" s="104">
        <v>45925</v>
      </c>
      <c r="B141" t="s">
        <v>9</v>
      </c>
      <c r="C141" s="11"/>
      <c r="D141" s="11">
        <v>176985</v>
      </c>
      <c r="E141" t="s">
        <v>88</v>
      </c>
      <c r="F141" s="52" t="s">
        <v>113</v>
      </c>
    </row>
    <row r="142" spans="1:6" hidden="1" x14ac:dyDescent="0.3">
      <c r="A142" s="104">
        <v>45925</v>
      </c>
      <c r="B142" t="s">
        <v>50</v>
      </c>
      <c r="C142" s="11">
        <v>200</v>
      </c>
      <c r="D142" s="11"/>
      <c r="E142" t="s">
        <v>256</v>
      </c>
      <c r="F142" s="52" t="s">
        <v>114</v>
      </c>
    </row>
    <row r="143" spans="1:6" hidden="1" x14ac:dyDescent="0.3">
      <c r="A143" s="104">
        <v>45925</v>
      </c>
      <c r="B143" t="s">
        <v>24</v>
      </c>
      <c r="C143" s="11"/>
      <c r="D143" s="11">
        <v>1450000</v>
      </c>
      <c r="F143" s="52" t="s">
        <v>114</v>
      </c>
    </row>
    <row r="144" spans="1:6" hidden="1" x14ac:dyDescent="0.3">
      <c r="A144" s="104">
        <v>45925</v>
      </c>
      <c r="B144" t="s">
        <v>24</v>
      </c>
      <c r="C144" s="11"/>
      <c r="D144" s="11">
        <v>50000</v>
      </c>
      <c r="F144" s="52" t="s">
        <v>113</v>
      </c>
    </row>
    <row r="145" spans="1:6" hidden="1" x14ac:dyDescent="0.3">
      <c r="A145" s="104">
        <v>45926</v>
      </c>
      <c r="B145" t="s">
        <v>23</v>
      </c>
      <c r="C145" s="47"/>
      <c r="D145" s="47">
        <f>101000+1500</f>
        <v>102500</v>
      </c>
      <c r="F145" s="52" t="s">
        <v>113</v>
      </c>
    </row>
    <row r="146" spans="1:6" hidden="1" x14ac:dyDescent="0.3">
      <c r="A146" s="104">
        <v>45926</v>
      </c>
      <c r="B146" t="s">
        <v>54</v>
      </c>
      <c r="C146" s="11">
        <v>1500</v>
      </c>
      <c r="D146" s="11"/>
      <c r="E146" t="s">
        <v>257</v>
      </c>
      <c r="F146" s="52" t="s">
        <v>113</v>
      </c>
    </row>
    <row r="147" spans="1:6" x14ac:dyDescent="0.3">
      <c r="A147" s="104">
        <v>45926</v>
      </c>
      <c r="B147" t="s">
        <v>98</v>
      </c>
      <c r="C147" s="114">
        <v>49400</v>
      </c>
      <c r="D147" s="11"/>
      <c r="E147" t="s">
        <v>258</v>
      </c>
      <c r="F147" s="52" t="s">
        <v>113</v>
      </c>
    </row>
    <row r="148" spans="1:6" x14ac:dyDescent="0.3">
      <c r="A148" s="104">
        <v>45926</v>
      </c>
      <c r="B148" t="s">
        <v>98</v>
      </c>
      <c r="C148" s="114">
        <v>41200</v>
      </c>
      <c r="D148" s="11"/>
      <c r="E148" t="s">
        <v>259</v>
      </c>
      <c r="F148" s="52" t="s">
        <v>113</v>
      </c>
    </row>
    <row r="149" spans="1:6" hidden="1" x14ac:dyDescent="0.3">
      <c r="A149" s="104">
        <v>45926</v>
      </c>
      <c r="B149" t="s">
        <v>54</v>
      </c>
      <c r="C149" s="11">
        <v>5324</v>
      </c>
      <c r="D149" s="11"/>
      <c r="E149" t="s">
        <v>203</v>
      </c>
      <c r="F149" s="52" t="s">
        <v>113</v>
      </c>
    </row>
    <row r="150" spans="1:6" hidden="1" x14ac:dyDescent="0.3">
      <c r="A150" s="104">
        <v>45926</v>
      </c>
      <c r="B150" t="s">
        <v>50</v>
      </c>
      <c r="C150" s="11">
        <v>600</v>
      </c>
      <c r="D150" s="11"/>
      <c r="E150" t="s">
        <v>260</v>
      </c>
      <c r="F150" s="52" t="s">
        <v>114</v>
      </c>
    </row>
    <row r="151" spans="1:6" hidden="1" x14ac:dyDescent="0.3">
      <c r="A151" s="104">
        <v>45926</v>
      </c>
      <c r="B151" t="s">
        <v>54</v>
      </c>
      <c r="C151" s="11">
        <v>500</v>
      </c>
      <c r="D151" s="11"/>
      <c r="E151" t="s">
        <v>245</v>
      </c>
      <c r="F151" s="52" t="s">
        <v>114</v>
      </c>
    </row>
    <row r="152" spans="1:6" hidden="1" x14ac:dyDescent="0.3">
      <c r="A152" s="104">
        <v>45926</v>
      </c>
      <c r="B152" t="s">
        <v>54</v>
      </c>
      <c r="C152" s="11">
        <v>700</v>
      </c>
      <c r="D152" s="11"/>
      <c r="E152" t="s">
        <v>260</v>
      </c>
      <c r="F152" s="52" t="s">
        <v>114</v>
      </c>
    </row>
    <row r="153" spans="1:6" hidden="1" x14ac:dyDescent="0.3">
      <c r="A153" s="104">
        <v>45926</v>
      </c>
      <c r="B153" t="s">
        <v>52</v>
      </c>
      <c r="C153" s="11"/>
      <c r="D153" s="11"/>
      <c r="E153" t="s">
        <v>261</v>
      </c>
      <c r="F153" s="52" t="s">
        <v>114</v>
      </c>
    </row>
    <row r="154" spans="1:6" hidden="1" x14ac:dyDescent="0.3">
      <c r="A154" s="104">
        <v>45926</v>
      </c>
      <c r="B154" t="s">
        <v>21</v>
      </c>
      <c r="C154" s="11"/>
      <c r="D154" s="11">
        <v>20000</v>
      </c>
      <c r="E154" t="s">
        <v>261</v>
      </c>
      <c r="F154" s="52" t="s">
        <v>114</v>
      </c>
    </row>
    <row r="155" spans="1:6" hidden="1" x14ac:dyDescent="0.3">
      <c r="A155" s="104">
        <v>45926</v>
      </c>
      <c r="B155" t="s">
        <v>52</v>
      </c>
      <c r="C155" s="11"/>
      <c r="D155" s="11"/>
      <c r="E155" t="s">
        <v>213</v>
      </c>
      <c r="F155" s="52" t="s">
        <v>114</v>
      </c>
    </row>
    <row r="156" spans="1:6" hidden="1" x14ac:dyDescent="0.3">
      <c r="A156" s="104">
        <v>45926</v>
      </c>
      <c r="B156" t="s">
        <v>52</v>
      </c>
      <c r="C156" s="11"/>
      <c r="D156" s="11"/>
      <c r="E156" t="s">
        <v>262</v>
      </c>
      <c r="F156" s="52" t="s">
        <v>114</v>
      </c>
    </row>
    <row r="157" spans="1:6" hidden="1" x14ac:dyDescent="0.3">
      <c r="A157" s="104">
        <v>45926</v>
      </c>
      <c r="B157" t="s">
        <v>123</v>
      </c>
      <c r="C157" s="11">
        <v>10000</v>
      </c>
      <c r="D157" s="11"/>
      <c r="E157" t="s">
        <v>184</v>
      </c>
      <c r="F157" s="52" t="s">
        <v>114</v>
      </c>
    </row>
    <row r="158" spans="1:6" x14ac:dyDescent="0.3">
      <c r="A158" s="104">
        <v>45926</v>
      </c>
      <c r="B158" t="s">
        <v>98</v>
      </c>
      <c r="C158" s="114">
        <v>305000</v>
      </c>
      <c r="D158" s="11"/>
      <c r="E158" t="s">
        <v>263</v>
      </c>
      <c r="F158" s="52" t="s">
        <v>113</v>
      </c>
    </row>
    <row r="159" spans="1:6" hidden="1" x14ac:dyDescent="0.3">
      <c r="A159" s="43">
        <v>45926</v>
      </c>
      <c r="B159" t="s">
        <v>52</v>
      </c>
      <c r="C159" s="47"/>
      <c r="D159" s="47"/>
      <c r="E159" t="s">
        <v>264</v>
      </c>
      <c r="F159" s="52" t="s">
        <v>114</v>
      </c>
    </row>
    <row r="160" spans="1:6" hidden="1" x14ac:dyDescent="0.3">
      <c r="A160" s="43">
        <v>45926</v>
      </c>
      <c r="B160" t="s">
        <v>21</v>
      </c>
      <c r="C160" s="47"/>
      <c r="D160" s="47">
        <v>82250</v>
      </c>
      <c r="F160" s="52" t="s">
        <v>113</v>
      </c>
    </row>
    <row r="161" spans="1:12" hidden="1" x14ac:dyDescent="0.3">
      <c r="A161" s="104">
        <v>45926</v>
      </c>
      <c r="B161" t="s">
        <v>122</v>
      </c>
      <c r="C161" s="11">
        <v>500000</v>
      </c>
      <c r="D161" s="11"/>
      <c r="E161" t="s">
        <v>64</v>
      </c>
      <c r="F161" s="52" t="s">
        <v>114</v>
      </c>
    </row>
    <row r="162" spans="1:12" hidden="1" x14ac:dyDescent="0.3">
      <c r="A162" s="43">
        <v>45926</v>
      </c>
      <c r="B162" t="s">
        <v>54</v>
      </c>
      <c r="C162" s="47">
        <v>6550</v>
      </c>
      <c r="D162" s="47"/>
      <c r="E162" t="s">
        <v>206</v>
      </c>
      <c r="F162" s="52" t="s">
        <v>113</v>
      </c>
    </row>
    <row r="163" spans="1:12" hidden="1" x14ac:dyDescent="0.3">
      <c r="A163" s="43">
        <v>45926</v>
      </c>
      <c r="B163" t="s">
        <v>223</v>
      </c>
      <c r="C163" s="47">
        <v>5000</v>
      </c>
      <c r="D163" s="47"/>
      <c r="E163" t="s">
        <v>265</v>
      </c>
      <c r="F163" s="52" t="s">
        <v>114</v>
      </c>
      <c r="J163" s="3" t="s">
        <v>6</v>
      </c>
      <c r="K163" t="s">
        <v>126</v>
      </c>
      <c r="L163" t="s">
        <v>127</v>
      </c>
    </row>
    <row r="164" spans="1:12" hidden="1" x14ac:dyDescent="0.3">
      <c r="A164" s="104">
        <v>45926</v>
      </c>
      <c r="B164" t="s">
        <v>64</v>
      </c>
      <c r="C164" s="11">
        <v>87750</v>
      </c>
      <c r="D164" s="11"/>
      <c r="F164" s="52" t="s">
        <v>114</v>
      </c>
      <c r="J164" s="4" t="s">
        <v>123</v>
      </c>
      <c r="K164" s="14"/>
      <c r="L164" s="14">
        <v>94000</v>
      </c>
    </row>
    <row r="165" spans="1:12" hidden="1" x14ac:dyDescent="0.3">
      <c r="A165" s="43">
        <v>45926</v>
      </c>
      <c r="B165" t="s">
        <v>21</v>
      </c>
      <c r="C165" s="47"/>
      <c r="D165" s="47">
        <v>87750</v>
      </c>
      <c r="E165" t="s">
        <v>64</v>
      </c>
      <c r="F165" s="52" t="s">
        <v>114</v>
      </c>
      <c r="J165" s="4" t="s">
        <v>9</v>
      </c>
      <c r="K165" s="14">
        <v>1352491</v>
      </c>
      <c r="L165" s="14"/>
    </row>
    <row r="166" spans="1:12" hidden="1" x14ac:dyDescent="0.3">
      <c r="A166" s="43">
        <v>45926</v>
      </c>
      <c r="B166" t="s">
        <v>121</v>
      </c>
      <c r="C166" s="47">
        <v>940</v>
      </c>
      <c r="D166" s="47"/>
      <c r="E166" t="s">
        <v>220</v>
      </c>
      <c r="F166" s="52" t="s">
        <v>114</v>
      </c>
      <c r="J166" s="4" t="s">
        <v>21</v>
      </c>
      <c r="K166" s="14">
        <v>4117060</v>
      </c>
      <c r="L166" s="14">
        <v>106500</v>
      </c>
    </row>
    <row r="167" spans="1:12" hidden="1" x14ac:dyDescent="0.3">
      <c r="A167" s="104">
        <v>45927</v>
      </c>
      <c r="B167" t="s">
        <v>21</v>
      </c>
      <c r="C167" s="11"/>
      <c r="D167" s="11">
        <v>100000</v>
      </c>
      <c r="F167" s="52" t="s">
        <v>113</v>
      </c>
      <c r="J167" s="4" t="s">
        <v>114</v>
      </c>
      <c r="K167" s="14"/>
      <c r="L167" s="14"/>
    </row>
    <row r="168" spans="1:12" hidden="1" x14ac:dyDescent="0.3">
      <c r="A168" s="104">
        <v>45927</v>
      </c>
      <c r="B168" t="s">
        <v>54</v>
      </c>
      <c r="C168" s="11">
        <v>2000</v>
      </c>
      <c r="D168" s="11"/>
      <c r="F168" s="52" t="s">
        <v>113</v>
      </c>
      <c r="J168" s="4" t="s">
        <v>125</v>
      </c>
      <c r="K168" s="14"/>
      <c r="L168" s="14">
        <v>1082250</v>
      </c>
    </row>
    <row r="169" spans="1:12" hidden="1" x14ac:dyDescent="0.3">
      <c r="A169" s="104">
        <v>45927</v>
      </c>
      <c r="B169" t="s">
        <v>54</v>
      </c>
      <c r="C169" s="11">
        <v>19200</v>
      </c>
      <c r="D169" s="11"/>
      <c r="E169" t="s">
        <v>268</v>
      </c>
      <c r="F169" s="52" t="s">
        <v>113</v>
      </c>
      <c r="J169" s="4" t="s">
        <v>98</v>
      </c>
      <c r="K169" s="14"/>
      <c r="L169" s="14">
        <v>6366531</v>
      </c>
    </row>
    <row r="170" spans="1:12" hidden="1" x14ac:dyDescent="0.3">
      <c r="A170" s="104">
        <v>45927</v>
      </c>
      <c r="B170" t="s">
        <v>162</v>
      </c>
      <c r="C170" s="11"/>
      <c r="D170" s="11">
        <v>250000</v>
      </c>
      <c r="F170" s="52" t="s">
        <v>113</v>
      </c>
      <c r="J170" s="4" t="s">
        <v>50</v>
      </c>
      <c r="K170" s="14"/>
      <c r="L170" s="14">
        <v>27062</v>
      </c>
    </row>
    <row r="171" spans="1:12" x14ac:dyDescent="0.3">
      <c r="A171" s="104">
        <v>45927</v>
      </c>
      <c r="B171" t="s">
        <v>98</v>
      </c>
      <c r="C171" s="114">
        <v>301000</v>
      </c>
      <c r="D171" s="11"/>
      <c r="E171" t="s">
        <v>269</v>
      </c>
      <c r="F171" s="52" t="s">
        <v>113</v>
      </c>
      <c r="J171" s="4" t="s">
        <v>55</v>
      </c>
      <c r="K171" s="14"/>
      <c r="L171" s="14">
        <v>313646</v>
      </c>
    </row>
    <row r="172" spans="1:12" x14ac:dyDescent="0.3">
      <c r="A172" s="104">
        <v>45927</v>
      </c>
      <c r="B172" t="s">
        <v>98</v>
      </c>
      <c r="C172" s="114">
        <v>33500</v>
      </c>
      <c r="D172" s="11"/>
      <c r="E172" t="s">
        <v>270</v>
      </c>
      <c r="F172" s="52" t="s">
        <v>114</v>
      </c>
      <c r="J172" s="4" t="s">
        <v>119</v>
      </c>
      <c r="K172" s="14"/>
      <c r="L172" s="14">
        <v>113670</v>
      </c>
    </row>
    <row r="173" spans="1:12" hidden="1" x14ac:dyDescent="0.3">
      <c r="A173" s="104">
        <v>45927</v>
      </c>
      <c r="B173" t="s">
        <v>54</v>
      </c>
      <c r="C173" s="11">
        <v>3000</v>
      </c>
      <c r="D173" s="11"/>
      <c r="E173" t="s">
        <v>271</v>
      </c>
      <c r="F173" s="52" t="s">
        <v>114</v>
      </c>
      <c r="J173" s="4" t="s">
        <v>52</v>
      </c>
      <c r="K173" s="14"/>
      <c r="L173" s="14">
        <v>224000</v>
      </c>
    </row>
    <row r="174" spans="1:12" hidden="1" x14ac:dyDescent="0.3">
      <c r="A174" s="104">
        <v>45927</v>
      </c>
      <c r="B174" t="s">
        <v>55</v>
      </c>
      <c r="C174" s="11">
        <v>1250</v>
      </c>
      <c r="D174" s="11"/>
      <c r="F174" s="52" t="s">
        <v>114</v>
      </c>
      <c r="J174" s="4" t="s">
        <v>23</v>
      </c>
      <c r="K174" s="14">
        <v>142800</v>
      </c>
      <c r="L174" s="14"/>
    </row>
    <row r="175" spans="1:12" hidden="1" x14ac:dyDescent="0.3">
      <c r="A175" s="104">
        <v>45927</v>
      </c>
      <c r="B175" t="s">
        <v>114</v>
      </c>
      <c r="C175" s="11"/>
      <c r="D175" s="11"/>
      <c r="F175" s="52" t="s">
        <v>272</v>
      </c>
      <c r="G175">
        <v>30000</v>
      </c>
      <c r="J175" s="4" t="s">
        <v>54</v>
      </c>
      <c r="K175" s="14"/>
      <c r="L175" s="14">
        <v>269331</v>
      </c>
    </row>
    <row r="176" spans="1:12" hidden="1" x14ac:dyDescent="0.3">
      <c r="A176" s="104">
        <v>45927</v>
      </c>
      <c r="B176" t="s">
        <v>123</v>
      </c>
      <c r="C176" s="11">
        <v>20000</v>
      </c>
      <c r="D176" s="11"/>
      <c r="E176" t="s">
        <v>184</v>
      </c>
      <c r="F176" s="52" t="s">
        <v>114</v>
      </c>
      <c r="J176" s="4" t="s">
        <v>121</v>
      </c>
      <c r="K176" s="14">
        <v>53522</v>
      </c>
      <c r="L176" s="14">
        <v>118136</v>
      </c>
    </row>
    <row r="177" spans="1:12" hidden="1" x14ac:dyDescent="0.3">
      <c r="A177" s="104">
        <v>45927</v>
      </c>
      <c r="B177" t="s">
        <v>243</v>
      </c>
      <c r="C177" s="11"/>
      <c r="D177" s="11">
        <v>280000</v>
      </c>
      <c r="F177" s="52" t="s">
        <v>113</v>
      </c>
      <c r="J177" s="4" t="s">
        <v>223</v>
      </c>
      <c r="K177" s="14"/>
      <c r="L177" s="14">
        <v>1903031</v>
      </c>
    </row>
    <row r="178" spans="1:12" hidden="1" x14ac:dyDescent="0.3">
      <c r="A178" s="104">
        <v>45927</v>
      </c>
      <c r="B178" t="s">
        <v>52</v>
      </c>
      <c r="C178" s="11"/>
      <c r="D178" s="11"/>
      <c r="E178" t="s">
        <v>273</v>
      </c>
      <c r="F178" s="52" t="s">
        <v>113</v>
      </c>
      <c r="J178" s="4" t="s">
        <v>118</v>
      </c>
      <c r="K178" s="14">
        <v>22750</v>
      </c>
      <c r="L178" s="14">
        <v>12000</v>
      </c>
    </row>
    <row r="179" spans="1:12" x14ac:dyDescent="0.3">
      <c r="A179" s="104">
        <v>45928</v>
      </c>
      <c r="B179" t="s">
        <v>98</v>
      </c>
      <c r="C179" s="114">
        <v>27300</v>
      </c>
      <c r="D179" s="11"/>
      <c r="E179" t="s">
        <v>275</v>
      </c>
      <c r="F179" s="52" t="s">
        <v>113</v>
      </c>
      <c r="J179" s="4" t="s">
        <v>22</v>
      </c>
      <c r="K179" s="14">
        <v>247550</v>
      </c>
      <c r="L179" s="14"/>
    </row>
    <row r="180" spans="1:12" x14ac:dyDescent="0.3">
      <c r="A180" s="104">
        <v>45928</v>
      </c>
      <c r="B180" t="s">
        <v>98</v>
      </c>
      <c r="C180" s="114">
        <v>40000</v>
      </c>
      <c r="D180" s="11"/>
      <c r="E180" t="s">
        <v>276</v>
      </c>
      <c r="F180" s="52" t="s">
        <v>113</v>
      </c>
      <c r="J180" s="4" t="s">
        <v>108</v>
      </c>
      <c r="K180" s="14"/>
      <c r="L180" s="14"/>
    </row>
    <row r="181" spans="1:12" hidden="1" x14ac:dyDescent="0.3">
      <c r="A181" s="104">
        <v>45928</v>
      </c>
      <c r="B181" t="s">
        <v>26</v>
      </c>
      <c r="C181" s="11"/>
      <c r="D181" s="11">
        <v>200000</v>
      </c>
      <c r="F181" s="52" t="s">
        <v>113</v>
      </c>
      <c r="J181" s="4" t="s">
        <v>25</v>
      </c>
      <c r="K181" s="14">
        <v>1451266</v>
      </c>
      <c r="L181" s="14"/>
    </row>
    <row r="182" spans="1:12" hidden="1" x14ac:dyDescent="0.3">
      <c r="A182" s="104">
        <v>45928</v>
      </c>
      <c r="B182" t="s">
        <v>52</v>
      </c>
      <c r="C182" s="11"/>
      <c r="D182" s="11"/>
      <c r="E182" t="s">
        <v>277</v>
      </c>
      <c r="F182" s="52" t="s">
        <v>113</v>
      </c>
      <c r="J182" s="4" t="s">
        <v>24</v>
      </c>
      <c r="K182" s="14">
        <v>4550000</v>
      </c>
      <c r="L182" s="14"/>
    </row>
    <row r="183" spans="1:12" hidden="1" x14ac:dyDescent="0.3">
      <c r="A183" s="104">
        <v>45928</v>
      </c>
      <c r="B183" t="s">
        <v>52</v>
      </c>
      <c r="C183" s="11">
        <v>20000</v>
      </c>
      <c r="D183" s="11"/>
      <c r="E183" t="s">
        <v>230</v>
      </c>
      <c r="F183" s="52" t="s">
        <v>113</v>
      </c>
      <c r="J183" s="4" t="s">
        <v>27</v>
      </c>
      <c r="K183" s="14">
        <v>300000</v>
      </c>
      <c r="L183" s="14"/>
    </row>
    <row r="184" spans="1:12" hidden="1" x14ac:dyDescent="0.3">
      <c r="A184" s="104">
        <v>45928</v>
      </c>
      <c r="B184" t="s">
        <v>21</v>
      </c>
      <c r="C184" s="47"/>
      <c r="D184" s="47">
        <v>20000</v>
      </c>
      <c r="E184" t="s">
        <v>230</v>
      </c>
      <c r="F184" s="52" t="s">
        <v>113</v>
      </c>
      <c r="J184" s="4" t="s">
        <v>122</v>
      </c>
      <c r="K184" s="14"/>
      <c r="L184" s="14">
        <v>500000</v>
      </c>
    </row>
    <row r="185" spans="1:12" hidden="1" x14ac:dyDescent="0.3">
      <c r="A185" s="104">
        <v>45928</v>
      </c>
      <c r="B185" t="s">
        <v>54</v>
      </c>
      <c r="C185" s="11">
        <v>7050</v>
      </c>
      <c r="D185" s="11"/>
      <c r="E185" t="s">
        <v>206</v>
      </c>
      <c r="F185" s="52" t="s">
        <v>113</v>
      </c>
      <c r="J185" s="4" t="s">
        <v>35</v>
      </c>
      <c r="K185" s="14">
        <v>155000</v>
      </c>
      <c r="L185" s="14"/>
    </row>
    <row r="186" spans="1:12" hidden="1" x14ac:dyDescent="0.3">
      <c r="A186" s="104">
        <v>45928</v>
      </c>
      <c r="B186" t="s">
        <v>54</v>
      </c>
      <c r="C186" s="11">
        <v>1000</v>
      </c>
      <c r="D186" s="11"/>
      <c r="E186" t="s">
        <v>278</v>
      </c>
      <c r="F186" s="52" t="s">
        <v>113</v>
      </c>
      <c r="J186" s="4" t="s">
        <v>26</v>
      </c>
      <c r="K186" s="14">
        <v>400000</v>
      </c>
      <c r="L186" s="14"/>
    </row>
    <row r="187" spans="1:12" hidden="1" x14ac:dyDescent="0.3">
      <c r="A187" s="104">
        <v>45928</v>
      </c>
      <c r="B187" t="s">
        <v>118</v>
      </c>
      <c r="C187" s="11">
        <v>1000</v>
      </c>
      <c r="D187" s="11"/>
      <c r="E187" t="s">
        <v>114</v>
      </c>
      <c r="F187" s="52" t="s">
        <v>114</v>
      </c>
      <c r="J187" s="4" t="s">
        <v>159</v>
      </c>
      <c r="K187" s="14"/>
      <c r="L187" s="14">
        <v>615010</v>
      </c>
    </row>
    <row r="188" spans="1:12" hidden="1" x14ac:dyDescent="0.3">
      <c r="A188" s="104">
        <v>45928</v>
      </c>
      <c r="B188" t="s">
        <v>121</v>
      </c>
      <c r="C188" s="11">
        <v>5000</v>
      </c>
      <c r="D188" s="11"/>
      <c r="E188" t="s">
        <v>279</v>
      </c>
      <c r="F188" s="52" t="s">
        <v>114</v>
      </c>
      <c r="J188" s="4" t="s">
        <v>64</v>
      </c>
      <c r="K188" s="14">
        <v>106500</v>
      </c>
      <c r="L188" s="14">
        <v>624750</v>
      </c>
    </row>
    <row r="189" spans="1:12" hidden="1" x14ac:dyDescent="0.3">
      <c r="A189" s="104">
        <v>45928</v>
      </c>
      <c r="B189" t="s">
        <v>121</v>
      </c>
      <c r="C189" s="11">
        <v>2320</v>
      </c>
      <c r="D189" s="11"/>
      <c r="E189" t="s">
        <v>280</v>
      </c>
      <c r="F189" s="52" t="s">
        <v>114</v>
      </c>
      <c r="J189" s="4" t="s">
        <v>162</v>
      </c>
      <c r="K189" s="14">
        <v>1021620</v>
      </c>
      <c r="L189" s="14"/>
    </row>
    <row r="190" spans="1:12" hidden="1" x14ac:dyDescent="0.3">
      <c r="A190" s="43">
        <v>45929</v>
      </c>
      <c r="B190" t="s">
        <v>162</v>
      </c>
      <c r="C190" s="47"/>
      <c r="D190" s="47">
        <v>200000</v>
      </c>
      <c r="F190" s="52" t="s">
        <v>113</v>
      </c>
      <c r="J190" s="4" t="s">
        <v>167</v>
      </c>
      <c r="K190" s="14">
        <v>-1229769</v>
      </c>
      <c r="L190" s="14"/>
    </row>
    <row r="191" spans="1:12" x14ac:dyDescent="0.3">
      <c r="A191" s="104">
        <v>45929</v>
      </c>
      <c r="B191" t="s">
        <v>98</v>
      </c>
      <c r="C191" s="11">
        <v>300002</v>
      </c>
      <c r="D191" s="11"/>
      <c r="E191" t="s">
        <v>281</v>
      </c>
      <c r="F191" s="52" t="s">
        <v>113</v>
      </c>
      <c r="J191" s="4" t="s">
        <v>237</v>
      </c>
      <c r="K191" s="14"/>
      <c r="L191" s="14">
        <v>350000</v>
      </c>
    </row>
    <row r="192" spans="1:12" x14ac:dyDescent="0.3">
      <c r="A192" s="43">
        <v>45929</v>
      </c>
      <c r="B192" t="s">
        <v>98</v>
      </c>
      <c r="C192" s="11">
        <v>34700</v>
      </c>
      <c r="D192" s="11"/>
      <c r="E192" t="s">
        <v>282</v>
      </c>
      <c r="F192" s="52" t="s">
        <v>113</v>
      </c>
      <c r="J192" s="4" t="s">
        <v>243</v>
      </c>
      <c r="K192" s="14">
        <v>1370000</v>
      </c>
      <c r="L192" s="14"/>
    </row>
    <row r="193" spans="1:12" hidden="1" x14ac:dyDescent="0.3">
      <c r="A193" s="104">
        <v>45929</v>
      </c>
      <c r="B193" t="s">
        <v>52</v>
      </c>
      <c r="C193" s="11"/>
      <c r="D193" s="11"/>
      <c r="E193" t="s">
        <v>283</v>
      </c>
      <c r="F193" s="52" t="s">
        <v>113</v>
      </c>
      <c r="J193" s="4" t="s">
        <v>317</v>
      </c>
      <c r="K193" s="14"/>
      <c r="L193" s="14">
        <v>417025</v>
      </c>
    </row>
    <row r="194" spans="1:12" hidden="1" x14ac:dyDescent="0.3">
      <c r="A194" s="43">
        <v>45929</v>
      </c>
      <c r="B194" t="s">
        <v>121</v>
      </c>
      <c r="C194" s="11">
        <v>3300</v>
      </c>
      <c r="D194" s="11"/>
      <c r="E194" t="s">
        <v>171</v>
      </c>
      <c r="F194" s="52" t="s">
        <v>114</v>
      </c>
      <c r="J194" s="4" t="s">
        <v>363</v>
      </c>
      <c r="K194" s="14"/>
      <c r="L194" s="14">
        <v>256040</v>
      </c>
    </row>
    <row r="195" spans="1:12" hidden="1" x14ac:dyDescent="0.3">
      <c r="A195" s="104">
        <v>45928</v>
      </c>
      <c r="B195" t="s">
        <v>121</v>
      </c>
      <c r="C195" s="47">
        <v>3300</v>
      </c>
      <c r="D195" s="47"/>
      <c r="E195" t="s">
        <v>171</v>
      </c>
      <c r="F195" s="52" t="s">
        <v>114</v>
      </c>
      <c r="J195" s="4" t="s">
        <v>371</v>
      </c>
      <c r="K195" s="14"/>
      <c r="L195" s="14">
        <v>50000</v>
      </c>
    </row>
    <row r="196" spans="1:12" hidden="1" x14ac:dyDescent="0.3">
      <c r="A196" s="43">
        <v>45929</v>
      </c>
      <c r="B196" t="s">
        <v>55</v>
      </c>
      <c r="C196" s="11">
        <v>8227</v>
      </c>
      <c r="D196" s="11"/>
      <c r="E196" t="s">
        <v>198</v>
      </c>
      <c r="F196" s="52" t="s">
        <v>113</v>
      </c>
      <c r="J196" s="4" t="s">
        <v>383</v>
      </c>
      <c r="K196" s="14"/>
      <c r="L196" s="14">
        <v>500000</v>
      </c>
    </row>
    <row r="197" spans="1:12" x14ac:dyDescent="0.3">
      <c r="A197" s="104">
        <v>45929</v>
      </c>
      <c r="B197" t="s">
        <v>98</v>
      </c>
      <c r="C197" s="11">
        <v>8000</v>
      </c>
      <c r="D197" s="11"/>
      <c r="E197" t="s">
        <v>225</v>
      </c>
      <c r="F197" s="52" t="s">
        <v>113</v>
      </c>
      <c r="J197" s="4" t="s">
        <v>403</v>
      </c>
      <c r="K197" s="14"/>
      <c r="L197" s="14">
        <v>60000</v>
      </c>
    </row>
    <row r="198" spans="1:12" hidden="1" x14ac:dyDescent="0.3">
      <c r="A198" s="43">
        <v>45929</v>
      </c>
      <c r="B198" t="s">
        <v>114</v>
      </c>
      <c r="C198" s="11"/>
      <c r="D198" s="11"/>
      <c r="F198" s="52" t="s">
        <v>272</v>
      </c>
      <c r="G198">
        <v>3000</v>
      </c>
      <c r="J198" s="4" t="s">
        <v>28</v>
      </c>
      <c r="K198" s="14">
        <v>14060790</v>
      </c>
      <c r="L198" s="14">
        <v>14002982</v>
      </c>
    </row>
    <row r="199" spans="1:12" hidden="1" x14ac:dyDescent="0.3">
      <c r="A199" s="104">
        <v>45929</v>
      </c>
      <c r="B199" t="s">
        <v>54</v>
      </c>
      <c r="C199" s="11">
        <v>2000</v>
      </c>
      <c r="D199" s="11"/>
      <c r="E199" t="s">
        <v>285</v>
      </c>
      <c r="F199" s="52" t="s">
        <v>113</v>
      </c>
    </row>
    <row r="200" spans="1:12" hidden="1" x14ac:dyDescent="0.3">
      <c r="A200" s="43">
        <v>45929</v>
      </c>
      <c r="B200" t="s">
        <v>9</v>
      </c>
      <c r="C200" s="47"/>
      <c r="D200" s="47">
        <v>150000</v>
      </c>
      <c r="E200" t="s">
        <v>286</v>
      </c>
      <c r="F200" s="52" t="s">
        <v>113</v>
      </c>
    </row>
    <row r="201" spans="1:12" hidden="1" x14ac:dyDescent="0.3">
      <c r="A201" s="104">
        <v>45929</v>
      </c>
      <c r="B201" t="s">
        <v>54</v>
      </c>
      <c r="C201" s="11">
        <v>3000</v>
      </c>
      <c r="D201" s="11"/>
      <c r="E201" t="s">
        <v>203</v>
      </c>
      <c r="F201" s="52" t="s">
        <v>287</v>
      </c>
    </row>
    <row r="202" spans="1:12" hidden="1" x14ac:dyDescent="0.3">
      <c r="A202" s="43">
        <v>45929</v>
      </c>
      <c r="B202" t="s">
        <v>288</v>
      </c>
      <c r="C202" s="47">
        <v>10000</v>
      </c>
      <c r="D202" s="47"/>
      <c r="E202" t="s">
        <v>158</v>
      </c>
      <c r="F202" s="52" t="s">
        <v>289</v>
      </c>
    </row>
    <row r="203" spans="1:12" hidden="1" x14ac:dyDescent="0.3">
      <c r="A203" s="104">
        <v>45929</v>
      </c>
      <c r="B203" t="s">
        <v>54</v>
      </c>
      <c r="C203" s="11">
        <v>5700</v>
      </c>
      <c r="D203" s="11"/>
      <c r="E203" t="s">
        <v>206</v>
      </c>
      <c r="F203" s="52" t="s">
        <v>113</v>
      </c>
    </row>
    <row r="204" spans="1:12" hidden="1" x14ac:dyDescent="0.3">
      <c r="A204" s="43">
        <v>45929</v>
      </c>
      <c r="B204" t="s">
        <v>26</v>
      </c>
      <c r="C204" s="47"/>
      <c r="D204" s="47">
        <v>200000</v>
      </c>
      <c r="F204" s="52" t="s">
        <v>289</v>
      </c>
    </row>
    <row r="205" spans="1:12" x14ac:dyDescent="0.3">
      <c r="A205" s="104">
        <v>45930</v>
      </c>
      <c r="B205" t="s">
        <v>98</v>
      </c>
      <c r="C205" s="11">
        <v>41060</v>
      </c>
      <c r="D205" s="11"/>
      <c r="F205" s="52" t="s">
        <v>114</v>
      </c>
    </row>
    <row r="206" spans="1:12" hidden="1" x14ac:dyDescent="0.3">
      <c r="A206" s="104">
        <v>45930</v>
      </c>
      <c r="B206" t="s">
        <v>125</v>
      </c>
      <c r="C206" s="11">
        <v>82000</v>
      </c>
      <c r="D206" s="11"/>
      <c r="E206" t="s">
        <v>197</v>
      </c>
      <c r="F206" s="52" t="s">
        <v>113</v>
      </c>
    </row>
    <row r="207" spans="1:12" hidden="1" x14ac:dyDescent="0.3">
      <c r="A207" s="104">
        <v>45930</v>
      </c>
      <c r="B207" t="s">
        <v>24</v>
      </c>
      <c r="C207" s="11"/>
      <c r="D207" s="11">
        <v>650000</v>
      </c>
      <c r="F207" s="52" t="s">
        <v>113</v>
      </c>
    </row>
    <row r="208" spans="1:12" hidden="1" x14ac:dyDescent="0.3">
      <c r="A208" s="104">
        <v>45930</v>
      </c>
      <c r="B208" t="s">
        <v>24</v>
      </c>
      <c r="C208" s="11"/>
      <c r="D208" s="11">
        <v>400000</v>
      </c>
      <c r="F208" s="52" t="s">
        <v>113</v>
      </c>
    </row>
    <row r="209" spans="1:6" x14ac:dyDescent="0.3">
      <c r="A209" s="104">
        <v>45930</v>
      </c>
      <c r="B209" t="s">
        <v>98</v>
      </c>
      <c r="C209" s="11">
        <v>300330</v>
      </c>
      <c r="D209" s="11"/>
      <c r="E209" t="s">
        <v>290</v>
      </c>
      <c r="F209" s="52" t="s">
        <v>113</v>
      </c>
    </row>
    <row r="210" spans="1:6" hidden="1" x14ac:dyDescent="0.3">
      <c r="A210" s="104">
        <v>45930</v>
      </c>
      <c r="B210" t="s">
        <v>9</v>
      </c>
      <c r="C210" s="11"/>
      <c r="D210" s="11">
        <v>70000</v>
      </c>
      <c r="F210" s="52" t="s">
        <v>113</v>
      </c>
    </row>
    <row r="211" spans="1:6" hidden="1" x14ac:dyDescent="0.3">
      <c r="A211" s="104">
        <v>45930</v>
      </c>
      <c r="B211" t="s">
        <v>119</v>
      </c>
      <c r="C211" s="11">
        <v>4000</v>
      </c>
      <c r="D211" s="11"/>
      <c r="E211" t="s">
        <v>291</v>
      </c>
      <c r="F211" s="52" t="s">
        <v>114</v>
      </c>
    </row>
    <row r="212" spans="1:6" hidden="1" x14ac:dyDescent="0.3">
      <c r="A212" s="104">
        <v>45930</v>
      </c>
      <c r="B212" t="s">
        <v>50</v>
      </c>
      <c r="C212" s="47">
        <v>300</v>
      </c>
      <c r="D212" s="47"/>
      <c r="F212" s="52" t="s">
        <v>114</v>
      </c>
    </row>
    <row r="213" spans="1:6" hidden="1" x14ac:dyDescent="0.3">
      <c r="A213" s="104">
        <v>45930</v>
      </c>
      <c r="B213" t="s">
        <v>54</v>
      </c>
      <c r="C213" s="11">
        <v>3350</v>
      </c>
      <c r="D213" s="11"/>
      <c r="E213" t="s">
        <v>206</v>
      </c>
      <c r="F213" s="52" t="s">
        <v>113</v>
      </c>
    </row>
    <row r="214" spans="1:6" hidden="1" x14ac:dyDescent="0.3">
      <c r="A214" s="104">
        <v>45930</v>
      </c>
      <c r="B214" t="s">
        <v>52</v>
      </c>
      <c r="C214" s="11"/>
      <c r="D214" s="11"/>
      <c r="E214" t="s">
        <v>292</v>
      </c>
      <c r="F214" s="52" t="s">
        <v>113</v>
      </c>
    </row>
    <row r="215" spans="1:6" hidden="1" x14ac:dyDescent="0.3">
      <c r="A215" s="104">
        <v>45931</v>
      </c>
      <c r="B215" t="s">
        <v>24</v>
      </c>
      <c r="C215" s="11"/>
      <c r="D215" s="11">
        <v>500000</v>
      </c>
      <c r="F215" s="52" t="s">
        <v>113</v>
      </c>
    </row>
    <row r="216" spans="1:6" x14ac:dyDescent="0.3">
      <c r="A216" s="104">
        <v>45931</v>
      </c>
      <c r="B216" t="s">
        <v>98</v>
      </c>
      <c r="C216" s="11">
        <v>40000</v>
      </c>
      <c r="D216" s="11"/>
      <c r="E216" t="s">
        <v>300</v>
      </c>
      <c r="F216" s="52" t="s">
        <v>114</v>
      </c>
    </row>
    <row r="217" spans="1:6" x14ac:dyDescent="0.3">
      <c r="A217" s="104">
        <v>45931</v>
      </c>
      <c r="B217" t="s">
        <v>98</v>
      </c>
      <c r="C217" s="11">
        <v>62410</v>
      </c>
      <c r="D217" s="11"/>
      <c r="E217" t="s">
        <v>301</v>
      </c>
      <c r="F217" s="52" t="s">
        <v>113</v>
      </c>
    </row>
    <row r="218" spans="1:6" hidden="1" x14ac:dyDescent="0.3">
      <c r="A218" s="104">
        <v>45931</v>
      </c>
      <c r="B218" t="s">
        <v>55</v>
      </c>
      <c r="C218" s="47">
        <v>1550</v>
      </c>
      <c r="D218" s="47"/>
      <c r="E218" t="s">
        <v>302</v>
      </c>
      <c r="F218" s="52" t="s">
        <v>113</v>
      </c>
    </row>
    <row r="219" spans="1:6" hidden="1" x14ac:dyDescent="0.3">
      <c r="A219" s="104">
        <v>45931</v>
      </c>
      <c r="B219" t="s">
        <v>55</v>
      </c>
      <c r="C219" s="11">
        <v>8349</v>
      </c>
      <c r="D219" s="11"/>
      <c r="E219" t="s">
        <v>198</v>
      </c>
      <c r="F219" s="52" t="s">
        <v>113</v>
      </c>
    </row>
    <row r="220" spans="1:6" hidden="1" x14ac:dyDescent="0.3">
      <c r="A220" s="104">
        <v>45931</v>
      </c>
      <c r="B220" t="s">
        <v>55</v>
      </c>
      <c r="C220" s="11">
        <v>4240</v>
      </c>
      <c r="D220" s="11"/>
      <c r="E220" t="s">
        <v>303</v>
      </c>
      <c r="F220" s="52" t="s">
        <v>113</v>
      </c>
    </row>
    <row r="221" spans="1:6" hidden="1" x14ac:dyDescent="0.3">
      <c r="A221" s="104">
        <v>45931</v>
      </c>
      <c r="B221" t="s">
        <v>55</v>
      </c>
      <c r="C221" s="11">
        <v>900</v>
      </c>
      <c r="D221" s="11"/>
      <c r="E221" t="s">
        <v>303</v>
      </c>
      <c r="F221" s="52" t="s">
        <v>113</v>
      </c>
    </row>
    <row r="222" spans="1:6" hidden="1" x14ac:dyDescent="0.3">
      <c r="A222" s="104">
        <v>45931</v>
      </c>
      <c r="B222" t="s">
        <v>54</v>
      </c>
      <c r="C222" s="11">
        <v>5349</v>
      </c>
      <c r="D222" s="11"/>
      <c r="E222" t="s">
        <v>350</v>
      </c>
      <c r="F222" s="52" t="s">
        <v>114</v>
      </c>
    </row>
    <row r="223" spans="1:6" hidden="1" x14ac:dyDescent="0.3">
      <c r="A223" s="104">
        <v>45931</v>
      </c>
      <c r="B223" t="s">
        <v>121</v>
      </c>
      <c r="C223" s="11">
        <v>6600</v>
      </c>
      <c r="D223" s="11"/>
      <c r="E223" t="s">
        <v>171</v>
      </c>
      <c r="F223" s="52" t="s">
        <v>113</v>
      </c>
    </row>
    <row r="224" spans="1:6" hidden="1" x14ac:dyDescent="0.3">
      <c r="A224" s="104">
        <v>45931</v>
      </c>
      <c r="B224" t="s">
        <v>54</v>
      </c>
      <c r="C224" s="11">
        <v>5100</v>
      </c>
      <c r="D224" s="11"/>
      <c r="E224" t="s">
        <v>158</v>
      </c>
      <c r="F224" s="52" t="s">
        <v>113</v>
      </c>
    </row>
    <row r="225" spans="1:7" x14ac:dyDescent="0.3">
      <c r="A225" s="104">
        <v>45931</v>
      </c>
      <c r="B225" t="s">
        <v>98</v>
      </c>
      <c r="C225" s="11">
        <v>300150</v>
      </c>
      <c r="D225" s="11"/>
      <c r="E225" t="s">
        <v>304</v>
      </c>
      <c r="F225" s="52" t="s">
        <v>113</v>
      </c>
    </row>
    <row r="226" spans="1:7" hidden="1" x14ac:dyDescent="0.3">
      <c r="A226" s="104">
        <v>45931</v>
      </c>
      <c r="B226" t="s">
        <v>23</v>
      </c>
      <c r="C226" s="11"/>
      <c r="D226" s="11">
        <f>38800+1500</f>
        <v>40300</v>
      </c>
      <c r="E226" t="s">
        <v>305</v>
      </c>
      <c r="F226" s="52" t="s">
        <v>113</v>
      </c>
    </row>
    <row r="227" spans="1:7" hidden="1" x14ac:dyDescent="0.3">
      <c r="A227" s="104">
        <v>45931</v>
      </c>
      <c r="B227" t="s">
        <v>54</v>
      </c>
      <c r="C227" s="11">
        <v>1500</v>
      </c>
      <c r="D227" s="11"/>
      <c r="E227" t="s">
        <v>318</v>
      </c>
      <c r="F227" s="52" t="s">
        <v>113</v>
      </c>
    </row>
    <row r="228" spans="1:7" hidden="1" x14ac:dyDescent="0.3">
      <c r="A228" s="104">
        <v>45931</v>
      </c>
      <c r="B228" t="s">
        <v>50</v>
      </c>
      <c r="C228" s="47">
        <v>4200</v>
      </c>
      <c r="D228" s="11"/>
      <c r="E228" t="s">
        <v>306</v>
      </c>
      <c r="F228" s="52" t="s">
        <v>113</v>
      </c>
    </row>
    <row r="229" spans="1:7" hidden="1" x14ac:dyDescent="0.3">
      <c r="A229" s="104">
        <v>45932</v>
      </c>
      <c r="B229" t="s">
        <v>307</v>
      </c>
      <c r="C229" s="47">
        <v>4500</v>
      </c>
      <c r="D229" s="47"/>
      <c r="F229" s="52" t="s">
        <v>114</v>
      </c>
    </row>
    <row r="230" spans="1:7" hidden="1" x14ac:dyDescent="0.3">
      <c r="A230" s="104">
        <v>45932</v>
      </c>
      <c r="B230" t="s">
        <v>114</v>
      </c>
      <c r="C230" s="11"/>
      <c r="D230" s="11"/>
      <c r="F230" s="52" t="s">
        <v>272</v>
      </c>
      <c r="G230">
        <v>50000</v>
      </c>
    </row>
    <row r="231" spans="1:7" x14ac:dyDescent="0.3">
      <c r="A231" s="104">
        <v>45932</v>
      </c>
      <c r="B231" t="s">
        <v>98</v>
      </c>
      <c r="C231" s="11">
        <v>44420</v>
      </c>
      <c r="D231" s="11"/>
      <c r="E231" t="s">
        <v>308</v>
      </c>
      <c r="F231" s="52" t="s">
        <v>113</v>
      </c>
    </row>
    <row r="232" spans="1:7" x14ac:dyDescent="0.3">
      <c r="A232" s="104">
        <v>45932</v>
      </c>
      <c r="B232" t="s">
        <v>98</v>
      </c>
      <c r="C232" s="11">
        <v>39200</v>
      </c>
      <c r="D232" s="11"/>
      <c r="E232" t="s">
        <v>309</v>
      </c>
      <c r="F232" s="52" t="s">
        <v>113</v>
      </c>
    </row>
    <row r="233" spans="1:7" hidden="1" x14ac:dyDescent="0.3">
      <c r="A233" s="104">
        <v>45932</v>
      </c>
      <c r="B233" t="s">
        <v>50</v>
      </c>
      <c r="C233" s="11">
        <v>535</v>
      </c>
      <c r="D233" s="11"/>
      <c r="E233" t="s">
        <v>310</v>
      </c>
      <c r="F233" s="52" t="s">
        <v>113</v>
      </c>
    </row>
    <row r="234" spans="1:7" hidden="1" x14ac:dyDescent="0.3">
      <c r="A234" s="104">
        <v>45932</v>
      </c>
      <c r="B234" t="s">
        <v>54</v>
      </c>
      <c r="C234" s="11">
        <v>1000</v>
      </c>
      <c r="D234" s="11"/>
      <c r="E234" t="s">
        <v>245</v>
      </c>
      <c r="F234" s="52" t="s">
        <v>114</v>
      </c>
    </row>
    <row r="235" spans="1:7" hidden="1" x14ac:dyDescent="0.3">
      <c r="A235" s="104">
        <v>45932</v>
      </c>
      <c r="B235" t="s">
        <v>9</v>
      </c>
      <c r="C235" s="11"/>
      <c r="D235" s="11">
        <v>73000</v>
      </c>
      <c r="E235" t="s">
        <v>311</v>
      </c>
      <c r="F235" s="52" t="s">
        <v>113</v>
      </c>
    </row>
    <row r="236" spans="1:7" hidden="1" x14ac:dyDescent="0.3">
      <c r="A236" s="104">
        <v>45932</v>
      </c>
      <c r="B236" t="s">
        <v>159</v>
      </c>
      <c r="C236" s="11">
        <v>125000</v>
      </c>
      <c r="D236" s="11"/>
      <c r="E236" t="s">
        <v>312</v>
      </c>
      <c r="F236" s="52" t="s">
        <v>113</v>
      </c>
    </row>
    <row r="237" spans="1:7" hidden="1" x14ac:dyDescent="0.3">
      <c r="A237" s="104">
        <v>45932</v>
      </c>
      <c r="B237" t="s">
        <v>119</v>
      </c>
      <c r="C237" s="11">
        <v>18000</v>
      </c>
      <c r="D237" s="11"/>
      <c r="E237" t="s">
        <v>231</v>
      </c>
      <c r="F237" s="52" t="s">
        <v>113</v>
      </c>
    </row>
    <row r="238" spans="1:7" hidden="1" x14ac:dyDescent="0.3">
      <c r="A238" s="104">
        <v>45932</v>
      </c>
      <c r="B238" t="s">
        <v>54</v>
      </c>
      <c r="C238" s="11">
        <v>1500</v>
      </c>
      <c r="D238" s="11"/>
      <c r="E238" t="s">
        <v>211</v>
      </c>
      <c r="F238" s="52" t="s">
        <v>114</v>
      </c>
    </row>
    <row r="239" spans="1:7" x14ac:dyDescent="0.3">
      <c r="A239" s="104">
        <v>45932</v>
      </c>
      <c r="B239" t="s">
        <v>98</v>
      </c>
      <c r="C239" s="47">
        <v>301120</v>
      </c>
      <c r="D239" s="47"/>
      <c r="E239" t="s">
        <v>201</v>
      </c>
      <c r="F239" s="52" t="s">
        <v>113</v>
      </c>
    </row>
    <row r="240" spans="1:7" hidden="1" x14ac:dyDescent="0.3">
      <c r="A240" s="104">
        <v>45932</v>
      </c>
      <c r="B240" t="s">
        <v>55</v>
      </c>
      <c r="C240" s="11">
        <v>15000</v>
      </c>
      <c r="D240" s="11"/>
      <c r="E240" t="s">
        <v>313</v>
      </c>
      <c r="F240" s="52" t="s">
        <v>113</v>
      </c>
    </row>
    <row r="241" spans="1:7" hidden="1" x14ac:dyDescent="0.3">
      <c r="A241" s="104">
        <v>45932</v>
      </c>
      <c r="B241" t="s">
        <v>21</v>
      </c>
      <c r="C241" s="11"/>
      <c r="D241" s="11">
        <v>15000</v>
      </c>
      <c r="E241" t="s">
        <v>313</v>
      </c>
      <c r="F241" s="52" t="s">
        <v>113</v>
      </c>
    </row>
    <row r="242" spans="1:7" hidden="1" x14ac:dyDescent="0.3">
      <c r="A242" s="104">
        <v>45932</v>
      </c>
      <c r="B242" t="s">
        <v>54</v>
      </c>
      <c r="C242" s="11">
        <v>5410</v>
      </c>
      <c r="D242" s="11"/>
      <c r="E242" t="s">
        <v>206</v>
      </c>
      <c r="F242" s="52" t="s">
        <v>113</v>
      </c>
    </row>
    <row r="243" spans="1:7" hidden="1" x14ac:dyDescent="0.3">
      <c r="A243" s="104">
        <v>45932</v>
      </c>
      <c r="B243" t="s">
        <v>21</v>
      </c>
      <c r="C243" s="11"/>
      <c r="D243" s="11">
        <v>5410</v>
      </c>
      <c r="E243" t="s">
        <v>206</v>
      </c>
      <c r="F243" s="52" t="s">
        <v>113</v>
      </c>
    </row>
    <row r="244" spans="1:7" x14ac:dyDescent="0.3">
      <c r="A244" s="104">
        <v>45933</v>
      </c>
      <c r="B244" t="s">
        <v>98</v>
      </c>
      <c r="C244" s="11">
        <v>92470</v>
      </c>
      <c r="D244" s="11"/>
      <c r="E244" t="s">
        <v>319</v>
      </c>
      <c r="F244" s="52" t="s">
        <v>113</v>
      </c>
    </row>
    <row r="245" spans="1:7" x14ac:dyDescent="0.3">
      <c r="A245" s="104">
        <v>45933</v>
      </c>
      <c r="B245" t="s">
        <v>98</v>
      </c>
      <c r="C245" s="11">
        <v>34500</v>
      </c>
      <c r="D245" s="11"/>
      <c r="E245" t="s">
        <v>320</v>
      </c>
      <c r="F245" s="52" t="s">
        <v>114</v>
      </c>
    </row>
    <row r="246" spans="1:7" hidden="1" x14ac:dyDescent="0.3">
      <c r="A246" s="104">
        <v>45933</v>
      </c>
      <c r="B246" t="s">
        <v>27</v>
      </c>
      <c r="C246" s="11"/>
      <c r="D246" s="11">
        <v>100000</v>
      </c>
      <c r="F246" s="52" t="s">
        <v>113</v>
      </c>
    </row>
    <row r="247" spans="1:7" hidden="1" x14ac:dyDescent="0.3">
      <c r="A247" s="104">
        <v>45933</v>
      </c>
      <c r="B247" t="s">
        <v>52</v>
      </c>
      <c r="C247" s="20"/>
      <c r="D247" s="11"/>
      <c r="E247" t="s">
        <v>321</v>
      </c>
      <c r="F247" s="52" t="s">
        <v>113</v>
      </c>
    </row>
    <row r="248" spans="1:7" hidden="1" x14ac:dyDescent="0.3">
      <c r="A248" s="104">
        <v>45933</v>
      </c>
      <c r="B248" t="s">
        <v>123</v>
      </c>
      <c r="C248" s="11">
        <v>2000</v>
      </c>
      <c r="D248" s="11"/>
      <c r="E248" t="s">
        <v>322</v>
      </c>
      <c r="F248" s="52" t="s">
        <v>114</v>
      </c>
    </row>
    <row r="249" spans="1:7" x14ac:dyDescent="0.3">
      <c r="A249" s="104">
        <v>45933</v>
      </c>
      <c r="B249" t="s">
        <v>98</v>
      </c>
      <c r="C249" s="20">
        <v>302400</v>
      </c>
      <c r="D249" s="11"/>
      <c r="E249" t="s">
        <v>323</v>
      </c>
      <c r="F249" s="52" t="s">
        <v>114</v>
      </c>
    </row>
    <row r="250" spans="1:7" hidden="1" x14ac:dyDescent="0.3">
      <c r="A250" s="104">
        <v>45933</v>
      </c>
      <c r="B250" t="s">
        <v>119</v>
      </c>
      <c r="C250" s="20">
        <v>16370</v>
      </c>
      <c r="D250" s="11"/>
      <c r="E250" t="s">
        <v>324</v>
      </c>
      <c r="F250" s="52" t="s">
        <v>113</v>
      </c>
    </row>
    <row r="251" spans="1:7" hidden="1" x14ac:dyDescent="0.3">
      <c r="A251" s="104">
        <v>45933</v>
      </c>
      <c r="B251" t="s">
        <v>123</v>
      </c>
      <c r="C251" s="20">
        <v>10000</v>
      </c>
      <c r="D251" s="11"/>
      <c r="E251" t="s">
        <v>185</v>
      </c>
      <c r="F251" s="52" t="s">
        <v>113</v>
      </c>
    </row>
    <row r="252" spans="1:7" hidden="1" x14ac:dyDescent="0.3">
      <c r="A252" s="104">
        <v>45933</v>
      </c>
      <c r="B252" t="s">
        <v>223</v>
      </c>
      <c r="C252" s="11">
        <v>3000</v>
      </c>
      <c r="D252" s="11"/>
      <c r="E252" t="s">
        <v>325</v>
      </c>
      <c r="F252" s="52" t="s">
        <v>113</v>
      </c>
    </row>
    <row r="253" spans="1:7" hidden="1" x14ac:dyDescent="0.3">
      <c r="A253" s="104">
        <v>45933</v>
      </c>
      <c r="B253" t="s">
        <v>114</v>
      </c>
      <c r="C253" s="47"/>
      <c r="D253" s="47"/>
      <c r="F253" s="52" t="s">
        <v>272</v>
      </c>
      <c r="G253">
        <v>55000</v>
      </c>
    </row>
    <row r="254" spans="1:7" hidden="1" x14ac:dyDescent="0.3">
      <c r="A254" s="104">
        <v>45933</v>
      </c>
      <c r="B254" t="s">
        <v>162</v>
      </c>
      <c r="C254" s="11"/>
      <c r="D254" s="11">
        <v>21620</v>
      </c>
      <c r="E254" t="s">
        <v>326</v>
      </c>
      <c r="F254" s="52" t="s">
        <v>113</v>
      </c>
    </row>
    <row r="255" spans="1:7" hidden="1" x14ac:dyDescent="0.3">
      <c r="A255" s="104">
        <v>45934</v>
      </c>
      <c r="B255" t="s">
        <v>55</v>
      </c>
      <c r="C255" s="11">
        <v>50000</v>
      </c>
      <c r="D255" s="11"/>
      <c r="E255" t="s">
        <v>233</v>
      </c>
      <c r="F255" s="52" t="s">
        <v>113</v>
      </c>
    </row>
    <row r="256" spans="1:7" hidden="1" x14ac:dyDescent="0.3">
      <c r="A256" s="104">
        <v>45934</v>
      </c>
      <c r="B256" t="s">
        <v>21</v>
      </c>
      <c r="C256" s="11"/>
      <c r="D256" s="11">
        <v>50000</v>
      </c>
      <c r="E256" t="s">
        <v>332</v>
      </c>
      <c r="F256" s="52" t="s">
        <v>113</v>
      </c>
    </row>
    <row r="257" spans="1:6" hidden="1" x14ac:dyDescent="0.3">
      <c r="A257" s="104">
        <v>45934</v>
      </c>
      <c r="B257" t="s">
        <v>64</v>
      </c>
      <c r="C257" s="11">
        <v>55500</v>
      </c>
      <c r="D257" s="11"/>
      <c r="E257" t="s">
        <v>64</v>
      </c>
      <c r="F257" s="52" t="s">
        <v>113</v>
      </c>
    </row>
    <row r="258" spans="1:6" hidden="1" x14ac:dyDescent="0.3">
      <c r="A258" s="104">
        <v>45934</v>
      </c>
      <c r="B258" t="s">
        <v>21</v>
      </c>
      <c r="C258" s="11"/>
      <c r="D258" s="11">
        <v>55000</v>
      </c>
      <c r="E258" t="s">
        <v>333</v>
      </c>
      <c r="F258" s="52" t="s">
        <v>113</v>
      </c>
    </row>
    <row r="259" spans="1:6" hidden="1" x14ac:dyDescent="0.3">
      <c r="A259" s="104">
        <v>45934</v>
      </c>
      <c r="B259" t="s">
        <v>54</v>
      </c>
      <c r="C259" s="11">
        <v>5280</v>
      </c>
      <c r="D259" s="11"/>
      <c r="E259" t="s">
        <v>206</v>
      </c>
      <c r="F259" s="52" t="s">
        <v>113</v>
      </c>
    </row>
    <row r="260" spans="1:6" hidden="1" x14ac:dyDescent="0.3">
      <c r="A260" s="104">
        <v>45934</v>
      </c>
      <c r="B260" t="s">
        <v>21</v>
      </c>
      <c r="C260" s="11"/>
      <c r="D260" s="11">
        <v>5280</v>
      </c>
      <c r="F260" s="52" t="s">
        <v>113</v>
      </c>
    </row>
    <row r="261" spans="1:6" hidden="1" x14ac:dyDescent="0.3">
      <c r="A261" s="104">
        <v>45934</v>
      </c>
      <c r="B261" t="s">
        <v>21</v>
      </c>
      <c r="C261" s="11"/>
      <c r="D261" s="11">
        <v>250000</v>
      </c>
      <c r="E261" t="s">
        <v>334</v>
      </c>
      <c r="F261" s="52" t="s">
        <v>113</v>
      </c>
    </row>
    <row r="262" spans="1:6" hidden="1" x14ac:dyDescent="0.3">
      <c r="A262" s="104">
        <v>45934</v>
      </c>
      <c r="B262" t="s">
        <v>237</v>
      </c>
      <c r="C262" s="11">
        <v>100000</v>
      </c>
      <c r="D262" s="11"/>
      <c r="E262" t="s">
        <v>335</v>
      </c>
      <c r="F262" s="52" t="s">
        <v>114</v>
      </c>
    </row>
    <row r="263" spans="1:6" hidden="1" x14ac:dyDescent="0.3">
      <c r="A263" s="104">
        <v>45934</v>
      </c>
      <c r="B263" t="s">
        <v>24</v>
      </c>
      <c r="C263" s="11"/>
      <c r="D263" s="11">
        <v>500000</v>
      </c>
      <c r="E263" t="s">
        <v>339</v>
      </c>
      <c r="F263" s="52" t="s">
        <v>114</v>
      </c>
    </row>
    <row r="264" spans="1:6" hidden="1" x14ac:dyDescent="0.3">
      <c r="A264" s="104">
        <v>45934</v>
      </c>
      <c r="B264" s="1" t="s">
        <v>54</v>
      </c>
      <c r="C264" s="20">
        <v>5150</v>
      </c>
      <c r="D264" s="11"/>
      <c r="E264" t="s">
        <v>206</v>
      </c>
      <c r="F264" s="52" t="s">
        <v>113</v>
      </c>
    </row>
    <row r="265" spans="1:6" x14ac:dyDescent="0.3">
      <c r="A265" s="104">
        <v>45934</v>
      </c>
      <c r="B265" t="s">
        <v>98</v>
      </c>
      <c r="C265" s="20">
        <v>41720</v>
      </c>
      <c r="D265" s="11"/>
      <c r="E265" t="s">
        <v>336</v>
      </c>
      <c r="F265" s="52" t="s">
        <v>114</v>
      </c>
    </row>
    <row r="266" spans="1:6" x14ac:dyDescent="0.3">
      <c r="A266" s="104">
        <v>45935</v>
      </c>
      <c r="B266" t="s">
        <v>98</v>
      </c>
      <c r="C266" s="20">
        <v>300900</v>
      </c>
      <c r="D266" s="11"/>
      <c r="E266" t="s">
        <v>337</v>
      </c>
      <c r="F266" s="52" t="s">
        <v>113</v>
      </c>
    </row>
    <row r="267" spans="1:6" hidden="1" x14ac:dyDescent="0.3">
      <c r="A267" s="104">
        <v>45935</v>
      </c>
      <c r="B267" t="s">
        <v>121</v>
      </c>
      <c r="C267" s="11">
        <v>8000</v>
      </c>
      <c r="D267" s="11"/>
      <c r="E267" t="s">
        <v>338</v>
      </c>
      <c r="F267" s="52" t="s">
        <v>113</v>
      </c>
    </row>
    <row r="268" spans="1:6" hidden="1" x14ac:dyDescent="0.3">
      <c r="A268" s="104">
        <v>45936</v>
      </c>
      <c r="B268" t="s">
        <v>125</v>
      </c>
      <c r="C268" s="11">
        <v>353250</v>
      </c>
      <c r="D268" s="11"/>
      <c r="E268" t="s">
        <v>61</v>
      </c>
      <c r="F268" s="52" t="s">
        <v>113</v>
      </c>
    </row>
    <row r="269" spans="1:6" hidden="1" x14ac:dyDescent="0.3">
      <c r="A269" s="104">
        <v>45936</v>
      </c>
      <c r="B269" t="s">
        <v>317</v>
      </c>
      <c r="C269" s="11">
        <v>219875</v>
      </c>
      <c r="D269" s="11"/>
      <c r="E269" t="s">
        <v>340</v>
      </c>
      <c r="F269" s="52" t="s">
        <v>113</v>
      </c>
    </row>
    <row r="270" spans="1:6" hidden="1" x14ac:dyDescent="0.3">
      <c r="A270" s="104">
        <v>45936</v>
      </c>
      <c r="B270" t="s">
        <v>21</v>
      </c>
      <c r="C270" s="11"/>
      <c r="D270" s="11">
        <v>219875</v>
      </c>
      <c r="E270" t="s">
        <v>349</v>
      </c>
      <c r="F270" s="52" t="s">
        <v>113</v>
      </c>
    </row>
    <row r="271" spans="1:6" hidden="1" x14ac:dyDescent="0.3">
      <c r="A271" s="104">
        <v>45936</v>
      </c>
      <c r="B271" t="s">
        <v>54</v>
      </c>
      <c r="C271" s="11">
        <v>4779</v>
      </c>
      <c r="D271" s="11"/>
      <c r="E271" t="s">
        <v>206</v>
      </c>
      <c r="F271" s="52" t="s">
        <v>113</v>
      </c>
    </row>
    <row r="272" spans="1:6" hidden="1" x14ac:dyDescent="0.3">
      <c r="A272" s="104">
        <v>45936</v>
      </c>
      <c r="B272" t="s">
        <v>21</v>
      </c>
      <c r="C272" s="11"/>
      <c r="D272" s="11">
        <v>4779</v>
      </c>
      <c r="F272" s="52" t="s">
        <v>113</v>
      </c>
    </row>
    <row r="273" spans="1:7" x14ac:dyDescent="0.3">
      <c r="A273" s="104">
        <v>45936</v>
      </c>
      <c r="B273" t="s">
        <v>98</v>
      </c>
      <c r="C273" s="11">
        <v>68150</v>
      </c>
      <c r="D273" s="11"/>
      <c r="E273" t="s">
        <v>348</v>
      </c>
      <c r="F273" s="52" t="s">
        <v>113</v>
      </c>
    </row>
    <row r="274" spans="1:7" hidden="1" x14ac:dyDescent="0.3">
      <c r="A274" s="104">
        <v>45934</v>
      </c>
      <c r="B274" t="s">
        <v>50</v>
      </c>
      <c r="C274" s="11">
        <v>600</v>
      </c>
      <c r="D274" s="11"/>
      <c r="E274" t="s">
        <v>341</v>
      </c>
      <c r="F274" s="52" t="s">
        <v>113</v>
      </c>
    </row>
    <row r="275" spans="1:7" hidden="1" x14ac:dyDescent="0.3">
      <c r="A275" s="104">
        <v>45936</v>
      </c>
      <c r="B275" t="s">
        <v>114</v>
      </c>
      <c r="C275" s="11"/>
      <c r="D275" s="11"/>
      <c r="F275" s="52" t="s">
        <v>272</v>
      </c>
      <c r="G275">
        <v>-25000</v>
      </c>
    </row>
    <row r="276" spans="1:7" hidden="1" x14ac:dyDescent="0.3">
      <c r="A276" s="104">
        <v>45936</v>
      </c>
      <c r="B276" t="s">
        <v>54</v>
      </c>
      <c r="C276" s="20">
        <v>1000</v>
      </c>
      <c r="D276" s="11"/>
      <c r="E276" t="s">
        <v>342</v>
      </c>
      <c r="F276" s="52" t="s">
        <v>113</v>
      </c>
    </row>
    <row r="277" spans="1:7" x14ac:dyDescent="0.3">
      <c r="A277" s="104">
        <v>45936</v>
      </c>
      <c r="B277" t="s">
        <v>98</v>
      </c>
      <c r="C277" s="11">
        <v>30868</v>
      </c>
      <c r="D277" s="11"/>
      <c r="E277" t="s">
        <v>347</v>
      </c>
      <c r="F277" s="52" t="s">
        <v>113</v>
      </c>
    </row>
    <row r="278" spans="1:7" hidden="1" x14ac:dyDescent="0.3">
      <c r="A278" s="104">
        <v>45936</v>
      </c>
      <c r="B278" t="s">
        <v>21</v>
      </c>
      <c r="C278" s="11"/>
      <c r="D278" s="11">
        <v>30868</v>
      </c>
      <c r="E278" t="s">
        <v>343</v>
      </c>
      <c r="F278" s="52" t="s">
        <v>113</v>
      </c>
    </row>
    <row r="279" spans="1:7" hidden="1" x14ac:dyDescent="0.3">
      <c r="A279" s="104">
        <v>45936</v>
      </c>
      <c r="B279" t="s">
        <v>54</v>
      </c>
      <c r="C279" s="11">
        <v>2515</v>
      </c>
      <c r="D279" s="11"/>
      <c r="E279" t="s">
        <v>344</v>
      </c>
      <c r="F279" s="52" t="s">
        <v>289</v>
      </c>
    </row>
    <row r="280" spans="1:7" hidden="1" x14ac:dyDescent="0.3">
      <c r="A280" s="104">
        <v>45936</v>
      </c>
      <c r="B280" t="s">
        <v>21</v>
      </c>
      <c r="C280" s="11"/>
      <c r="D280" s="11">
        <v>2515</v>
      </c>
      <c r="E280" t="s">
        <v>344</v>
      </c>
      <c r="F280" s="52" t="s">
        <v>289</v>
      </c>
    </row>
    <row r="281" spans="1:7" x14ac:dyDescent="0.3">
      <c r="A281" s="104">
        <v>45936</v>
      </c>
      <c r="B281" t="s">
        <v>98</v>
      </c>
      <c r="C281" s="20">
        <v>42500</v>
      </c>
      <c r="D281" s="11"/>
      <c r="E281" t="s">
        <v>345</v>
      </c>
      <c r="F281" s="52" t="s">
        <v>113</v>
      </c>
    </row>
    <row r="282" spans="1:7" hidden="1" x14ac:dyDescent="0.3">
      <c r="A282" s="104">
        <v>45936</v>
      </c>
      <c r="B282" t="s">
        <v>346</v>
      </c>
      <c r="C282" s="11"/>
      <c r="D282" s="11">
        <v>68150</v>
      </c>
      <c r="E282" t="s">
        <v>343</v>
      </c>
      <c r="F282" s="52" t="s">
        <v>289</v>
      </c>
    </row>
    <row r="283" spans="1:7" hidden="1" x14ac:dyDescent="0.3">
      <c r="A283" s="104">
        <v>45937</v>
      </c>
      <c r="B283" t="s">
        <v>54</v>
      </c>
      <c r="C283" s="11">
        <v>11800</v>
      </c>
      <c r="D283" s="11"/>
      <c r="E283" t="s">
        <v>350</v>
      </c>
      <c r="F283" s="52" t="s">
        <v>113</v>
      </c>
    </row>
    <row r="284" spans="1:7" x14ac:dyDescent="0.3">
      <c r="A284" s="104">
        <v>45937</v>
      </c>
      <c r="B284" t="s">
        <v>98</v>
      </c>
      <c r="C284" s="11">
        <v>302300</v>
      </c>
      <c r="D284" s="11"/>
      <c r="E284" t="s">
        <v>201</v>
      </c>
      <c r="F284" s="52" t="s">
        <v>113</v>
      </c>
    </row>
    <row r="285" spans="1:7" hidden="1" x14ac:dyDescent="0.3">
      <c r="A285" s="104">
        <v>45937</v>
      </c>
      <c r="B285" t="s">
        <v>21</v>
      </c>
      <c r="C285" s="47"/>
      <c r="D285" s="47">
        <v>300000</v>
      </c>
      <c r="E285" t="s">
        <v>351</v>
      </c>
      <c r="F285" s="52" t="s">
        <v>113</v>
      </c>
    </row>
    <row r="286" spans="1:7" hidden="1" x14ac:dyDescent="0.3">
      <c r="A286" s="104">
        <v>45937</v>
      </c>
      <c r="B286" t="s">
        <v>123</v>
      </c>
      <c r="C286" s="11">
        <v>5000</v>
      </c>
      <c r="D286" s="11"/>
      <c r="E286" t="s">
        <v>209</v>
      </c>
      <c r="F286" s="52" t="s">
        <v>114</v>
      </c>
    </row>
    <row r="287" spans="1:7" hidden="1" x14ac:dyDescent="0.3">
      <c r="A287" s="104">
        <v>45937</v>
      </c>
      <c r="B287" t="s">
        <v>123</v>
      </c>
      <c r="C287" s="11">
        <v>1000</v>
      </c>
      <c r="D287" s="11"/>
      <c r="E287" t="s">
        <v>352</v>
      </c>
      <c r="F287" s="52" t="s">
        <v>114</v>
      </c>
    </row>
    <row r="288" spans="1:7" hidden="1" x14ac:dyDescent="0.3">
      <c r="A288" s="104">
        <v>45937</v>
      </c>
      <c r="B288" t="s">
        <v>50</v>
      </c>
      <c r="C288" s="11"/>
      <c r="D288" s="11"/>
      <c r="E288" t="s">
        <v>325</v>
      </c>
      <c r="F288" s="52" t="s">
        <v>114</v>
      </c>
    </row>
    <row r="289" spans="1:7" hidden="1" x14ac:dyDescent="0.3">
      <c r="A289" s="104">
        <v>45937</v>
      </c>
      <c r="B289" t="s">
        <v>119</v>
      </c>
      <c r="C289" s="11">
        <v>10120</v>
      </c>
      <c r="D289" s="11"/>
      <c r="E289" t="s">
        <v>353</v>
      </c>
      <c r="F289" s="52" t="s">
        <v>113</v>
      </c>
    </row>
    <row r="290" spans="1:7" hidden="1" x14ac:dyDescent="0.3">
      <c r="A290" s="104">
        <v>45937</v>
      </c>
      <c r="B290" t="s">
        <v>25</v>
      </c>
      <c r="C290" s="11"/>
      <c r="D290" s="11">
        <v>498000</v>
      </c>
      <c r="E290">
        <v>54466</v>
      </c>
      <c r="F290" s="52" t="s">
        <v>113</v>
      </c>
    </row>
    <row r="291" spans="1:7" x14ac:dyDescent="0.3">
      <c r="A291" s="104">
        <v>45937</v>
      </c>
      <c r="B291" t="s">
        <v>98</v>
      </c>
      <c r="C291" s="11">
        <v>150000</v>
      </c>
      <c r="D291" s="11"/>
      <c r="E291" t="s">
        <v>354</v>
      </c>
      <c r="F291" s="52" t="s">
        <v>113</v>
      </c>
    </row>
    <row r="292" spans="1:7" hidden="1" x14ac:dyDescent="0.3">
      <c r="A292" s="104">
        <v>45937</v>
      </c>
      <c r="B292" t="s">
        <v>121</v>
      </c>
      <c r="C292" s="11"/>
      <c r="D292" s="11">
        <v>5000</v>
      </c>
      <c r="E292" t="s">
        <v>338</v>
      </c>
      <c r="F292" s="52" t="s">
        <v>114</v>
      </c>
    </row>
    <row r="293" spans="1:7" hidden="1" x14ac:dyDescent="0.3">
      <c r="A293" s="104">
        <v>45937</v>
      </c>
      <c r="B293" t="s">
        <v>121</v>
      </c>
      <c r="C293" s="11">
        <v>3500</v>
      </c>
      <c r="D293" s="11"/>
      <c r="E293" t="s">
        <v>359</v>
      </c>
      <c r="F293" s="52" t="s">
        <v>114</v>
      </c>
    </row>
    <row r="294" spans="1:7" hidden="1" x14ac:dyDescent="0.3">
      <c r="A294" s="104">
        <v>45937</v>
      </c>
      <c r="B294" t="s">
        <v>123</v>
      </c>
      <c r="C294" s="11">
        <v>4000</v>
      </c>
      <c r="D294" s="11"/>
      <c r="E294" t="s">
        <v>292</v>
      </c>
      <c r="F294" s="52" t="s">
        <v>113</v>
      </c>
    </row>
    <row r="295" spans="1:7" hidden="1" x14ac:dyDescent="0.3">
      <c r="A295" s="104">
        <v>45938</v>
      </c>
      <c r="B295" t="s">
        <v>363</v>
      </c>
      <c r="C295" s="11">
        <v>200000</v>
      </c>
      <c r="D295" s="11"/>
      <c r="E295" t="s">
        <v>191</v>
      </c>
      <c r="F295" s="52" t="s">
        <v>113</v>
      </c>
    </row>
    <row r="296" spans="1:7" hidden="1" x14ac:dyDescent="0.3">
      <c r="A296" s="104">
        <v>45938</v>
      </c>
      <c r="B296" t="s">
        <v>363</v>
      </c>
      <c r="C296" s="11">
        <v>56040</v>
      </c>
      <c r="D296" s="11"/>
      <c r="E296" t="s">
        <v>191</v>
      </c>
      <c r="F296" s="52" t="s">
        <v>113</v>
      </c>
    </row>
    <row r="297" spans="1:7" hidden="1" x14ac:dyDescent="0.3">
      <c r="A297" s="104">
        <v>45938</v>
      </c>
      <c r="B297" t="s">
        <v>54</v>
      </c>
      <c r="C297" s="11">
        <v>5416</v>
      </c>
      <c r="D297" s="11"/>
      <c r="E297" t="s">
        <v>203</v>
      </c>
      <c r="F297" s="52" t="s">
        <v>113</v>
      </c>
    </row>
    <row r="298" spans="1:7" hidden="1" x14ac:dyDescent="0.3">
      <c r="A298" s="104">
        <v>45938</v>
      </c>
      <c r="B298" t="s">
        <v>55</v>
      </c>
      <c r="C298" s="11">
        <v>8349</v>
      </c>
      <c r="D298" s="11"/>
      <c r="E298" t="s">
        <v>198</v>
      </c>
      <c r="F298" s="52" t="s">
        <v>113</v>
      </c>
    </row>
    <row r="299" spans="1:7" hidden="1" x14ac:dyDescent="0.3">
      <c r="A299" s="104">
        <v>45938</v>
      </c>
      <c r="B299" t="s">
        <v>287</v>
      </c>
      <c r="C299" s="11"/>
      <c r="D299" s="11"/>
      <c r="F299" s="52" t="s">
        <v>272</v>
      </c>
      <c r="G299">
        <v>60000</v>
      </c>
    </row>
    <row r="300" spans="1:7" hidden="1" x14ac:dyDescent="0.3">
      <c r="A300" s="104">
        <v>45938</v>
      </c>
      <c r="B300" t="s">
        <v>55</v>
      </c>
      <c r="C300" s="11">
        <v>13200</v>
      </c>
      <c r="D300" s="11"/>
      <c r="E300" t="s">
        <v>233</v>
      </c>
      <c r="F300" s="52" t="s">
        <v>113</v>
      </c>
    </row>
    <row r="301" spans="1:7" hidden="1" x14ac:dyDescent="0.3">
      <c r="A301" s="104">
        <v>45938</v>
      </c>
      <c r="B301" t="s">
        <v>21</v>
      </c>
      <c r="C301" s="11"/>
      <c r="D301" s="11">
        <v>13200</v>
      </c>
      <c r="E301" t="s">
        <v>233</v>
      </c>
      <c r="F301" s="52" t="s">
        <v>113</v>
      </c>
    </row>
    <row r="302" spans="1:7" hidden="1" x14ac:dyDescent="0.3">
      <c r="A302" s="104">
        <v>45938</v>
      </c>
      <c r="B302" t="s">
        <v>50</v>
      </c>
      <c r="C302" s="11">
        <v>800</v>
      </c>
      <c r="D302" s="11"/>
      <c r="E302" t="s">
        <v>169</v>
      </c>
      <c r="F302" s="52" t="s">
        <v>113</v>
      </c>
    </row>
    <row r="303" spans="1:7" hidden="1" x14ac:dyDescent="0.3">
      <c r="A303" s="104">
        <v>45938</v>
      </c>
      <c r="B303" t="s">
        <v>50</v>
      </c>
      <c r="C303" s="11">
        <v>11837</v>
      </c>
      <c r="D303" s="11"/>
      <c r="E303" t="s">
        <v>364</v>
      </c>
      <c r="F303" s="52" t="s">
        <v>114</v>
      </c>
    </row>
    <row r="304" spans="1:7" hidden="1" x14ac:dyDescent="0.3">
      <c r="A304" s="104">
        <v>45938</v>
      </c>
      <c r="B304" t="s">
        <v>123</v>
      </c>
      <c r="C304" s="11">
        <v>500</v>
      </c>
      <c r="D304" s="11"/>
      <c r="E304" t="s">
        <v>365</v>
      </c>
      <c r="F304" s="52" t="s">
        <v>114</v>
      </c>
    </row>
    <row r="305" spans="1:6" hidden="1" x14ac:dyDescent="0.3">
      <c r="A305" s="104">
        <v>45938</v>
      </c>
      <c r="B305" t="s">
        <v>123</v>
      </c>
      <c r="C305" s="47">
        <v>1500</v>
      </c>
      <c r="D305" s="47"/>
      <c r="E305" t="s">
        <v>389</v>
      </c>
      <c r="F305" s="52" t="s">
        <v>114</v>
      </c>
    </row>
    <row r="306" spans="1:6" hidden="1" x14ac:dyDescent="0.3">
      <c r="A306" s="104">
        <v>45938</v>
      </c>
      <c r="B306" t="s">
        <v>55</v>
      </c>
      <c r="C306" s="47">
        <v>26000</v>
      </c>
      <c r="D306" s="47"/>
      <c r="E306" t="s">
        <v>366</v>
      </c>
      <c r="F306" s="52" t="s">
        <v>113</v>
      </c>
    </row>
    <row r="307" spans="1:6" hidden="1" x14ac:dyDescent="0.3">
      <c r="A307" s="104">
        <v>45938</v>
      </c>
      <c r="B307" t="s">
        <v>21</v>
      </c>
      <c r="C307" s="11"/>
      <c r="D307" s="11">
        <v>26000</v>
      </c>
      <c r="E307" t="s">
        <v>367</v>
      </c>
      <c r="F307" s="52" t="s">
        <v>113</v>
      </c>
    </row>
    <row r="308" spans="1:6" hidden="1" x14ac:dyDescent="0.3">
      <c r="A308" s="104">
        <v>45938</v>
      </c>
      <c r="B308" t="s">
        <v>55</v>
      </c>
      <c r="C308" s="11">
        <v>6200</v>
      </c>
      <c r="D308" s="11"/>
      <c r="E308" t="s">
        <v>368</v>
      </c>
      <c r="F308" s="52" t="s">
        <v>113</v>
      </c>
    </row>
    <row r="309" spans="1:6" hidden="1" x14ac:dyDescent="0.3">
      <c r="A309" s="104">
        <v>45938</v>
      </c>
      <c r="B309" t="s">
        <v>21</v>
      </c>
      <c r="C309" s="11"/>
      <c r="D309" s="11">
        <v>6200</v>
      </c>
      <c r="E309" t="s">
        <v>369</v>
      </c>
      <c r="F309" s="52" t="s">
        <v>113</v>
      </c>
    </row>
    <row r="310" spans="1:6" hidden="1" x14ac:dyDescent="0.3">
      <c r="A310" s="104">
        <v>45938</v>
      </c>
      <c r="B310" t="s">
        <v>54</v>
      </c>
      <c r="C310" s="11">
        <v>3000</v>
      </c>
      <c r="D310" s="11"/>
      <c r="E310" t="s">
        <v>211</v>
      </c>
      <c r="F310" s="52" t="s">
        <v>114</v>
      </c>
    </row>
    <row r="311" spans="1:6" x14ac:dyDescent="0.3">
      <c r="A311" s="104">
        <v>45938</v>
      </c>
      <c r="B311" t="s">
        <v>98</v>
      </c>
      <c r="C311" s="11">
        <v>303003</v>
      </c>
      <c r="D311" s="11"/>
      <c r="E311" t="s">
        <v>201</v>
      </c>
      <c r="F311" s="52" t="s">
        <v>113</v>
      </c>
    </row>
    <row r="312" spans="1:6" hidden="1" x14ac:dyDescent="0.3">
      <c r="A312" s="104">
        <v>45938</v>
      </c>
      <c r="B312" t="s">
        <v>21</v>
      </c>
      <c r="C312" s="11"/>
      <c r="D312" s="11">
        <v>245000</v>
      </c>
      <c r="E312" t="s">
        <v>370</v>
      </c>
      <c r="F312" s="52" t="s">
        <v>113</v>
      </c>
    </row>
    <row r="313" spans="1:6" hidden="1" x14ac:dyDescent="0.3">
      <c r="A313" s="104">
        <v>45938</v>
      </c>
      <c r="B313" t="s">
        <v>27</v>
      </c>
      <c r="C313" s="11"/>
      <c r="D313" s="11">
        <v>100000</v>
      </c>
      <c r="F313" s="52" t="s">
        <v>113</v>
      </c>
    </row>
    <row r="314" spans="1:6" hidden="1" x14ac:dyDescent="0.3">
      <c r="A314" s="104">
        <v>45938</v>
      </c>
      <c r="B314" t="s">
        <v>371</v>
      </c>
      <c r="C314" s="11">
        <v>50000</v>
      </c>
      <c r="D314" s="11"/>
      <c r="E314" t="s">
        <v>372</v>
      </c>
      <c r="F314" s="52" t="s">
        <v>113</v>
      </c>
    </row>
    <row r="315" spans="1:6" hidden="1" x14ac:dyDescent="0.3">
      <c r="A315" s="104">
        <v>45938</v>
      </c>
      <c r="B315" t="s">
        <v>121</v>
      </c>
      <c r="C315" s="11">
        <v>15215</v>
      </c>
      <c r="D315" s="11"/>
      <c r="E315" t="s">
        <v>373</v>
      </c>
      <c r="F315" s="52" t="s">
        <v>113</v>
      </c>
    </row>
    <row r="316" spans="1:6" hidden="1" x14ac:dyDescent="0.3">
      <c r="A316" s="104">
        <v>45938</v>
      </c>
      <c r="B316" t="s">
        <v>50</v>
      </c>
      <c r="C316" s="11">
        <v>3000</v>
      </c>
      <c r="D316" s="11"/>
      <c r="E316" t="s">
        <v>374</v>
      </c>
      <c r="F316" s="52" t="s">
        <v>113</v>
      </c>
    </row>
    <row r="317" spans="1:6" hidden="1" x14ac:dyDescent="0.3">
      <c r="A317" s="104">
        <v>45938</v>
      </c>
      <c r="B317" t="s">
        <v>125</v>
      </c>
      <c r="C317" s="11">
        <v>8800</v>
      </c>
      <c r="D317" s="11"/>
      <c r="E317" t="s">
        <v>61</v>
      </c>
      <c r="F317" s="52" t="s">
        <v>113</v>
      </c>
    </row>
    <row r="318" spans="1:6" hidden="1" x14ac:dyDescent="0.3">
      <c r="A318" s="104">
        <v>45938</v>
      </c>
      <c r="B318" t="s">
        <v>50</v>
      </c>
      <c r="C318" s="11">
        <v>520</v>
      </c>
      <c r="D318" s="11"/>
      <c r="E318" t="s">
        <v>375</v>
      </c>
      <c r="F318" s="52" t="s">
        <v>113</v>
      </c>
    </row>
    <row r="319" spans="1:6" hidden="1" x14ac:dyDescent="0.3">
      <c r="A319" s="104">
        <v>45939</v>
      </c>
      <c r="B319" t="s">
        <v>25</v>
      </c>
      <c r="C319" s="11"/>
      <c r="D319" s="11">
        <v>553266</v>
      </c>
      <c r="E319" t="s">
        <v>379</v>
      </c>
      <c r="F319" s="52" t="s">
        <v>113</v>
      </c>
    </row>
    <row r="320" spans="1:6" hidden="1" x14ac:dyDescent="0.3">
      <c r="A320" s="104">
        <v>45939</v>
      </c>
      <c r="B320" t="s">
        <v>125</v>
      </c>
      <c r="C320" s="11">
        <v>80600</v>
      </c>
      <c r="D320" s="11"/>
      <c r="E320" t="s">
        <v>61</v>
      </c>
      <c r="F320" s="52" t="s">
        <v>113</v>
      </c>
    </row>
    <row r="321" spans="1:7" hidden="1" x14ac:dyDescent="0.3">
      <c r="A321" s="104">
        <v>45939</v>
      </c>
      <c r="B321" t="s">
        <v>21</v>
      </c>
      <c r="C321" s="11"/>
      <c r="D321" s="11">
        <v>1600</v>
      </c>
      <c r="E321" t="s">
        <v>380</v>
      </c>
      <c r="F321" s="52" t="s">
        <v>113</v>
      </c>
    </row>
    <row r="322" spans="1:7" hidden="1" x14ac:dyDescent="0.3">
      <c r="A322" s="104">
        <v>45939</v>
      </c>
      <c r="B322" t="s">
        <v>54</v>
      </c>
      <c r="C322" s="11">
        <v>1600</v>
      </c>
      <c r="D322" s="11"/>
      <c r="E322" t="s">
        <v>380</v>
      </c>
      <c r="F322" s="52" t="s">
        <v>113</v>
      </c>
    </row>
    <row r="323" spans="1:7" hidden="1" x14ac:dyDescent="0.3">
      <c r="A323" s="104">
        <v>45940</v>
      </c>
      <c r="B323" t="s">
        <v>243</v>
      </c>
      <c r="C323" s="47"/>
      <c r="D323" s="47">
        <v>250000</v>
      </c>
      <c r="E323" t="s">
        <v>381</v>
      </c>
      <c r="F323" s="52" t="s">
        <v>113</v>
      </c>
    </row>
    <row r="324" spans="1:7" hidden="1" x14ac:dyDescent="0.3">
      <c r="A324" s="104">
        <v>45940</v>
      </c>
      <c r="B324" t="s">
        <v>243</v>
      </c>
      <c r="C324" s="11"/>
      <c r="D324" s="11">
        <v>250000</v>
      </c>
      <c r="E324" t="s">
        <v>382</v>
      </c>
      <c r="F324" s="52" t="s">
        <v>113</v>
      </c>
    </row>
    <row r="325" spans="1:7" hidden="1" x14ac:dyDescent="0.3">
      <c r="A325" s="104">
        <v>45939</v>
      </c>
      <c r="B325" t="s">
        <v>383</v>
      </c>
      <c r="C325" s="11">
        <v>500000</v>
      </c>
      <c r="D325" s="11"/>
      <c r="E325" t="s">
        <v>384</v>
      </c>
      <c r="F325" s="52" t="s">
        <v>113</v>
      </c>
    </row>
    <row r="326" spans="1:7" hidden="1" x14ac:dyDescent="0.3">
      <c r="A326" s="104">
        <v>45939</v>
      </c>
      <c r="B326" t="s">
        <v>55</v>
      </c>
      <c r="C326" s="11">
        <v>9000</v>
      </c>
      <c r="D326" s="11"/>
      <c r="E326" t="s">
        <v>385</v>
      </c>
      <c r="F326" s="52" t="s">
        <v>113</v>
      </c>
    </row>
    <row r="327" spans="1:7" hidden="1" x14ac:dyDescent="0.3">
      <c r="A327" s="104">
        <v>45939</v>
      </c>
      <c r="B327" t="s">
        <v>317</v>
      </c>
      <c r="C327" s="11">
        <v>197150</v>
      </c>
      <c r="D327" s="11"/>
      <c r="E327" t="s">
        <v>386</v>
      </c>
      <c r="F327" s="52" t="s">
        <v>113</v>
      </c>
    </row>
    <row r="328" spans="1:7" hidden="1" x14ac:dyDescent="0.3">
      <c r="A328" s="104">
        <v>45939</v>
      </c>
      <c r="B328" t="s">
        <v>159</v>
      </c>
      <c r="C328" s="11">
        <v>70000</v>
      </c>
      <c r="D328" s="11"/>
      <c r="F328" s="52" t="s">
        <v>113</v>
      </c>
    </row>
    <row r="329" spans="1:7" hidden="1" x14ac:dyDescent="0.3">
      <c r="A329" s="104">
        <v>45939</v>
      </c>
      <c r="B329" t="s">
        <v>114</v>
      </c>
      <c r="C329" s="11"/>
      <c r="D329" s="11"/>
      <c r="F329" s="52" t="s">
        <v>272</v>
      </c>
      <c r="G329">
        <v>170000</v>
      </c>
    </row>
    <row r="330" spans="1:7" hidden="1" x14ac:dyDescent="0.3">
      <c r="A330" s="104">
        <v>45939</v>
      </c>
      <c r="B330" t="s">
        <v>54</v>
      </c>
      <c r="C330" s="11">
        <v>6440</v>
      </c>
      <c r="D330" s="11"/>
      <c r="F330" s="52" t="s">
        <v>113</v>
      </c>
    </row>
    <row r="331" spans="1:7" hidden="1" x14ac:dyDescent="0.3">
      <c r="A331" s="104">
        <v>45939</v>
      </c>
      <c r="B331" t="s">
        <v>123</v>
      </c>
      <c r="C331" s="47">
        <v>1500</v>
      </c>
      <c r="D331" s="47"/>
      <c r="E331" t="s">
        <v>387</v>
      </c>
      <c r="F331" s="52" t="s">
        <v>114</v>
      </c>
    </row>
    <row r="332" spans="1:7" hidden="1" x14ac:dyDescent="0.3">
      <c r="A332" s="104">
        <v>45939</v>
      </c>
      <c r="B332" t="s">
        <v>123</v>
      </c>
      <c r="C332" s="11">
        <v>500</v>
      </c>
      <c r="D332" s="11"/>
      <c r="E332" t="s">
        <v>388</v>
      </c>
      <c r="F332" s="52" t="s">
        <v>114</v>
      </c>
    </row>
    <row r="333" spans="1:7" hidden="1" x14ac:dyDescent="0.3">
      <c r="A333" s="104">
        <v>45939</v>
      </c>
      <c r="B333" t="s">
        <v>121</v>
      </c>
      <c r="C333" s="11">
        <v>5300</v>
      </c>
      <c r="D333" s="11"/>
      <c r="E333" t="s">
        <v>390</v>
      </c>
      <c r="F333" s="52" t="s">
        <v>113</v>
      </c>
    </row>
    <row r="334" spans="1:7" hidden="1" x14ac:dyDescent="0.3">
      <c r="A334" s="104">
        <v>45939</v>
      </c>
      <c r="B334" t="s">
        <v>119</v>
      </c>
      <c r="C334" s="11">
        <v>20000</v>
      </c>
      <c r="D334" s="11"/>
      <c r="E334" t="s">
        <v>231</v>
      </c>
      <c r="F334" s="52" t="s">
        <v>113</v>
      </c>
    </row>
    <row r="335" spans="1:7" hidden="1" x14ac:dyDescent="0.3">
      <c r="A335" s="104">
        <v>45939</v>
      </c>
      <c r="B335" t="s">
        <v>52</v>
      </c>
      <c r="C335" s="11">
        <v>50000</v>
      </c>
      <c r="D335" s="11"/>
      <c r="E335" t="s">
        <v>292</v>
      </c>
      <c r="F335" s="52" t="s">
        <v>114</v>
      </c>
    </row>
    <row r="336" spans="1:7" hidden="1" x14ac:dyDescent="0.3">
      <c r="A336" s="104">
        <v>45939</v>
      </c>
      <c r="B336" t="s">
        <v>52</v>
      </c>
      <c r="C336" s="11">
        <v>80000</v>
      </c>
      <c r="D336" s="11"/>
      <c r="E336" t="s">
        <v>391</v>
      </c>
      <c r="F336" s="52" t="s">
        <v>114</v>
      </c>
    </row>
    <row r="337" spans="1:7" hidden="1" x14ac:dyDescent="0.3">
      <c r="A337" s="104">
        <v>45939</v>
      </c>
      <c r="B337" t="s">
        <v>52</v>
      </c>
      <c r="C337" s="11">
        <v>50000</v>
      </c>
      <c r="D337" s="11"/>
      <c r="E337" t="s">
        <v>392</v>
      </c>
      <c r="F337" s="52" t="s">
        <v>114</v>
      </c>
    </row>
    <row r="338" spans="1:7" hidden="1" x14ac:dyDescent="0.3">
      <c r="A338" s="43">
        <v>45939</v>
      </c>
      <c r="B338" t="s">
        <v>121</v>
      </c>
      <c r="C338" s="47">
        <v>3000</v>
      </c>
      <c r="D338" s="47"/>
      <c r="E338" t="s">
        <v>393</v>
      </c>
      <c r="F338" s="52" t="s">
        <v>113</v>
      </c>
    </row>
    <row r="339" spans="1:7" hidden="1" x14ac:dyDescent="0.3">
      <c r="A339" s="43">
        <v>45939</v>
      </c>
      <c r="B339" t="s">
        <v>121</v>
      </c>
      <c r="C339" s="47">
        <v>2640</v>
      </c>
      <c r="D339" s="47"/>
      <c r="E339" t="s">
        <v>394</v>
      </c>
      <c r="F339" s="52" t="s">
        <v>113</v>
      </c>
    </row>
    <row r="340" spans="1:7" hidden="1" x14ac:dyDescent="0.3">
      <c r="A340" s="43">
        <v>45939</v>
      </c>
      <c r="B340" t="s">
        <v>50</v>
      </c>
      <c r="C340" s="47">
        <v>140</v>
      </c>
      <c r="D340" s="47"/>
      <c r="E340" t="s">
        <v>395</v>
      </c>
      <c r="F340" s="52" t="s">
        <v>113</v>
      </c>
    </row>
    <row r="341" spans="1:7" hidden="1" x14ac:dyDescent="0.3">
      <c r="A341" s="43">
        <v>45939</v>
      </c>
      <c r="B341" t="s">
        <v>114</v>
      </c>
      <c r="C341" s="47"/>
      <c r="D341" s="47"/>
      <c r="F341" s="52" t="s">
        <v>272</v>
      </c>
      <c r="G341">
        <v>9000</v>
      </c>
    </row>
    <row r="342" spans="1:7" hidden="1" x14ac:dyDescent="0.3">
      <c r="A342" s="43">
        <v>45939</v>
      </c>
      <c r="B342" t="s">
        <v>50</v>
      </c>
      <c r="C342" s="47">
        <f>1050+400+260</f>
        <v>1710</v>
      </c>
      <c r="D342" s="47"/>
      <c r="F342" s="52" t="s">
        <v>113</v>
      </c>
    </row>
    <row r="343" spans="1:7" hidden="1" x14ac:dyDescent="0.3">
      <c r="A343" s="104">
        <v>45939</v>
      </c>
      <c r="B343" t="s">
        <v>21</v>
      </c>
      <c r="C343" s="11"/>
      <c r="D343" s="11">
        <v>1710</v>
      </c>
      <c r="F343" s="52" t="s">
        <v>113</v>
      </c>
    </row>
    <row r="344" spans="1:7" hidden="1" x14ac:dyDescent="0.3">
      <c r="A344" s="43">
        <v>45939</v>
      </c>
      <c r="B344" t="s">
        <v>55</v>
      </c>
      <c r="C344" s="47">
        <v>5940</v>
      </c>
      <c r="D344" s="47"/>
      <c r="F344" s="52" t="s">
        <v>113</v>
      </c>
    </row>
    <row r="345" spans="1:7" hidden="1" x14ac:dyDescent="0.3">
      <c r="A345" s="43">
        <v>45939</v>
      </c>
      <c r="B345" t="s">
        <v>21</v>
      </c>
      <c r="C345" s="47"/>
      <c r="D345" s="47">
        <v>5940</v>
      </c>
      <c r="F345" s="52" t="s">
        <v>113</v>
      </c>
    </row>
    <row r="346" spans="1:7" hidden="1" x14ac:dyDescent="0.3">
      <c r="A346" s="43">
        <v>45939</v>
      </c>
      <c r="B346" t="s">
        <v>64</v>
      </c>
      <c r="C346" s="47">
        <v>106500</v>
      </c>
      <c r="D346" s="47">
        <v>106500</v>
      </c>
      <c r="F346" s="52" t="s">
        <v>113</v>
      </c>
    </row>
    <row r="347" spans="1:7" hidden="1" x14ac:dyDescent="0.3">
      <c r="A347" s="43">
        <v>45939</v>
      </c>
      <c r="B347" t="s">
        <v>21</v>
      </c>
      <c r="C347" s="47">
        <v>106500</v>
      </c>
      <c r="D347" s="47">
        <v>106500</v>
      </c>
      <c r="E347" t="s">
        <v>64</v>
      </c>
      <c r="F347" s="52" t="s">
        <v>113</v>
      </c>
    </row>
    <row r="348" spans="1:7" hidden="1" x14ac:dyDescent="0.3">
      <c r="A348" s="104">
        <v>45940</v>
      </c>
      <c r="B348" t="s">
        <v>9</v>
      </c>
      <c r="C348" s="11"/>
      <c r="D348" s="11">
        <v>200000</v>
      </c>
      <c r="F348" s="52" t="s">
        <v>113</v>
      </c>
    </row>
    <row r="349" spans="1:7" x14ac:dyDescent="0.3">
      <c r="A349" s="104">
        <v>45940</v>
      </c>
      <c r="B349" t="s">
        <v>98</v>
      </c>
      <c r="C349" s="11">
        <v>201255</v>
      </c>
      <c r="D349" s="11"/>
      <c r="E349" t="s">
        <v>201</v>
      </c>
      <c r="F349" s="52" t="s">
        <v>113</v>
      </c>
    </row>
    <row r="350" spans="1:7" hidden="1" x14ac:dyDescent="0.3">
      <c r="A350" s="104">
        <v>45940</v>
      </c>
      <c r="B350" t="s">
        <v>121</v>
      </c>
      <c r="C350" s="11">
        <v>1500</v>
      </c>
      <c r="D350" s="11"/>
      <c r="E350" t="s">
        <v>398</v>
      </c>
      <c r="F350" s="52" t="s">
        <v>114</v>
      </c>
    </row>
    <row r="351" spans="1:7" hidden="1" x14ac:dyDescent="0.3">
      <c r="A351" s="104">
        <v>45940</v>
      </c>
      <c r="B351" t="s">
        <v>121</v>
      </c>
      <c r="C351" s="11">
        <v>15300</v>
      </c>
      <c r="D351" s="11"/>
      <c r="E351" t="s">
        <v>399</v>
      </c>
      <c r="F351" s="52" t="s">
        <v>113</v>
      </c>
    </row>
    <row r="352" spans="1:7" hidden="1" x14ac:dyDescent="0.3">
      <c r="A352" s="104">
        <v>45940</v>
      </c>
      <c r="B352" t="s">
        <v>121</v>
      </c>
      <c r="C352" s="11">
        <v>4471</v>
      </c>
      <c r="D352" s="11"/>
      <c r="E352" t="s">
        <v>400</v>
      </c>
      <c r="F352" s="52" t="s">
        <v>113</v>
      </c>
    </row>
    <row r="353" spans="1:7" hidden="1" x14ac:dyDescent="0.3">
      <c r="A353" s="104">
        <v>45941</v>
      </c>
      <c r="B353" t="s">
        <v>121</v>
      </c>
      <c r="C353" s="11">
        <v>650</v>
      </c>
      <c r="D353" s="11"/>
      <c r="E353" t="s">
        <v>401</v>
      </c>
      <c r="F353" s="52" t="s">
        <v>287</v>
      </c>
    </row>
    <row r="354" spans="1:7" hidden="1" x14ac:dyDescent="0.3">
      <c r="A354" s="104">
        <v>45941</v>
      </c>
      <c r="B354" t="s">
        <v>21</v>
      </c>
      <c r="C354" s="11"/>
      <c r="D354" s="11">
        <v>67500</v>
      </c>
      <c r="E354" t="s">
        <v>197</v>
      </c>
      <c r="F354" s="52" t="s">
        <v>113</v>
      </c>
    </row>
    <row r="355" spans="1:7" hidden="1" x14ac:dyDescent="0.3">
      <c r="A355" s="104">
        <v>45941</v>
      </c>
      <c r="B355" t="s">
        <v>125</v>
      </c>
      <c r="C355" s="11">
        <v>67500</v>
      </c>
      <c r="D355" s="11"/>
      <c r="E355" t="s">
        <v>197</v>
      </c>
      <c r="F355" s="52" t="s">
        <v>113</v>
      </c>
    </row>
    <row r="356" spans="1:7" hidden="1" x14ac:dyDescent="0.3">
      <c r="A356" s="104">
        <v>45942</v>
      </c>
      <c r="B356" t="s">
        <v>21</v>
      </c>
      <c r="C356" s="11"/>
      <c r="D356" s="11">
        <v>55000</v>
      </c>
      <c r="E356" t="s">
        <v>402</v>
      </c>
      <c r="F356" s="52" t="s">
        <v>113</v>
      </c>
    </row>
    <row r="357" spans="1:7" x14ac:dyDescent="0.3">
      <c r="A357" s="104">
        <v>45942</v>
      </c>
      <c r="B357" t="s">
        <v>98</v>
      </c>
      <c r="C357" s="11">
        <v>43600</v>
      </c>
      <c r="D357" s="11"/>
      <c r="E357" t="s">
        <v>238</v>
      </c>
      <c r="F357" s="52" t="s">
        <v>113</v>
      </c>
    </row>
    <row r="358" spans="1:7" hidden="1" x14ac:dyDescent="0.3">
      <c r="A358" s="43">
        <v>45941</v>
      </c>
      <c r="B358" t="s">
        <v>125</v>
      </c>
      <c r="C358" s="47">
        <v>155000</v>
      </c>
      <c r="D358" s="47"/>
      <c r="E358" t="s">
        <v>61</v>
      </c>
      <c r="F358" s="52" t="s">
        <v>113</v>
      </c>
    </row>
    <row r="359" spans="1:7" hidden="1" x14ac:dyDescent="0.3">
      <c r="A359" s="119">
        <v>45941</v>
      </c>
      <c r="B359" s="120" t="s">
        <v>21</v>
      </c>
      <c r="C359" s="47"/>
      <c r="D359" s="47">
        <v>155000</v>
      </c>
      <c r="E359" s="120" t="s">
        <v>61</v>
      </c>
      <c r="F359" s="121" t="s">
        <v>113</v>
      </c>
      <c r="G359" s="120"/>
    </row>
    <row r="360" spans="1:7" hidden="1" x14ac:dyDescent="0.3">
      <c r="A360" s="119">
        <v>45941</v>
      </c>
      <c r="B360" s="120" t="s">
        <v>403</v>
      </c>
      <c r="C360" s="47">
        <v>60000</v>
      </c>
      <c r="D360" s="47"/>
      <c r="E360" s="120" t="s">
        <v>326</v>
      </c>
      <c r="F360" s="121" t="s">
        <v>113</v>
      </c>
      <c r="G360" s="120"/>
    </row>
    <row r="361" spans="1:7" hidden="1" x14ac:dyDescent="0.3">
      <c r="A361" s="119">
        <v>45941</v>
      </c>
      <c r="B361" s="120" t="s">
        <v>21</v>
      </c>
      <c r="C361" s="47"/>
      <c r="D361" s="47">
        <v>60000</v>
      </c>
      <c r="E361" s="120" t="s">
        <v>403</v>
      </c>
      <c r="F361" s="121" t="s">
        <v>113</v>
      </c>
      <c r="G361" s="120"/>
    </row>
    <row r="362" spans="1:7" hidden="1" x14ac:dyDescent="0.3">
      <c r="A362" s="119">
        <v>45942</v>
      </c>
      <c r="B362" s="120" t="s">
        <v>123</v>
      </c>
      <c r="C362" s="47">
        <v>5000</v>
      </c>
      <c r="D362" s="47"/>
      <c r="E362" s="120" t="s">
        <v>213</v>
      </c>
      <c r="F362" s="121" t="s">
        <v>113</v>
      </c>
      <c r="G362" s="120"/>
    </row>
    <row r="363" spans="1:7" hidden="1" x14ac:dyDescent="0.3">
      <c r="A363" s="119"/>
      <c r="B363" s="120"/>
      <c r="C363" s="47"/>
      <c r="D363" s="47"/>
      <c r="E363" s="120"/>
      <c r="F363" s="121"/>
      <c r="G363" s="120"/>
    </row>
    <row r="364" spans="1:7" x14ac:dyDescent="0.3">
      <c r="A364" s="43"/>
      <c r="C364" s="14">
        <f>SUBTOTAL(109,Table14[Debit])</f>
        <v>6366531</v>
      </c>
      <c r="D364" s="14">
        <f>SUBTOTAL(109,Table14[Credit])</f>
        <v>0</v>
      </c>
      <c r="F364" s="62">
        <f>(Table14[[#Totals],[Credit]]-Table14[[#Totals],[Debit]])</f>
        <v>-6366531</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zoomScale="93" zoomScaleNormal="210" workbookViewId="0">
      <selection activeCell="G18" sqref="G18"/>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A5" s="1">
        <v>45926</v>
      </c>
      <c r="B5" t="s">
        <v>64</v>
      </c>
      <c r="F5" t="s">
        <v>122</v>
      </c>
      <c r="G5">
        <f>SUMIFS(Table14[Debit], Table14[Date], Table8[[#This Row],[Date]], Table14[Party], Table8[[#This Row],[Party]])</f>
        <v>500000</v>
      </c>
      <c r="H5">
        <f>Table8[[#This Row],[Price]]-Table8[[#This Row],[Paid]]</f>
        <v>-500000</v>
      </c>
      <c r="I5" t="s">
        <v>266</v>
      </c>
      <c r="K5" s="1"/>
      <c r="N5" s="14">
        <f>SUM(Table7[Total])</f>
        <v>75750</v>
      </c>
    </row>
    <row r="6" spans="1:14" x14ac:dyDescent="0.3">
      <c r="A6" s="1">
        <v>45926</v>
      </c>
      <c r="B6" t="s">
        <v>64</v>
      </c>
      <c r="E6">
        <v>87750</v>
      </c>
      <c r="G6">
        <v>87750</v>
      </c>
      <c r="H6">
        <f>Table8[[#This Row],[Price]]-Table8[[#This Row],[Paid]]</f>
        <v>0</v>
      </c>
    </row>
    <row r="7" spans="1:14" x14ac:dyDescent="0.3">
      <c r="A7" s="1">
        <v>45927</v>
      </c>
      <c r="B7" t="s">
        <v>133</v>
      </c>
      <c r="C7">
        <v>2</v>
      </c>
      <c r="D7">
        <v>1130</v>
      </c>
      <c r="E7">
        <f>Table8[[#This Row],[Boxes]]*Table8[[#This Row],[Rate]]*25</f>
        <v>56500</v>
      </c>
      <c r="F7" t="s">
        <v>122</v>
      </c>
      <c r="H7">
        <f>Table8[[#This Row],[Price]]-Table8[[#This Row],[Paid]]</f>
        <v>56500</v>
      </c>
      <c r="K7" s="3" t="s">
        <v>115</v>
      </c>
      <c r="L7" t="s">
        <v>122</v>
      </c>
    </row>
    <row r="8" spans="1:14" x14ac:dyDescent="0.3">
      <c r="A8" s="1">
        <v>45927</v>
      </c>
      <c r="B8" t="s">
        <v>134</v>
      </c>
      <c r="C8">
        <v>2</v>
      </c>
      <c r="D8">
        <v>1140</v>
      </c>
      <c r="E8">
        <f>Table8[[#This Row],[Boxes]]*Table8[[#This Row],[Rate]]*25</f>
        <v>57000</v>
      </c>
      <c r="F8" t="s">
        <v>122</v>
      </c>
      <c r="H8">
        <f>Table8[[#This Row],[Price]]-Table8[[#This Row],[Paid]]</f>
        <v>57000</v>
      </c>
    </row>
    <row r="9" spans="1:14" x14ac:dyDescent="0.3">
      <c r="A9" s="1">
        <v>45927</v>
      </c>
      <c r="B9" t="s">
        <v>156</v>
      </c>
      <c r="C9">
        <v>2</v>
      </c>
      <c r="D9">
        <v>1140</v>
      </c>
      <c r="E9">
        <f>Table8[[#This Row],[Boxes]]*Table8[[#This Row],[Rate]]*25</f>
        <v>57000</v>
      </c>
      <c r="F9" t="s">
        <v>122</v>
      </c>
      <c r="H9">
        <f>Table8[[#This Row],[Price]]-Table8[[#This Row],[Paid]]</f>
        <v>57000</v>
      </c>
      <c r="K9" s="3" t="s">
        <v>6</v>
      </c>
      <c r="L9" t="s">
        <v>135</v>
      </c>
      <c r="M9" t="s">
        <v>136</v>
      </c>
    </row>
    <row r="10" spans="1:14" x14ac:dyDescent="0.3">
      <c r="A10" s="1">
        <v>45927</v>
      </c>
      <c r="B10" t="s">
        <v>138</v>
      </c>
      <c r="C10">
        <v>2</v>
      </c>
      <c r="D10">
        <v>1650</v>
      </c>
      <c r="E10">
        <f>Table8[[#This Row],[Boxes]]*Table8[[#This Row],[Rate]]*25</f>
        <v>82500</v>
      </c>
      <c r="F10" t="s">
        <v>122</v>
      </c>
      <c r="H10">
        <f>Table8[[#This Row],[Price]]-Table8[[#This Row],[Paid]]</f>
        <v>82500</v>
      </c>
      <c r="K10" s="27">
        <v>45916</v>
      </c>
      <c r="L10" s="122"/>
      <c r="M10" s="122">
        <v>708000</v>
      </c>
    </row>
    <row r="11" spans="1:14" x14ac:dyDescent="0.3">
      <c r="A11" s="1">
        <v>45927</v>
      </c>
      <c r="B11" t="s">
        <v>155</v>
      </c>
      <c r="C11">
        <v>2</v>
      </c>
      <c r="D11">
        <v>1300</v>
      </c>
      <c r="E11">
        <f>Table8[[#This Row],[Boxes]]*Table8[[#This Row],[Rate]]*25</f>
        <v>65000</v>
      </c>
      <c r="F11" t="s">
        <v>122</v>
      </c>
      <c r="H11">
        <f>Table8[[#This Row],[Price]]-Table8[[#This Row],[Paid]]</f>
        <v>65000</v>
      </c>
      <c r="K11" s="27">
        <v>45926</v>
      </c>
      <c r="L11" s="122"/>
      <c r="M11" s="122">
        <v>-500000</v>
      </c>
    </row>
    <row r="12" spans="1:14" x14ac:dyDescent="0.3">
      <c r="A12" s="1">
        <v>45927</v>
      </c>
      <c r="B12" t="s">
        <v>141</v>
      </c>
      <c r="C12">
        <v>1</v>
      </c>
      <c r="D12">
        <v>1650</v>
      </c>
      <c r="E12">
        <f>Table8[[#This Row],[Boxes]]*Table8[[#This Row],[Rate]]*25</f>
        <v>41250</v>
      </c>
      <c r="F12" t="s">
        <v>122</v>
      </c>
      <c r="H12">
        <f>Table8[[#This Row],[Price]]-Table8[[#This Row],[Paid]]</f>
        <v>41250</v>
      </c>
      <c r="K12" s="27">
        <v>45927</v>
      </c>
      <c r="L12" s="122">
        <v>432125</v>
      </c>
      <c r="M12" s="122">
        <v>432125</v>
      </c>
    </row>
    <row r="13" spans="1:14" x14ac:dyDescent="0.3">
      <c r="A13" s="1">
        <v>45927</v>
      </c>
      <c r="B13" t="s">
        <v>274</v>
      </c>
      <c r="C13">
        <v>1</v>
      </c>
      <c r="D13">
        <v>1140</v>
      </c>
      <c r="E13">
        <f>Table8[[#This Row],[Boxes]]*Table8[[#This Row],[Rate]]*25</f>
        <v>28500</v>
      </c>
      <c r="F13" t="s">
        <v>122</v>
      </c>
      <c r="H13">
        <f>Table8[[#This Row],[Price]]-Table8[[#This Row],[Paid]]</f>
        <v>28500</v>
      </c>
      <c r="K13" s="4" t="s">
        <v>28</v>
      </c>
      <c r="L13" s="122">
        <v>432125</v>
      </c>
      <c r="M13" s="122">
        <v>640125</v>
      </c>
    </row>
    <row r="14" spans="1:14" x14ac:dyDescent="0.3">
      <c r="A14" s="1">
        <v>45927</v>
      </c>
      <c r="B14" t="s">
        <v>180</v>
      </c>
      <c r="C14">
        <v>1</v>
      </c>
      <c r="D14">
        <v>1775</v>
      </c>
      <c r="E14">
        <f>Table8[[#This Row],[Boxes]]*Table8[[#This Row],[Rate]]*25</f>
        <v>44375</v>
      </c>
      <c r="F14" t="s">
        <v>122</v>
      </c>
      <c r="H14">
        <f>Table8[[#This Row],[Price]]-Table8[[#This Row],[Paid]]</f>
        <v>44375</v>
      </c>
    </row>
    <row r="15" spans="1:14" x14ac:dyDescent="0.3">
      <c r="A15" s="1">
        <v>45939</v>
      </c>
      <c r="B15" t="s">
        <v>177</v>
      </c>
      <c r="C15">
        <v>2</v>
      </c>
      <c r="D15">
        <f>23000/25</f>
        <v>920</v>
      </c>
      <c r="E15">
        <f>Table8[[#This Row],[Boxes]]*Table8[[#This Row],[Rate]]*25</f>
        <v>46000</v>
      </c>
      <c r="F15" t="s">
        <v>101</v>
      </c>
      <c r="G15">
        <v>46000</v>
      </c>
      <c r="H15">
        <f>Table8[[#This Row],[Price]]-Table8[[#This Row],[Paid]]</f>
        <v>0</v>
      </c>
    </row>
    <row r="16" spans="1:14" x14ac:dyDescent="0.3">
      <c r="A16" s="1">
        <v>45939</v>
      </c>
      <c r="B16" t="s">
        <v>134</v>
      </c>
      <c r="C16">
        <v>1</v>
      </c>
      <c r="D16">
        <v>1120</v>
      </c>
      <c r="E16">
        <f>Table8[[#This Row],[Rate]]*25</f>
        <v>28000</v>
      </c>
      <c r="F16" t="s">
        <v>101</v>
      </c>
      <c r="G16">
        <v>28000</v>
      </c>
      <c r="H16">
        <f>Table8[[#This Row],[Price]]-Table8[[#This Row],[Paid]]</f>
        <v>0</v>
      </c>
    </row>
    <row r="17" spans="1:16" x14ac:dyDescent="0.3">
      <c r="A17" s="1">
        <v>45939</v>
      </c>
      <c r="B17" t="s">
        <v>155</v>
      </c>
      <c r="C17">
        <v>1</v>
      </c>
      <c r="D17">
        <v>1300</v>
      </c>
      <c r="E17">
        <f>Table8[[#This Row],[Rate]]*25</f>
        <v>32500</v>
      </c>
      <c r="F17" t="s">
        <v>101</v>
      </c>
      <c r="G17">
        <v>32500</v>
      </c>
      <c r="H17">
        <f>Table8[[#This Row],[Price]]-Table8[[#This Row],[Paid]]</f>
        <v>0</v>
      </c>
      <c r="L17" t="s">
        <v>181</v>
      </c>
    </row>
    <row r="18" spans="1:16" x14ac:dyDescent="0.3">
      <c r="E18">
        <f>SUBTOTAL(109,Table8[Price])</f>
        <v>885375</v>
      </c>
      <c r="H18">
        <f>SUBTOTAL(109,Table8[Balance])</f>
        <v>640125</v>
      </c>
      <c r="L18" t="s">
        <v>57</v>
      </c>
      <c r="M18" t="s">
        <v>174</v>
      </c>
      <c r="N18" t="s">
        <v>175</v>
      </c>
      <c r="O18" t="s">
        <v>4</v>
      </c>
      <c r="P18" t="s">
        <v>176</v>
      </c>
    </row>
    <row r="19" spans="1:16" x14ac:dyDescent="0.3">
      <c r="L19" t="s">
        <v>139</v>
      </c>
      <c r="M19">
        <v>1</v>
      </c>
      <c r="N19">
        <v>25</v>
      </c>
      <c r="O19">
        <v>1400</v>
      </c>
      <c r="P19">
        <v>35000</v>
      </c>
    </row>
    <row r="20" spans="1:16" x14ac:dyDescent="0.3">
      <c r="L20" t="s">
        <v>137</v>
      </c>
      <c r="M20">
        <v>1</v>
      </c>
      <c r="N20">
        <v>25</v>
      </c>
      <c r="O20">
        <v>1340</v>
      </c>
      <c r="P20">
        <v>33500</v>
      </c>
    </row>
    <row r="21" spans="1:16" x14ac:dyDescent="0.3">
      <c r="L21" t="s">
        <v>156</v>
      </c>
      <c r="M21">
        <v>2</v>
      </c>
      <c r="N21">
        <v>50</v>
      </c>
      <c r="O21">
        <v>1140</v>
      </c>
      <c r="P21">
        <v>57000</v>
      </c>
    </row>
    <row r="22" spans="1:16" x14ac:dyDescent="0.3">
      <c r="L22" t="s">
        <v>134</v>
      </c>
      <c r="M22">
        <v>1</v>
      </c>
      <c r="N22">
        <v>25</v>
      </c>
      <c r="O22">
        <v>1140</v>
      </c>
      <c r="P22">
        <v>28500</v>
      </c>
    </row>
    <row r="23" spans="1:16" x14ac:dyDescent="0.3">
      <c r="L23" t="s">
        <v>133</v>
      </c>
      <c r="M23">
        <v>2</v>
      </c>
      <c r="N23">
        <v>50</v>
      </c>
      <c r="O23">
        <v>1130</v>
      </c>
      <c r="P23">
        <v>56500</v>
      </c>
    </row>
    <row r="24" spans="1:16" x14ac:dyDescent="0.3">
      <c r="L24" t="s">
        <v>155</v>
      </c>
      <c r="M24">
        <v>1</v>
      </c>
      <c r="N24">
        <v>25</v>
      </c>
      <c r="O24">
        <v>1300</v>
      </c>
      <c r="P24">
        <v>32500</v>
      </c>
    </row>
    <row r="25" spans="1:16" x14ac:dyDescent="0.3">
      <c r="L25" t="s">
        <v>140</v>
      </c>
      <c r="M25">
        <v>1</v>
      </c>
      <c r="N25">
        <v>25</v>
      </c>
      <c r="O25">
        <v>1450</v>
      </c>
      <c r="P25">
        <v>36250</v>
      </c>
    </row>
    <row r="26" spans="1:16" x14ac:dyDescent="0.3">
      <c r="L26" t="s">
        <v>177</v>
      </c>
      <c r="N26">
        <v>6</v>
      </c>
      <c r="O26">
        <v>940</v>
      </c>
      <c r="P26">
        <v>5640</v>
      </c>
    </row>
    <row r="27" spans="1:16" x14ac:dyDescent="0.3">
      <c r="L27" t="s">
        <v>133</v>
      </c>
      <c r="N27">
        <v>8</v>
      </c>
      <c r="O27">
        <v>1130</v>
      </c>
      <c r="P27">
        <v>9040</v>
      </c>
    </row>
    <row r="28" spans="1:16" x14ac:dyDescent="0.3">
      <c r="L28" t="s">
        <v>155</v>
      </c>
      <c r="N28">
        <v>10</v>
      </c>
      <c r="O28">
        <v>1300</v>
      </c>
      <c r="P28">
        <v>13000</v>
      </c>
    </row>
    <row r="29" spans="1:16" x14ac:dyDescent="0.3">
      <c r="L29" t="s">
        <v>141</v>
      </c>
      <c r="N29">
        <v>9</v>
      </c>
      <c r="O29">
        <v>1650</v>
      </c>
      <c r="P29">
        <v>14850</v>
      </c>
    </row>
    <row r="30" spans="1:16" x14ac:dyDescent="0.3">
      <c r="L30" t="s">
        <v>137</v>
      </c>
      <c r="N30">
        <v>5</v>
      </c>
      <c r="O30">
        <v>1340</v>
      </c>
      <c r="P30">
        <v>6700</v>
      </c>
    </row>
    <row r="31" spans="1:16" x14ac:dyDescent="0.3">
      <c r="L31" t="s">
        <v>140</v>
      </c>
      <c r="N31">
        <v>20</v>
      </c>
      <c r="O31">
        <v>1450</v>
      </c>
      <c r="P31">
        <v>29000</v>
      </c>
    </row>
    <row r="32" spans="1: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6"/>
  <sheetViews>
    <sheetView topLeftCell="A3" workbookViewId="0">
      <selection activeCell="O13" sqref="O13"/>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Name]],Table14[Description],Table2[[#This Row],[Item]])</f>
        <v>0</v>
      </c>
      <c r="H5" s="90">
        <v>310500</v>
      </c>
      <c r="J5" s="4" t="s">
        <v>124</v>
      </c>
      <c r="K5" s="122">
        <v>0</v>
      </c>
      <c r="L5" s="122">
        <v>0</v>
      </c>
      <c r="M5" s="122">
        <v>-5000</v>
      </c>
    </row>
    <row r="6" spans="1:13" x14ac:dyDescent="0.3">
      <c r="A6" s="93">
        <v>45916</v>
      </c>
      <c r="B6" s="93" t="s">
        <v>124</v>
      </c>
      <c r="C6" s="90" t="s">
        <v>164</v>
      </c>
      <c r="D6" s="90"/>
      <c r="E6" s="90"/>
      <c r="F6" s="90">
        <f>Table2[[#This Row],[Quantity]]*250</f>
        <v>0</v>
      </c>
      <c r="G6" s="90">
        <f>SUMIFS(Table14[Debit], Table14[Date], Table2[[#This Row],[Date]], Table14[Party], Table2[[#This Row],[Party Name]],Table14[Description],Table2[[#This Row],[Item]])</f>
        <v>0</v>
      </c>
      <c r="H6" s="90">
        <v>-5000</v>
      </c>
      <c r="J6" s="4" t="s">
        <v>125</v>
      </c>
      <c r="K6" s="122">
        <v>1082250</v>
      </c>
      <c r="L6" s="122">
        <v>1082250</v>
      </c>
      <c r="M6" s="122">
        <v>310500</v>
      </c>
    </row>
    <row r="7" spans="1:13" x14ac:dyDescent="0.3">
      <c r="A7" s="1">
        <v>45920</v>
      </c>
      <c r="B7" s="1" t="s">
        <v>215</v>
      </c>
      <c r="C7" t="s">
        <v>216</v>
      </c>
      <c r="E7">
        <v>250</v>
      </c>
      <c r="F7">
        <f>Table2[[#This Row],[Quantity]]*250</f>
        <v>62500</v>
      </c>
      <c r="G7">
        <v>60000</v>
      </c>
      <c r="H7">
        <f>Table2[[#This Row],[Price]]-Table2[[#This Row],[Paid]]-2500</f>
        <v>0</v>
      </c>
      <c r="J7" s="4" t="s">
        <v>215</v>
      </c>
      <c r="K7" s="122">
        <v>62500</v>
      </c>
      <c r="L7" s="122">
        <v>60000</v>
      </c>
      <c r="M7" s="122">
        <v>0</v>
      </c>
    </row>
    <row r="8" spans="1:13" x14ac:dyDescent="0.3">
      <c r="A8" s="1">
        <v>45922</v>
      </c>
      <c r="B8" s="1" t="s">
        <v>125</v>
      </c>
      <c r="C8" t="s">
        <v>61</v>
      </c>
      <c r="F8">
        <v>310500</v>
      </c>
      <c r="G8">
        <f>SUMIFS(Table14[Debit], Table14[Date], Table2[[#This Row],[Date]], Table14[Party], Table2[[#This Row],[Party Name]],Table14[Description],Table2[[#This Row],[Item]])</f>
        <v>310500</v>
      </c>
      <c r="H8">
        <f>Table2[[#This Row],[Price]]-Table2[[#This Row],[Paid]]</f>
        <v>0</v>
      </c>
      <c r="J8" s="4" t="s">
        <v>28</v>
      </c>
      <c r="K8" s="122">
        <v>1144750</v>
      </c>
      <c r="L8" s="122">
        <v>1142250</v>
      </c>
      <c r="M8" s="122">
        <v>305500</v>
      </c>
    </row>
    <row r="9" spans="1:13" x14ac:dyDescent="0.3">
      <c r="A9" s="1">
        <v>45925</v>
      </c>
      <c r="B9" s="1" t="s">
        <v>125</v>
      </c>
      <c r="C9" t="s">
        <v>61</v>
      </c>
      <c r="F9">
        <v>24600</v>
      </c>
      <c r="G9">
        <f>SUMIFS(Table14[Debit], Table14[Date], Table2[[#This Row],[Date]], Table14[Party], Table2[[#This Row],[Party Name]],Table14[Description],Table2[[#This Row],[Item]])</f>
        <v>24600</v>
      </c>
      <c r="H9">
        <f>Table2[[#This Row],[Price]]-Table2[[#This Row],[Paid]]</f>
        <v>0</v>
      </c>
    </row>
    <row r="10" spans="1:13" x14ac:dyDescent="0.3">
      <c r="A10" s="1">
        <v>45925</v>
      </c>
      <c r="B10" s="1" t="s">
        <v>125</v>
      </c>
      <c r="C10" t="s">
        <v>267</v>
      </c>
      <c r="D10">
        <v>45</v>
      </c>
      <c r="F10">
        <v>353250</v>
      </c>
      <c r="G10">
        <v>353250</v>
      </c>
      <c r="H10">
        <f>Table2[[#This Row],[Price]]-Table2[[#This Row],[Paid]]</f>
        <v>0</v>
      </c>
    </row>
    <row r="11" spans="1:13" x14ac:dyDescent="0.3">
      <c r="A11" s="1">
        <v>45930</v>
      </c>
      <c r="B11" s="1" t="s">
        <v>125</v>
      </c>
      <c r="C11" t="s">
        <v>197</v>
      </c>
      <c r="F11">
        <v>82000</v>
      </c>
      <c r="G11">
        <f>SUMIFS(Table14[Debit], Table14[Date], Table2[[#This Row],[Date]], Table14[Party], Table2[[#This Row],[Party Name]],Table14[Description],Table2[[#This Row],[Item]])</f>
        <v>82000</v>
      </c>
      <c r="H11">
        <f>Table2[[#This Row],[Price]]-Table2[[#This Row],[Paid]]</f>
        <v>0</v>
      </c>
    </row>
    <row r="12" spans="1:13" x14ac:dyDescent="0.3">
      <c r="A12" s="1">
        <v>45938</v>
      </c>
      <c r="B12" s="1" t="s">
        <v>125</v>
      </c>
      <c r="C12" t="s">
        <v>61</v>
      </c>
      <c r="D12">
        <v>2</v>
      </c>
      <c r="F12">
        <v>8800</v>
      </c>
      <c r="G12">
        <f>SUMIFS(Table14[Debit], Table14[Date], Table2[[#This Row],[Date]], Table14[Party], Table2[[#This Row],[Party Name]],Table14[Description],Table2[[#This Row],[Item]])</f>
        <v>8800</v>
      </c>
      <c r="H12">
        <f>Table2[[#This Row],[Price]]-Table2[[#This Row],[Paid]]</f>
        <v>0</v>
      </c>
    </row>
    <row r="13" spans="1:13" x14ac:dyDescent="0.3">
      <c r="A13" s="1">
        <v>45939</v>
      </c>
      <c r="B13" s="1" t="s">
        <v>125</v>
      </c>
      <c r="C13" t="s">
        <v>61</v>
      </c>
      <c r="F13">
        <v>80600</v>
      </c>
      <c r="G13">
        <f>SUMIFS(Table14[Debit], Table14[Date], Table2[[#This Row],[Date]], Table14[Party], Table2[[#This Row],[Party Name]],Table14[Description],Table2[[#This Row],[Item]])</f>
        <v>80600</v>
      </c>
      <c r="H13">
        <f>Table2[[#This Row],[Price]]-Table2[[#This Row],[Paid]]</f>
        <v>0</v>
      </c>
    </row>
    <row r="14" spans="1:13" x14ac:dyDescent="0.3">
      <c r="A14" s="1">
        <v>45941</v>
      </c>
      <c r="B14" s="1" t="s">
        <v>125</v>
      </c>
      <c r="C14" t="s">
        <v>197</v>
      </c>
      <c r="F14">
        <v>67500</v>
      </c>
      <c r="G14">
        <f>SUMIFS(Table14[Debit], Table14[Date], Table2[[#This Row],[Date]], Table14[Party], Table2[[#This Row],[Party Name]],Table14[Description],Table2[[#This Row],[Item]])</f>
        <v>67500</v>
      </c>
      <c r="H14">
        <f>Table2[[#This Row],[Price]]-Table2[[#This Row],[Paid]]</f>
        <v>0</v>
      </c>
    </row>
    <row r="15" spans="1:13" x14ac:dyDescent="0.3">
      <c r="A15" s="1">
        <v>45941</v>
      </c>
      <c r="B15" s="1" t="s">
        <v>125</v>
      </c>
      <c r="C15" t="s">
        <v>61</v>
      </c>
      <c r="D15">
        <v>20</v>
      </c>
      <c r="F15">
        <v>155000</v>
      </c>
      <c r="G15">
        <f>SUMIFS(Table14[Debit], Table14[Date], Table2[[#This Row],[Date]], Table14[Party], Table2[[#This Row],[Party Name]],Table14[Description],Table2[[#This Row],[Item]])</f>
        <v>155000</v>
      </c>
      <c r="H15">
        <f>Table2[[#This Row],[Price]]-Table2[[#This Row],[Paid]]</f>
        <v>0</v>
      </c>
    </row>
    <row r="16" spans="1:13" x14ac:dyDescent="0.3">
      <c r="A16" s="1"/>
      <c r="F16">
        <f>SUBTOTAL(109,Table2[Price])</f>
        <v>1144750</v>
      </c>
      <c r="G16">
        <f>SUBTOTAL(109,Table2[Paid])</f>
        <v>1142250</v>
      </c>
      <c r="H16">
        <f>SUBTOTAL(109,Table2[Balance])</f>
        <v>305500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A11" zoomScale="118" workbookViewId="0">
      <selection activeCell="H31" sqref="H31"/>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76</v>
      </c>
      <c r="C2" t="s">
        <v>46</v>
      </c>
      <c r="D2" t="s">
        <v>66</v>
      </c>
      <c r="E2" t="s">
        <v>67</v>
      </c>
      <c r="H2" t="s">
        <v>76</v>
      </c>
      <c r="I2" t="s">
        <v>147</v>
      </c>
      <c r="J2" t="s">
        <v>148</v>
      </c>
    </row>
    <row r="3" spans="2:15"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c r="M3" t="s">
        <v>327</v>
      </c>
      <c r="N3" t="s">
        <v>328</v>
      </c>
    </row>
    <row r="4" spans="2:15"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185</v>
      </c>
      <c r="N4" t="s">
        <v>329</v>
      </c>
    </row>
    <row r="5" spans="2:15"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c r="N5" t="s">
        <v>330</v>
      </c>
      <c r="O5" t="s">
        <v>331</v>
      </c>
    </row>
    <row r="6" spans="2:15"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5"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5"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5" x14ac:dyDescent="0.3">
      <c r="B9" s="1">
        <v>45922</v>
      </c>
      <c r="C9" s="20">
        <f>SUMIFS(Table14[Debit], Table14[Date], Table11[[#This Row],[Date]], Table14[Party],"Salary", Table14[Description],Table11[[#This Row],[Column1]])</f>
        <v>10000</v>
      </c>
      <c r="D9" t="s">
        <v>229</v>
      </c>
      <c r="H9" s="1">
        <v>45922</v>
      </c>
      <c r="I9">
        <f>SUMIFS(Table14[Debit], Table14[Date], Table16[[#This Row],[Date]], Table14[Party], "Advance Salary", Table14[Description], Table16[[#This Row],[Person]] )</f>
        <v>2000</v>
      </c>
      <c r="J9" t="s">
        <v>230</v>
      </c>
    </row>
    <row r="10" spans="2:15"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5"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5"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5"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184</v>
      </c>
    </row>
    <row r="14" spans="2:15"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5"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5"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10"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10"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10"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10"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10000</v>
      </c>
      <c r="J20" t="s">
        <v>185</v>
      </c>
    </row>
    <row r="21" spans="2:10" x14ac:dyDescent="0.3">
      <c r="B21" s="1">
        <v>45934</v>
      </c>
      <c r="C21" s="20">
        <f>SUMIFS(Table14[Debit], Table14[Date], Table11[[#This Row],[Date]], Table14[Party],"Salary ", Table14[Description],Table11[[#This Row],[Column1]])</f>
        <v>0</v>
      </c>
      <c r="H21" s="1">
        <v>45933</v>
      </c>
      <c r="I21">
        <f>SUMIFS(Table14[Debit], Table14[Date], Table16[[#This Row],[Date]], Table14[Party], "Advance Salary", Table14[Description], Table16[[#This Row],[Person]] )</f>
        <v>2000</v>
      </c>
      <c r="J21" t="s">
        <v>322</v>
      </c>
    </row>
    <row r="22" spans="2:10"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c r="J22" t="s">
        <v>389</v>
      </c>
    </row>
    <row r="23" spans="2:10" x14ac:dyDescent="0.3">
      <c r="B23" s="1">
        <v>45936</v>
      </c>
      <c r="C23" s="20">
        <f>SUMIFS(Table14[Debit], Table14[Date], Table11[[#This Row],[Date]], Table14[Party],"Salary ", Table14[Description],Table11[[#This Row],[Column1]])</f>
        <v>0</v>
      </c>
      <c r="H23" s="1">
        <v>45937</v>
      </c>
      <c r="I23">
        <f>SUMIFS(Table14[Debit], Table14[Date], Table16[[#This Row],[Date]], Table14[Party], "Advance Salary", Table14[Description], Table16[[#This Row],[Person]] )</f>
        <v>1000</v>
      </c>
      <c r="J23" t="s">
        <v>356</v>
      </c>
    </row>
    <row r="24" spans="2:10"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5000</v>
      </c>
      <c r="J24" t="s">
        <v>209</v>
      </c>
    </row>
    <row r="25" spans="2:10" x14ac:dyDescent="0.3">
      <c r="B25" s="1">
        <v>45938</v>
      </c>
      <c r="C25" s="20">
        <f>SUMIFS(Table14[Debit], Table14[Date], Table11[[#This Row],[Date]], Table14[Party],"Salary ", Table14[Description],Table11[[#This Row],[Column1]])</f>
        <v>0</v>
      </c>
      <c r="H25" s="1">
        <v>45937</v>
      </c>
      <c r="I25">
        <f>SUMIFS(Table14[Debit], Table14[Date], Table16[[#This Row],[Date]], Table14[Party], "Advance Salary", Table14[Description], Table16[[#This Row],[Person]] )</f>
        <v>4000</v>
      </c>
      <c r="J25" t="s">
        <v>292</v>
      </c>
    </row>
    <row r="26" spans="2:10" x14ac:dyDescent="0.3">
      <c r="B26" s="1">
        <v>45939</v>
      </c>
      <c r="C26" s="20">
        <f>SUMIFS(Table14[Debit], Table14[Date], Table11[[#This Row],[Date]], Table14[Party],"Salary ", Table14[Description],Table11[[#This Row],[Column1]])</f>
        <v>0</v>
      </c>
      <c r="H26" s="1">
        <v>45938</v>
      </c>
      <c r="I26">
        <f>SUMIFS(Table14[Debit], Table14[Date], Table16[[#This Row],[Date]], Table14[Party], "Advance Salary", Table14[Description], Table16[[#This Row],[Person]] )</f>
        <v>1500</v>
      </c>
      <c r="J26" t="s">
        <v>389</v>
      </c>
    </row>
    <row r="27" spans="2:10" x14ac:dyDescent="0.3">
      <c r="B27" s="1">
        <v>45940</v>
      </c>
      <c r="C27" s="20">
        <f>SUMIFS(Table14[Debit], Table14[Date], Table11[[#This Row],[Date]], Table14[Party],"Salary ", Table14[Description],Table11[[#This Row],[Column1]])</f>
        <v>0</v>
      </c>
      <c r="H27" s="1">
        <v>45938</v>
      </c>
      <c r="I27">
        <f>SUMIFS(Table14[Debit], Table14[Date], Table16[[#This Row],[Date]], Table14[Party], "Advance Salary", Table14[Description], Table16[[#This Row],[Person]] )</f>
        <v>500</v>
      </c>
      <c r="J27" t="s">
        <v>396</v>
      </c>
    </row>
    <row r="28" spans="2:10" x14ac:dyDescent="0.3">
      <c r="B28" s="1">
        <v>45941</v>
      </c>
      <c r="C28" s="20">
        <f>SUMIFS(Table14[Debit], Table14[Date], Table11[[#This Row],[Date]], Table14[Party],"Salary ", Table14[Description],Table11[[#This Row],[Column1]])</f>
        <v>0</v>
      </c>
      <c r="H28" s="1">
        <v>45939</v>
      </c>
      <c r="I28">
        <f>SUMIFS(Table14[Debit], Table14[Date], Table16[[#This Row],[Date]], Table14[Party], "Advance Salary", Table14[Description], Table16[[#This Row],[Person]] )</f>
        <v>1500</v>
      </c>
      <c r="J28" t="s">
        <v>387</v>
      </c>
    </row>
    <row r="29" spans="2:10" x14ac:dyDescent="0.3">
      <c r="B29" s="1">
        <v>45942</v>
      </c>
      <c r="C29" s="20">
        <f>SUMIFS(Table14[Debit], Table14[Date], Table11[[#This Row],[Date]], Table14[Party],"Salary ", Table14[Description],Table11[[#This Row],[Column1]])</f>
        <v>0</v>
      </c>
      <c r="H29" s="1">
        <v>45939</v>
      </c>
      <c r="I29">
        <f>SUMIFS(Table14[Debit], Table14[Date], Table16[[#This Row],[Date]], Table14[Party], "Advance Salary", Table14[Description], Table16[[#This Row],[Person]] )</f>
        <v>500</v>
      </c>
      <c r="J29" t="s">
        <v>388</v>
      </c>
    </row>
    <row r="30" spans="2:10" x14ac:dyDescent="0.3">
      <c r="B30" s="1">
        <v>45943</v>
      </c>
      <c r="C30" s="20">
        <f>SUMIFS(Table14[Debit], Table14[Date], Table11[[#This Row],[Date]], Table14[Party],"Salary ", Table14[Description],Table11[[#This Row],[Column1]])</f>
        <v>0</v>
      </c>
      <c r="H30" s="1">
        <v>45942</v>
      </c>
      <c r="I30">
        <f>SUMIFS(Table14[Debit], Table14[Date], Table16[[#This Row],[Date]], Table14[Party], "Advance Salary", Table14[Description], Table16[[#This Row],[Person]] )</f>
        <v>5000</v>
      </c>
      <c r="J30" t="s">
        <v>213</v>
      </c>
    </row>
    <row r="31" spans="2:10"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10"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74000</v>
      </c>
    </row>
    <row r="36" spans="2:9" x14ac:dyDescent="0.3">
      <c r="B36" s="1">
        <v>45949</v>
      </c>
      <c r="C36" s="20">
        <f>SUMIFS(Table14[Debit], Table14[Date], Table11[[#This Row],[Date]], Table14[Party],"Salary ", Table14[Description],Table11[[#This Row],[Column1]])</f>
        <v>0</v>
      </c>
    </row>
    <row r="37" spans="2:9" x14ac:dyDescent="0.3">
      <c r="B37" s="1"/>
      <c r="C37" s="26">
        <f>SUM(Table11[Amount])</f>
        <v>24000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Q3" sqref="Q3"/>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1526841.0197512801</v>
      </c>
      <c r="C2" s="37">
        <f>GETPIVOTDATA("Sum of Tiyaar/gaz",$A$3)</f>
        <v>1551529</v>
      </c>
      <c r="D2" s="36">
        <f>((B2*48)+((C2/1.0936)*10))/C2</f>
        <v>56.380333620758854</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252</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253</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254</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255</v>
      </c>
      <c r="B27" s="14">
        <v>32916</v>
      </c>
      <c r="C27" s="14">
        <v>35791</v>
      </c>
      <c r="D27" s="33">
        <f t="shared" si="1"/>
        <v>53.28839327447978</v>
      </c>
      <c r="E27" s="11">
        <f t="shared" si="2"/>
        <v>35996.937599999997</v>
      </c>
      <c r="F27" s="11">
        <f t="shared" si="0"/>
        <v>35791</v>
      </c>
      <c r="G27" s="86">
        <f t="shared" si="6"/>
        <v>0.57209755532092288</v>
      </c>
      <c r="H27" s="33">
        <f t="shared" si="3"/>
        <v>32727.688368690568</v>
      </c>
      <c r="I27" s="33">
        <f t="shared" si="5"/>
        <v>53.28839327447978</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284</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v>1770</v>
      </c>
      <c r="B45" s="14">
        <v>14459</v>
      </c>
      <c r="C45" s="14">
        <v>15367</v>
      </c>
      <c r="D45" s="33">
        <f t="shared" ref="D45:D58" si="19">I45</f>
        <v>54.30790373485322</v>
      </c>
      <c r="E45" s="11">
        <f t="shared" ref="E45:E58" si="20">B45 * 1.0936</f>
        <v>15812.362399999998</v>
      </c>
      <c r="F45" s="11">
        <f t="shared" ref="F45:F58" si="21">C45</f>
        <v>15367</v>
      </c>
      <c r="G45" s="86">
        <f t="shared" ref="G45:G58" si="22">100- (F45/E45 *100)</f>
        <v>2.8165456162325171</v>
      </c>
      <c r="H45" s="33">
        <f t="shared" ref="H45:H58" si="23">F45/1.0936</f>
        <v>14051.755669348941</v>
      </c>
      <c r="I45" s="33">
        <f t="shared" ref="I45:I58" si="24">((B45*48)+(H45*10))/C45</f>
        <v>54.30790373485322</v>
      </c>
    </row>
    <row r="46" spans="1:9" x14ac:dyDescent="0.3">
      <c r="A46" s="16">
        <v>1772</v>
      </c>
      <c r="B46" s="14">
        <v>15029</v>
      </c>
      <c r="C46" s="14">
        <v>16292</v>
      </c>
      <c r="D46" s="33">
        <f t="shared" si="19"/>
        <v>53.423021086818814</v>
      </c>
      <c r="E46" s="11">
        <f t="shared" si="20"/>
        <v>16435.714399999997</v>
      </c>
      <c r="F46" s="11">
        <f t="shared" si="21"/>
        <v>16292</v>
      </c>
      <c r="G46" s="86">
        <f t="shared" si="22"/>
        <v>0.87440312299413847</v>
      </c>
      <c r="H46" s="33">
        <f t="shared" si="23"/>
        <v>14897.58595464521</v>
      </c>
      <c r="I46" s="33">
        <f t="shared" si="24"/>
        <v>53.423021086818814</v>
      </c>
    </row>
    <row r="47" spans="1:9" x14ac:dyDescent="0.3">
      <c r="A47" s="16">
        <v>1721</v>
      </c>
      <c r="B47" s="14">
        <v>12128</v>
      </c>
      <c r="C47" s="14">
        <v>13094</v>
      </c>
      <c r="D47" s="33">
        <f t="shared" si="19"/>
        <v>53.602947300533231</v>
      </c>
      <c r="E47" s="11">
        <f t="shared" si="20"/>
        <v>13263.180799999998</v>
      </c>
      <c r="F47" s="11">
        <f t="shared" si="21"/>
        <v>13094</v>
      </c>
      <c r="G47" s="86">
        <f t="shared" si="22"/>
        <v>1.275567320924992</v>
      </c>
      <c r="H47" s="33">
        <f t="shared" si="23"/>
        <v>11973.299195318215</v>
      </c>
      <c r="I47" s="33">
        <f t="shared" si="24"/>
        <v>53.602947300533231</v>
      </c>
    </row>
    <row r="48" spans="1:9" x14ac:dyDescent="0.3">
      <c r="A48" s="16">
        <v>1769</v>
      </c>
      <c r="B48" s="14">
        <v>3889</v>
      </c>
      <c r="C48" s="14">
        <v>4202</v>
      </c>
      <c r="D48" s="33">
        <f t="shared" si="19"/>
        <v>53.568670925852359</v>
      </c>
      <c r="E48" s="11">
        <f t="shared" si="20"/>
        <v>4253.0103999999992</v>
      </c>
      <c r="F48" s="11">
        <f t="shared" si="21"/>
        <v>4202</v>
      </c>
      <c r="G48" s="86">
        <f t="shared" si="22"/>
        <v>1.1993951390290363</v>
      </c>
      <c r="H48" s="33">
        <f t="shared" si="23"/>
        <v>3842.3555230431607</v>
      </c>
      <c r="I48" s="33">
        <f t="shared" si="24"/>
        <v>53.568670925852359</v>
      </c>
    </row>
    <row r="49" spans="1:9" x14ac:dyDescent="0.3">
      <c r="A49" s="16">
        <v>1771</v>
      </c>
      <c r="B49" s="14">
        <v>16003</v>
      </c>
      <c r="C49" s="14">
        <v>17451</v>
      </c>
      <c r="D49" s="33">
        <f t="shared" si="19"/>
        <v>53.161302184312326</v>
      </c>
      <c r="E49" s="11">
        <f t="shared" si="20"/>
        <v>17500.880799999999</v>
      </c>
      <c r="F49" s="11">
        <f t="shared" si="21"/>
        <v>17451</v>
      </c>
      <c r="G49" s="86">
        <f t="shared" si="22"/>
        <v>0.28501879745390113</v>
      </c>
      <c r="H49" s="33">
        <f t="shared" si="23"/>
        <v>15957.388441843454</v>
      </c>
      <c r="I49" s="33">
        <f t="shared" si="24"/>
        <v>53.161302184312326</v>
      </c>
    </row>
    <row r="50" spans="1:9" x14ac:dyDescent="0.3">
      <c r="A50" s="16">
        <v>1746</v>
      </c>
      <c r="B50" s="14">
        <v>25001</v>
      </c>
      <c r="C50" s="14">
        <v>27064</v>
      </c>
      <c r="D50" s="33">
        <f t="shared" si="19"/>
        <v>53.4852285438553</v>
      </c>
      <c r="E50" s="11">
        <f t="shared" si="20"/>
        <v>27341.093599999997</v>
      </c>
      <c r="F50" s="11">
        <f t="shared" si="21"/>
        <v>27064</v>
      </c>
      <c r="G50" s="86">
        <f t="shared" si="22"/>
        <v>1.0134693368666063</v>
      </c>
      <c r="H50" s="33">
        <f t="shared" si="23"/>
        <v>24747.622531089979</v>
      </c>
      <c r="I50" s="33">
        <f t="shared" si="24"/>
        <v>53.4852285438553</v>
      </c>
    </row>
    <row r="51" spans="1:9" x14ac:dyDescent="0.3">
      <c r="A51" s="16">
        <v>1759</v>
      </c>
      <c r="B51" s="14">
        <v>25814</v>
      </c>
      <c r="C51" s="14">
        <v>28388</v>
      </c>
      <c r="D51" s="33">
        <f t="shared" si="19"/>
        <v>52.791849673440431</v>
      </c>
      <c r="E51" s="11">
        <f t="shared" si="20"/>
        <v>28230.190399999996</v>
      </c>
      <c r="F51" s="11">
        <f t="shared" si="21"/>
        <v>28388</v>
      </c>
      <c r="G51" s="86">
        <f t="shared" si="22"/>
        <v>-0.55901004479235894</v>
      </c>
      <c r="H51" s="33">
        <f t="shared" si="23"/>
        <v>25958.302852962694</v>
      </c>
      <c r="I51" s="33">
        <f t="shared" si="24"/>
        <v>52.791849673440431</v>
      </c>
    </row>
    <row r="52" spans="1:9" x14ac:dyDescent="0.3">
      <c r="A52" s="16">
        <v>1722</v>
      </c>
      <c r="B52" s="14">
        <v>20007</v>
      </c>
      <c r="C52" s="14">
        <v>21666</v>
      </c>
      <c r="D52" s="33">
        <f t="shared" si="19"/>
        <v>53.468675025125414</v>
      </c>
      <c r="E52" s="11">
        <f t="shared" si="20"/>
        <v>21879.655199999997</v>
      </c>
      <c r="F52" s="11">
        <f t="shared" si="21"/>
        <v>21666</v>
      </c>
      <c r="G52" s="86">
        <f t="shared" si="22"/>
        <v>0.97650167722935066</v>
      </c>
      <c r="H52" s="33">
        <f t="shared" si="23"/>
        <v>19811.631309436725</v>
      </c>
      <c r="I52" s="33">
        <f t="shared" si="24"/>
        <v>53.468675025125414</v>
      </c>
    </row>
    <row r="53" spans="1:9" x14ac:dyDescent="0.3">
      <c r="A53" s="16">
        <v>1773</v>
      </c>
      <c r="B53" s="14">
        <v>30174</v>
      </c>
      <c r="C53" s="14">
        <v>31859</v>
      </c>
      <c r="D53" s="33">
        <f t="shared" si="19"/>
        <v>54.605425106827582</v>
      </c>
      <c r="E53" s="11">
        <f t="shared" si="20"/>
        <v>32998.286399999997</v>
      </c>
      <c r="F53" s="11">
        <f t="shared" si="21"/>
        <v>31859</v>
      </c>
      <c r="G53" s="86">
        <f t="shared" si="22"/>
        <v>3.4525623124478244</v>
      </c>
      <c r="H53" s="33">
        <f t="shared" si="23"/>
        <v>29132.223847841993</v>
      </c>
      <c r="I53" s="33">
        <f t="shared" si="24"/>
        <v>54.605425106827582</v>
      </c>
    </row>
    <row r="54" spans="1:9" x14ac:dyDescent="0.3">
      <c r="A54" s="16">
        <v>1779</v>
      </c>
      <c r="B54" s="14">
        <v>21113</v>
      </c>
      <c r="C54" s="14">
        <v>22719</v>
      </c>
      <c r="D54" s="33">
        <f t="shared" si="19"/>
        <v>53.751004101410985</v>
      </c>
      <c r="E54" s="11">
        <f t="shared" si="20"/>
        <v>23089.176799999997</v>
      </c>
      <c r="F54" s="11">
        <f t="shared" si="21"/>
        <v>22719</v>
      </c>
      <c r="G54" s="86">
        <f t="shared" si="22"/>
        <v>1.6032481504494172</v>
      </c>
      <c r="H54" s="33">
        <f t="shared" si="23"/>
        <v>20774.506217995611</v>
      </c>
      <c r="I54" s="33">
        <f t="shared" si="24"/>
        <v>53.751004101410985</v>
      </c>
    </row>
    <row r="55" spans="1:9" x14ac:dyDescent="0.3">
      <c r="A55" s="16">
        <v>1749</v>
      </c>
      <c r="B55" s="14">
        <v>56411</v>
      </c>
      <c r="C55" s="14">
        <v>60506</v>
      </c>
      <c r="D55" s="33">
        <f t="shared" si="19"/>
        <v>53.895507748105587</v>
      </c>
      <c r="E55" s="11">
        <f t="shared" si="20"/>
        <v>61691.069599999995</v>
      </c>
      <c r="F55" s="11">
        <f t="shared" si="21"/>
        <v>60506</v>
      </c>
      <c r="G55" s="86">
        <f t="shared" si="22"/>
        <v>1.9209743123014249</v>
      </c>
      <c r="H55" s="33">
        <f t="shared" si="23"/>
        <v>55327.359180687643</v>
      </c>
      <c r="I55" s="33">
        <f t="shared" si="24"/>
        <v>53.895507748105587</v>
      </c>
    </row>
    <row r="56" spans="1:9" x14ac:dyDescent="0.3">
      <c r="A56" s="16">
        <v>1782</v>
      </c>
      <c r="B56" s="14">
        <v>26555</v>
      </c>
      <c r="C56" s="14">
        <v>28912</v>
      </c>
      <c r="D56" s="33">
        <f t="shared" si="19"/>
        <v>53.230995531075003</v>
      </c>
      <c r="E56" s="11">
        <f t="shared" si="20"/>
        <v>29040.547999999999</v>
      </c>
      <c r="F56" s="11">
        <f t="shared" si="21"/>
        <v>28912</v>
      </c>
      <c r="G56" s="86">
        <f t="shared" si="22"/>
        <v>0.44265004916573503</v>
      </c>
      <c r="H56" s="33">
        <f t="shared" si="23"/>
        <v>26437.454279444039</v>
      </c>
      <c r="I56" s="33">
        <f t="shared" si="24"/>
        <v>53.230995531075003</v>
      </c>
    </row>
    <row r="57" spans="1:9" x14ac:dyDescent="0.3">
      <c r="A57" s="16">
        <v>1713</v>
      </c>
      <c r="B57" s="14">
        <v>19183</v>
      </c>
      <c r="C57" s="14">
        <v>20477</v>
      </c>
      <c r="D57" s="33">
        <f t="shared" si="19"/>
        <v>54.110854367661908</v>
      </c>
      <c r="E57" s="11">
        <f t="shared" si="20"/>
        <v>20978.528799999996</v>
      </c>
      <c r="F57" s="11">
        <f t="shared" si="21"/>
        <v>20477</v>
      </c>
      <c r="G57" s="86">
        <f t="shared" si="22"/>
        <v>2.390676699883727</v>
      </c>
      <c r="H57" s="33">
        <f t="shared" si="23"/>
        <v>18724.396488661303</v>
      </c>
      <c r="I57" s="33">
        <f t="shared" si="24"/>
        <v>54.110854367661908</v>
      </c>
    </row>
    <row r="58" spans="1:9" x14ac:dyDescent="0.3">
      <c r="A58" s="16">
        <v>1706</v>
      </c>
      <c r="B58" s="14">
        <v>10815</v>
      </c>
      <c r="C58" s="14">
        <v>11620</v>
      </c>
      <c r="D58" s="33">
        <f t="shared" si="19"/>
        <v>53.81880998757282</v>
      </c>
      <c r="E58" s="11">
        <f t="shared" si="20"/>
        <v>11827.284</v>
      </c>
      <c r="F58" s="11">
        <f t="shared" si="21"/>
        <v>11620</v>
      </c>
      <c r="G58" s="86">
        <f t="shared" si="22"/>
        <v>1.7525917192822931</v>
      </c>
      <c r="H58" s="33">
        <f t="shared" si="23"/>
        <v>10625.45720555962</v>
      </c>
      <c r="I58" s="33">
        <f t="shared" si="24"/>
        <v>53.81880998757282</v>
      </c>
    </row>
    <row r="59" spans="1:9" x14ac:dyDescent="0.3">
      <c r="A59" s="16">
        <v>1711</v>
      </c>
      <c r="B59" s="14">
        <v>50522</v>
      </c>
      <c r="C59" s="14">
        <v>4282</v>
      </c>
      <c r="D59" s="33">
        <f t="shared" ref="D59:D75" si="25">I59</f>
        <v>575.48133678790816</v>
      </c>
      <c r="E59" s="11">
        <f t="shared" ref="E59:E75" si="26">B59 * 1.0936</f>
        <v>55250.859199999992</v>
      </c>
      <c r="F59" s="11">
        <f t="shared" ref="F59:F75" si="27">C59</f>
        <v>4282</v>
      </c>
      <c r="G59" s="86">
        <f t="shared" ref="G59:G75" si="28">100- (F59/E59 *100)</f>
        <v>92.249894278567169</v>
      </c>
      <c r="H59" s="33">
        <f t="shared" ref="H59:H75" si="29">F59/1.0936</f>
        <v>3915.5084125822973</v>
      </c>
      <c r="I59" s="33">
        <f t="shared" ref="I59:I75" si="30">((B59*48)+(H59*10))/C59</f>
        <v>575.48133678790816</v>
      </c>
    </row>
    <row r="60" spans="1:9" x14ac:dyDescent="0.3">
      <c r="A60" s="16">
        <v>1768</v>
      </c>
      <c r="B60" s="14">
        <v>2184</v>
      </c>
      <c r="C60" s="14">
        <v>2298</v>
      </c>
      <c r="D60" s="33">
        <f t="shared" si="25"/>
        <v>54.762910148005673</v>
      </c>
      <c r="E60" s="11">
        <f t="shared" si="26"/>
        <v>2388.4223999999999</v>
      </c>
      <c r="F60" s="11">
        <f t="shared" si="27"/>
        <v>2298</v>
      </c>
      <c r="G60" s="86">
        <f t="shared" si="28"/>
        <v>3.7858630031270764</v>
      </c>
      <c r="H60" s="33">
        <f t="shared" si="29"/>
        <v>2101.3167520117045</v>
      </c>
      <c r="I60" s="33">
        <f t="shared" si="30"/>
        <v>54.762910148005673</v>
      </c>
    </row>
    <row r="61" spans="1:9" x14ac:dyDescent="0.3">
      <c r="A61" s="16">
        <v>2000</v>
      </c>
      <c r="B61" s="14">
        <v>71295</v>
      </c>
      <c r="C61" s="14">
        <v>76721</v>
      </c>
      <c r="D61" s="33">
        <f t="shared" si="25"/>
        <v>53.749369205191719</v>
      </c>
      <c r="E61" s="11">
        <f t="shared" si="26"/>
        <v>77968.212</v>
      </c>
      <c r="F61" s="11">
        <f t="shared" si="27"/>
        <v>76721</v>
      </c>
      <c r="G61" s="86">
        <f t="shared" si="28"/>
        <v>1.5996416590904943</v>
      </c>
      <c r="H61" s="33">
        <f t="shared" si="29"/>
        <v>70154.535479151426</v>
      </c>
      <c r="I61" s="33">
        <f t="shared" si="30"/>
        <v>53.749369205191719</v>
      </c>
    </row>
    <row r="62" spans="1:9" x14ac:dyDescent="0.3">
      <c r="A62" s="16">
        <v>1684</v>
      </c>
      <c r="B62" s="14">
        <v>9519.0197512801769</v>
      </c>
      <c r="C62" s="14">
        <v>9750</v>
      </c>
      <c r="D62" s="33">
        <f t="shared" si="25"/>
        <v>56.006977660232977</v>
      </c>
      <c r="E62" s="11">
        <f t="shared" si="26"/>
        <v>10410</v>
      </c>
      <c r="F62" s="11">
        <f t="shared" si="27"/>
        <v>9750</v>
      </c>
      <c r="G62" s="86">
        <f t="shared" si="28"/>
        <v>6.3400576368876074</v>
      </c>
      <c r="H62" s="33">
        <f t="shared" si="29"/>
        <v>8915.5084125822978</v>
      </c>
      <c r="I62" s="33">
        <f t="shared" si="30"/>
        <v>56.006977660232977</v>
      </c>
    </row>
    <row r="63" spans="1:9" x14ac:dyDescent="0.3">
      <c r="A63" s="16">
        <v>1691</v>
      </c>
      <c r="B63" s="14">
        <v>2025</v>
      </c>
      <c r="C63" s="14">
        <v>2122</v>
      </c>
      <c r="D63" s="33">
        <f t="shared" si="25"/>
        <v>54.949954736218679</v>
      </c>
      <c r="E63" s="11">
        <f t="shared" si="26"/>
        <v>2214.54</v>
      </c>
      <c r="F63" s="11">
        <f t="shared" si="27"/>
        <v>2122</v>
      </c>
      <c r="G63" s="86">
        <f t="shared" si="28"/>
        <v>4.1787459246615555</v>
      </c>
      <c r="H63" s="33">
        <f t="shared" si="29"/>
        <v>1940.3803950256038</v>
      </c>
      <c r="I63" s="33">
        <f t="shared" si="30"/>
        <v>54.949954736218679</v>
      </c>
    </row>
    <row r="64" spans="1:9" x14ac:dyDescent="0.3">
      <c r="A64" s="16">
        <v>1784</v>
      </c>
      <c r="B64" s="14">
        <v>32501</v>
      </c>
      <c r="C64" s="14">
        <v>34772</v>
      </c>
      <c r="D64" s="33">
        <f t="shared" si="25"/>
        <v>54.009175036864661</v>
      </c>
      <c r="E64" s="11">
        <f t="shared" si="26"/>
        <v>35543.0936</v>
      </c>
      <c r="F64" s="11">
        <f t="shared" si="27"/>
        <v>34772</v>
      </c>
      <c r="G64" s="86">
        <f t="shared" si="28"/>
        <v>2.1694611298550512</v>
      </c>
      <c r="H64" s="33">
        <f t="shared" si="29"/>
        <v>31795.903438185811</v>
      </c>
      <c r="I64" s="33">
        <f t="shared" si="30"/>
        <v>54.009175036864661</v>
      </c>
    </row>
    <row r="65" spans="1:9" x14ac:dyDescent="0.3">
      <c r="A65" s="16">
        <v>1781</v>
      </c>
      <c r="B65" s="14">
        <v>26073</v>
      </c>
      <c r="C65" s="14">
        <v>28102</v>
      </c>
      <c r="D65" s="33">
        <f t="shared" si="25"/>
        <v>53.678450385332106</v>
      </c>
      <c r="E65" s="11">
        <f t="shared" si="26"/>
        <v>28513.432799999999</v>
      </c>
      <c r="F65" s="11">
        <f t="shared" si="27"/>
        <v>28102</v>
      </c>
      <c r="G65" s="86">
        <f t="shared" si="28"/>
        <v>1.4429437622817431</v>
      </c>
      <c r="H65" s="33">
        <f t="shared" si="29"/>
        <v>25696.78127286028</v>
      </c>
      <c r="I65" s="33">
        <f t="shared" si="30"/>
        <v>53.678450385332106</v>
      </c>
    </row>
    <row r="66" spans="1:9" x14ac:dyDescent="0.3">
      <c r="A66" s="16">
        <v>1747</v>
      </c>
      <c r="B66" s="14">
        <v>45390</v>
      </c>
      <c r="C66" s="14">
        <v>48347</v>
      </c>
      <c r="D66" s="33">
        <f t="shared" si="25"/>
        <v>54.208334412033437</v>
      </c>
      <c r="E66" s="11">
        <f t="shared" si="26"/>
        <v>49638.503999999994</v>
      </c>
      <c r="F66" s="11">
        <f t="shared" si="27"/>
        <v>48347</v>
      </c>
      <c r="G66" s="86">
        <f t="shared" si="28"/>
        <v>2.6018189428109935</v>
      </c>
      <c r="H66" s="33">
        <f t="shared" si="29"/>
        <v>44209.034381858088</v>
      </c>
      <c r="I66" s="33">
        <f t="shared" si="30"/>
        <v>54.208334412033437</v>
      </c>
    </row>
    <row r="67" spans="1:9" x14ac:dyDescent="0.3">
      <c r="A67" s="16">
        <v>1777</v>
      </c>
      <c r="B67" s="14">
        <v>9022</v>
      </c>
      <c r="C67" s="14">
        <v>9808</v>
      </c>
      <c r="D67" s="33">
        <f t="shared" si="25"/>
        <v>53.297455401201233</v>
      </c>
      <c r="E67" s="11">
        <f t="shared" si="26"/>
        <v>9866.4591999999993</v>
      </c>
      <c r="F67" s="11">
        <f t="shared" si="27"/>
        <v>9808</v>
      </c>
      <c r="G67" s="86">
        <f t="shared" si="28"/>
        <v>0.59250435049688122</v>
      </c>
      <c r="H67" s="33">
        <f t="shared" si="29"/>
        <v>8968.5442574981716</v>
      </c>
      <c r="I67" s="33">
        <f t="shared" si="30"/>
        <v>53.297455401201233</v>
      </c>
    </row>
    <row r="68" spans="1:9" x14ac:dyDescent="0.3">
      <c r="A68" s="16">
        <v>1750</v>
      </c>
      <c r="B68" s="14">
        <v>10006</v>
      </c>
      <c r="C68" s="14">
        <v>10656</v>
      </c>
      <c r="D68" s="33">
        <f t="shared" si="25"/>
        <v>54.216183264464178</v>
      </c>
      <c r="E68" s="11">
        <f t="shared" si="26"/>
        <v>10942.561599999999</v>
      </c>
      <c r="F68" s="11">
        <f t="shared" si="27"/>
        <v>10656</v>
      </c>
      <c r="G68" s="86">
        <f t="shared" si="28"/>
        <v>2.6187798659502022</v>
      </c>
      <c r="H68" s="33">
        <f t="shared" si="29"/>
        <v>9743.9648866130228</v>
      </c>
      <c r="I68" s="33">
        <f t="shared" si="30"/>
        <v>54.216183264464178</v>
      </c>
    </row>
    <row r="69" spans="1:9" x14ac:dyDescent="0.3">
      <c r="A69" s="16">
        <v>1788</v>
      </c>
      <c r="B69" s="14">
        <v>17211</v>
      </c>
      <c r="C69" s="14">
        <v>18522</v>
      </c>
      <c r="D69" s="33">
        <f t="shared" si="25"/>
        <v>53.746637917367806</v>
      </c>
      <c r="E69" s="11">
        <f t="shared" si="26"/>
        <v>18821.9496</v>
      </c>
      <c r="F69" s="11">
        <f t="shared" si="27"/>
        <v>18522</v>
      </c>
      <c r="G69" s="86">
        <f t="shared" si="28"/>
        <v>1.5936159982066869</v>
      </c>
      <c r="H69" s="33">
        <f t="shared" si="29"/>
        <v>16936.722750548648</v>
      </c>
      <c r="I69" s="33">
        <f t="shared" si="30"/>
        <v>53.746637917367806</v>
      </c>
    </row>
    <row r="70" spans="1:9" x14ac:dyDescent="0.3">
      <c r="A70" s="16" t="s">
        <v>397</v>
      </c>
      <c r="B70" s="14">
        <v>17080</v>
      </c>
      <c r="C70" s="14">
        <v>18250</v>
      </c>
      <c r="D70" s="33">
        <f t="shared" si="25"/>
        <v>54.066850918419497</v>
      </c>
      <c r="E70" s="11">
        <f t="shared" si="26"/>
        <v>18678.687999999998</v>
      </c>
      <c r="F70" s="11">
        <f t="shared" si="27"/>
        <v>18250</v>
      </c>
      <c r="G70" s="86">
        <f t="shared" si="28"/>
        <v>2.2950648353888567</v>
      </c>
      <c r="H70" s="33">
        <f t="shared" si="29"/>
        <v>16688.002926115583</v>
      </c>
      <c r="I70" s="33">
        <f t="shared" si="30"/>
        <v>54.066850918419497</v>
      </c>
    </row>
    <row r="71" spans="1:9" x14ac:dyDescent="0.3">
      <c r="A71" s="16">
        <v>1787</v>
      </c>
      <c r="B71" s="14">
        <v>50885</v>
      </c>
      <c r="C71" s="14">
        <v>24152</v>
      </c>
      <c r="D71" s="33">
        <f t="shared" si="25"/>
        <v>110.27362427619468</v>
      </c>
      <c r="E71" s="11">
        <f t="shared" si="26"/>
        <v>55647.835999999996</v>
      </c>
      <c r="F71" s="11">
        <f t="shared" si="27"/>
        <v>24152</v>
      </c>
      <c r="G71" s="86">
        <f t="shared" si="28"/>
        <v>56.598491988080177</v>
      </c>
      <c r="H71" s="33">
        <f t="shared" si="29"/>
        <v>22084.857351865401</v>
      </c>
      <c r="I71" s="33">
        <f t="shared" si="30"/>
        <v>110.27362427619468</v>
      </c>
    </row>
    <row r="72" spans="1:9" x14ac:dyDescent="0.3">
      <c r="A72" s="16" t="s">
        <v>28</v>
      </c>
      <c r="B72" s="35">
        <v>100795</v>
      </c>
      <c r="C72" s="35">
        <v>1551529</v>
      </c>
      <c r="D72" s="33">
        <f t="shared" si="25"/>
        <v>12.262428671472414</v>
      </c>
      <c r="E72" s="11">
        <f t="shared" si="26"/>
        <v>110229.412</v>
      </c>
      <c r="F72" s="11">
        <f t="shared" si="27"/>
        <v>1551529</v>
      </c>
      <c r="G72" s="86">
        <f t="shared" si="28"/>
        <v>-1307.545383622295</v>
      </c>
      <c r="H72" s="33">
        <f t="shared" si="29"/>
        <v>1418735.3694220923</v>
      </c>
      <c r="I72" s="33">
        <f t="shared" si="30"/>
        <v>12.262428671472414</v>
      </c>
    </row>
    <row r="73" spans="1:9" x14ac:dyDescent="0.3">
      <c r="D73" s="33" t="e">
        <f t="shared" si="25"/>
        <v>#DIV/0!</v>
      </c>
      <c r="E73" s="11">
        <f t="shared" si="26"/>
        <v>0</v>
      </c>
      <c r="F73" s="11">
        <f t="shared" si="27"/>
        <v>0</v>
      </c>
      <c r="G73" s="86" t="e">
        <f t="shared" si="28"/>
        <v>#DIV/0!</v>
      </c>
      <c r="H73" s="33">
        <f t="shared" si="29"/>
        <v>0</v>
      </c>
      <c r="I73" s="33" t="e">
        <f t="shared" si="30"/>
        <v>#DIV/0!</v>
      </c>
    </row>
    <row r="74" spans="1:9" x14ac:dyDescent="0.3">
      <c r="D74" s="33" t="e">
        <f t="shared" si="25"/>
        <v>#DIV/0!</v>
      </c>
      <c r="E74" s="11">
        <f t="shared" si="26"/>
        <v>0</v>
      </c>
      <c r="F74" s="11">
        <f t="shared" si="27"/>
        <v>0</v>
      </c>
      <c r="G74" s="86" t="e">
        <f t="shared" si="28"/>
        <v>#DIV/0!</v>
      </c>
      <c r="H74" s="33">
        <f t="shared" si="29"/>
        <v>0</v>
      </c>
      <c r="I74" s="33" t="e">
        <f t="shared" si="30"/>
        <v>#DIV/0!</v>
      </c>
    </row>
    <row r="75" spans="1: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1250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8227</v>
      </c>
    </row>
    <row r="17" spans="2:10" x14ac:dyDescent="0.3">
      <c r="B17" s="1">
        <v>45930</v>
      </c>
      <c r="C17" t="s">
        <v>119</v>
      </c>
      <c r="D17">
        <f>SUMIFS(Table14[Debit], Table14[Date], Table5[[#This Row],[Date]], Table14[Party], "Rashan")</f>
        <v>4000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15039</v>
      </c>
    </row>
    <row r="19" spans="2:10" x14ac:dyDescent="0.3">
      <c r="B19" s="1">
        <v>45932</v>
      </c>
      <c r="C19" t="s">
        <v>119</v>
      </c>
      <c r="D19">
        <f>SUMIFS(Table14[Debit], Table14[Date], Table5[[#This Row],[Date]], Table14[Party], "Rashan")</f>
        <v>18000</v>
      </c>
      <c r="H19" s="1">
        <v>45932</v>
      </c>
      <c r="J19">
        <f>SUMIFS(Table14[Debit], Table14[Date], Table15[[#This Row],[Date]], Table14[Party], "Parts")</f>
        <v>15000</v>
      </c>
    </row>
    <row r="20" spans="2:10" x14ac:dyDescent="0.3">
      <c r="B20" s="1">
        <v>45933</v>
      </c>
      <c r="C20" t="s">
        <v>119</v>
      </c>
      <c r="D20">
        <f>SUMIFS(Table14[Debit], Table14[Date], Table5[[#This Row],[Date]], Table14[Party], "Rashan")</f>
        <v>16370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50000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10120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53749</v>
      </c>
    </row>
    <row r="26" spans="2:10" x14ac:dyDescent="0.3">
      <c r="B26" s="1">
        <v>45939</v>
      </c>
      <c r="C26" t="s">
        <v>119</v>
      </c>
      <c r="D26">
        <f>SUMIFS(Table14[Debit], Table14[Date], Table5[[#This Row],[Date]], Table14[Party], "Rashan")</f>
        <v>20000</v>
      </c>
      <c r="H26" s="1">
        <v>45939</v>
      </c>
      <c r="J26">
        <f>SUMIFS(Table14[Debit], Table14[Date], Table15[[#This Row],[Date]], Table14[Party], "Parts")</f>
        <v>14940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113670</v>
      </c>
      <c r="H35" s="1"/>
      <c r="J35">
        <f>SUM(Table15[Amount])</f>
        <v>313646</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topLeftCell="A6" workbookViewId="0">
      <selection activeCell="F21" sqref="F21"/>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11275843</v>
      </c>
      <c r="C2" s="109">
        <f>Billing!X5</f>
        <v>3245808.4264813494</v>
      </c>
    </row>
    <row r="3" spans="1:3" ht="18" x14ac:dyDescent="0.35">
      <c r="A3" s="89" t="str">
        <f>Billing!O6</f>
        <v>Ejaz Sahab</v>
      </c>
      <c r="B3" s="14">
        <f>Billing!W6</f>
        <v>859904</v>
      </c>
      <c r="C3" s="109">
        <f>Billing!X6</f>
        <v>624463.22750548646</v>
      </c>
    </row>
    <row r="4" spans="1:3" ht="18" x14ac:dyDescent="0.35">
      <c r="A4" s="89" t="str">
        <f>Billing!O7</f>
        <v>Arshad</v>
      </c>
      <c r="B4" s="14">
        <f>Billing!W7</f>
        <v>2106701</v>
      </c>
      <c r="C4" s="110">
        <f>Billing!X7</f>
        <v>20948.963423555251</v>
      </c>
    </row>
    <row r="5" spans="1:3" ht="18" x14ac:dyDescent="0.35">
      <c r="A5" s="89" t="str">
        <f>Billing!O8</f>
        <v>Shehzad Kamoki</v>
      </c>
      <c r="B5" s="14">
        <f>Billing!W8</f>
        <v>1268740</v>
      </c>
      <c r="C5" s="110">
        <f>Billing!X8</f>
        <v>530.34403803967871</v>
      </c>
    </row>
    <row r="6" spans="1:3" ht="18" x14ac:dyDescent="0.35">
      <c r="A6" s="89" t="str">
        <f>Billing!O9</f>
        <v>Sufi Nawaz Sahab</v>
      </c>
      <c r="B6" s="14">
        <f>Billing!W9</f>
        <v>8629100</v>
      </c>
      <c r="C6" s="109">
        <f>Billing!X9</f>
        <v>1258083.6137527451</v>
      </c>
    </row>
    <row r="7" spans="1:3" ht="18" x14ac:dyDescent="0.35">
      <c r="A7" s="89" t="str">
        <f>Billing!O10</f>
        <v>Sajad Khan</v>
      </c>
      <c r="B7" s="14">
        <f>Billing!W10</f>
        <v>3751266</v>
      </c>
      <c r="C7" s="109">
        <f>Billing!X10</f>
        <v>62916.5164594003</v>
      </c>
    </row>
    <row r="8" spans="1:3" ht="18" x14ac:dyDescent="0.35">
      <c r="A8" s="89" t="str">
        <f>Billing!O11</f>
        <v>Raaz Fabrics</v>
      </c>
      <c r="B8" s="14">
        <f>Billing!W11</f>
        <v>600000</v>
      </c>
      <c r="C8" s="109">
        <f>Billing!X11</f>
        <v>90919.89758595475</v>
      </c>
    </row>
    <row r="9" spans="1:3" ht="18" x14ac:dyDescent="0.35">
      <c r="A9" s="89" t="str">
        <f>Billing!O12</f>
        <v>Azam</v>
      </c>
      <c r="B9" s="14">
        <f>Billing!W12</f>
        <v>1221620</v>
      </c>
      <c r="C9" s="109">
        <f>Billing!X12</f>
        <v>33.255303584504873</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400000</v>
      </c>
      <c r="C12" s="109">
        <f>Billing!X15</f>
        <v>46881.858083394356</v>
      </c>
    </row>
    <row r="13" spans="1:3" ht="18" x14ac:dyDescent="0.35">
      <c r="A13" s="89" t="str">
        <f>Billing!O16</f>
        <v>Badshah Fabrics</v>
      </c>
      <c r="B13" s="14">
        <f>Billing!W16</f>
        <v>1370000</v>
      </c>
      <c r="C13" s="109">
        <f>Billing!X16</f>
        <v>1057723.1163130947</v>
      </c>
    </row>
    <row r="14" spans="1:3" ht="18" x14ac:dyDescent="0.35">
      <c r="A14" t="str">
        <f>Billing!O17</f>
        <v>Reject</v>
      </c>
      <c r="B14" s="14">
        <f>Billing!W17</f>
        <v>0</v>
      </c>
      <c r="C14" s="109">
        <f>Billing!X17</f>
        <v>0</v>
      </c>
    </row>
    <row r="15" spans="1:3" ht="18" x14ac:dyDescent="0.35">
      <c r="A15" t="str">
        <f>Billing!O18</f>
        <v>Amjad 7up</v>
      </c>
      <c r="B15" s="14">
        <f>Billing!W18</f>
        <v>0</v>
      </c>
      <c r="C15" s="109">
        <f>Billing!X18</f>
        <v>39155.08412582297</v>
      </c>
    </row>
    <row r="16" spans="1:3" ht="18" x14ac:dyDescent="0.35">
      <c r="A16" t="str">
        <f>Billing!O19</f>
        <v>Hazrat Khan</v>
      </c>
      <c r="B16" s="14">
        <f>Billing!W19</f>
        <v>0</v>
      </c>
      <c r="C16" s="109">
        <f>Billing!X19</f>
        <v>89155.084125822978</v>
      </c>
    </row>
    <row r="17" spans="1:3" ht="18" x14ac:dyDescent="0.35">
      <c r="A17">
        <f>Billing!O20</f>
        <v>0</v>
      </c>
      <c r="B17" s="14">
        <f>Billing!W20</f>
        <v>0</v>
      </c>
      <c r="C17" s="109">
        <f>Billing!X20</f>
        <v>0</v>
      </c>
    </row>
    <row r="18" spans="1:3" ht="18" x14ac:dyDescent="0.35">
      <c r="A18">
        <f>Billing!O21</f>
        <v>0</v>
      </c>
      <c r="B18" s="14">
        <f>Billing!W21</f>
        <v>0</v>
      </c>
      <c r="C18" s="109">
        <f>Billing!X21</f>
        <v>0</v>
      </c>
    </row>
    <row r="19" spans="1:3" ht="18" x14ac:dyDescent="0.35">
      <c r="A19">
        <f>Billing!O22</f>
        <v>0</v>
      </c>
      <c r="B19" s="14">
        <f>Billing!W22</f>
        <v>0</v>
      </c>
      <c r="C19" s="109">
        <f>Billing!X22</f>
        <v>0</v>
      </c>
    </row>
    <row r="20" spans="1:3" ht="18" x14ac:dyDescent="0.35">
      <c r="A20">
        <f>Billing!O23</f>
        <v>0</v>
      </c>
      <c r="B20" s="14">
        <f>Billing!W23</f>
        <v>0</v>
      </c>
      <c r="C20" s="109">
        <f>Billing!X23</f>
        <v>0</v>
      </c>
    </row>
    <row r="21" spans="1:3" ht="18" x14ac:dyDescent="0.35">
      <c r="A21">
        <f>Billing!O24</f>
        <v>0</v>
      </c>
      <c r="B21" s="14">
        <f>Billing!W24</f>
        <v>0</v>
      </c>
      <c r="C21" s="109">
        <f>Billing!X24</f>
        <v>0</v>
      </c>
    </row>
    <row r="22" spans="1:3" ht="18" x14ac:dyDescent="0.35">
      <c r="A22">
        <f>Billing!O25</f>
        <v>0</v>
      </c>
      <c r="B22" s="14">
        <f>Billing!W25</f>
        <v>0</v>
      </c>
      <c r="C22" s="109">
        <f>Billing!X25</f>
        <v>0</v>
      </c>
    </row>
    <row r="23" spans="1:3" ht="18" x14ac:dyDescent="0.35">
      <c r="A23">
        <f>Billing!O26</f>
        <v>0</v>
      </c>
      <c r="B23" s="14">
        <f>Billing!W26</f>
        <v>0</v>
      </c>
      <c r="C23" s="109">
        <f>Billing!X26</f>
        <v>0</v>
      </c>
    </row>
    <row r="24" spans="1:3" ht="18" x14ac:dyDescent="0.35">
      <c r="A24">
        <f>Billing!O27</f>
        <v>0</v>
      </c>
      <c r="B24" s="14">
        <f>Billing!W27</f>
        <v>0</v>
      </c>
      <c r="C24" s="109">
        <f>Billing!X27</f>
        <v>0</v>
      </c>
    </row>
    <row r="25" spans="1:3" ht="18" x14ac:dyDescent="0.35">
      <c r="A25">
        <f>Billing!O28</f>
        <v>0</v>
      </c>
      <c r="B25" s="14">
        <f>Billing!W28</f>
        <v>0</v>
      </c>
      <c r="C25" s="109">
        <f>Billing!X28</f>
        <v>0</v>
      </c>
    </row>
    <row r="26" spans="1:3" ht="18" x14ac:dyDescent="0.35">
      <c r="A26">
        <f>Billing!O29</f>
        <v>0</v>
      </c>
      <c r="B26" s="14">
        <f>Billing!W29</f>
        <v>0</v>
      </c>
      <c r="C26" s="109">
        <f>Billing!X29</f>
        <v>0</v>
      </c>
    </row>
    <row r="27" spans="1:3" ht="18" x14ac:dyDescent="0.35">
      <c r="A27">
        <f>Billing!O30</f>
        <v>0</v>
      </c>
      <c r="B27" s="14">
        <f>Billing!W30</f>
        <v>0</v>
      </c>
      <c r="C27" s="109">
        <f>Billing!X30</f>
        <v>0</v>
      </c>
    </row>
    <row r="28" spans="1:3" ht="18" x14ac:dyDescent="0.35">
      <c r="A28">
        <f>Billing!O31</f>
        <v>0</v>
      </c>
      <c r="B28" s="14">
        <f>Billing!W31</f>
        <v>0</v>
      </c>
      <c r="C28" s="109">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workbookViewId="0">
      <selection activeCell="B2" sqref="B2"/>
    </sheetView>
  </sheetViews>
  <sheetFormatPr defaultRowHeight="14.4" x14ac:dyDescent="0.3"/>
  <cols>
    <col min="1" max="1" width="13.44140625" customWidth="1"/>
    <col min="2" max="2" width="15.77734375" customWidth="1"/>
  </cols>
  <sheetData>
    <row r="1" spans="1:2" x14ac:dyDescent="0.3">
      <c r="A1" t="s">
        <v>299</v>
      </c>
      <c r="B1" t="s">
        <v>70</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t="str">
        <f>Billing!O17</f>
        <v>Reject</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2025-10-12T23:27:16Z</dcterms:modified>
  <cp:category/>
  <cp:contentStatus/>
</cp:coreProperties>
</file>