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968" documentId="8_{4224AC12-CADB-4490-A83D-F531F0CDC7D0}" xr6:coauthVersionLast="47" xr6:coauthVersionMax="47" xr10:uidLastSave="{324FE0E0-6744-4EEE-BA43-BF07376B473E}"/>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231" r:id="rId18"/>
    <pivotCache cacheId="238" r:id="rId19"/>
    <pivotCache cacheId="244" r:id="rId20"/>
    <pivotCache cacheId="249" r:id="rId21"/>
    <pivotCache cacheId="253" r:id="rId22"/>
    <pivotCache cacheId="257"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6" l="1"/>
  <c r="C4" i="8"/>
  <c r="E56" i="7"/>
  <c r="E50" i="7"/>
  <c r="E51" i="7"/>
  <c r="E52" i="7"/>
  <c r="E53" i="7"/>
  <c r="E54" i="7"/>
  <c r="E55" i="7"/>
  <c r="E47" i="7"/>
  <c r="E48" i="7"/>
  <c r="E49" i="7"/>
  <c r="E41" i="7"/>
  <c r="E42" i="7"/>
  <c r="E43" i="7"/>
  <c r="E44" i="7"/>
  <c r="E45" i="7"/>
  <c r="E46" i="7"/>
  <c r="E37" i="7"/>
  <c r="E38" i="7"/>
  <c r="E39" i="7"/>
  <c r="E40" i="7"/>
  <c r="E34" i="7"/>
  <c r="C35" i="7"/>
  <c r="E35" i="7" s="1"/>
  <c r="C36" i="7"/>
  <c r="E36" i="7" s="1"/>
  <c r="C37" i="7"/>
  <c r="C38" i="7"/>
  <c r="C39" i="7"/>
  <c r="C40" i="7"/>
  <c r="C34" i="7"/>
  <c r="I119" i="1"/>
  <c r="J119" i="1" a="1"/>
  <c r="J119" i="1" s="1"/>
  <c r="I120" i="1"/>
  <c r="J120" i="1" s="1" a="1"/>
  <c r="J120" i="1" s="1"/>
  <c r="I121" i="1"/>
  <c r="J121" i="1" a="1"/>
  <c r="J121" i="1" s="1"/>
  <c r="I122" i="1"/>
  <c r="J122" i="1" a="1"/>
  <c r="J122" i="1" s="1"/>
  <c r="I123" i="1"/>
  <c r="J123" i="1" s="1" a="1"/>
  <c r="J123" i="1" s="1"/>
  <c r="I124" i="1"/>
  <c r="J124" i="1" a="1"/>
  <c r="J124" i="1" s="1"/>
  <c r="G64" i="6"/>
  <c r="I64" i="6"/>
  <c r="G63" i="6"/>
  <c r="I63" i="6"/>
  <c r="G62" i="6"/>
  <c r="I62" i="6"/>
  <c r="H58" i="6"/>
  <c r="I58" i="6" s="1"/>
  <c r="H59" i="6"/>
  <c r="I59" i="6" s="1"/>
  <c r="G58" i="6"/>
  <c r="G59" i="6"/>
  <c r="G60" i="6"/>
  <c r="G61" i="6"/>
  <c r="I60" i="6"/>
  <c r="I61" i="6"/>
  <c r="G15" i="15"/>
  <c r="H15" i="15" s="1"/>
  <c r="C398" i="17"/>
  <c r="I111" i="1"/>
  <c r="J111" i="1" s="1" a="1"/>
  <c r="J111" i="1" s="1"/>
  <c r="I112" i="1"/>
  <c r="J112" i="1" a="1"/>
  <c r="J112" i="1" s="1"/>
  <c r="I113" i="1"/>
  <c r="J113" i="1" s="1" a="1"/>
  <c r="J113" i="1" s="1"/>
  <c r="I114" i="1"/>
  <c r="J114" i="1" s="1" a="1"/>
  <c r="J114" i="1" s="1"/>
  <c r="I115" i="1"/>
  <c r="J115" i="1" s="1" a="1"/>
  <c r="J115" i="1" s="1"/>
  <c r="I116" i="1"/>
  <c r="I117" i="1"/>
  <c r="J117" i="1" s="1" a="1"/>
  <c r="J117" i="1" s="1"/>
  <c r="I118" i="1"/>
  <c r="J118" i="1" s="1" a="1"/>
  <c r="J118" i="1" s="1"/>
  <c r="H116" i="1"/>
  <c r="I98" i="1"/>
  <c r="J98" i="1" s="1" a="1"/>
  <c r="J98" i="1" s="1"/>
  <c r="O5" i="9" a="1"/>
  <c r="A4" i="20" s="1"/>
  <c r="A14" i="20"/>
  <c r="E24" i="7"/>
  <c r="H24" i="7" s="1"/>
  <c r="E25" i="7"/>
  <c r="H25" i="7" s="1"/>
  <c r="E26" i="7"/>
  <c r="H26" i="7" s="1"/>
  <c r="E27" i="7"/>
  <c r="H27" i="7" s="1"/>
  <c r="E28" i="7"/>
  <c r="H28" i="7" s="1"/>
  <c r="E29" i="7"/>
  <c r="H29" i="7"/>
  <c r="E23" i="7"/>
  <c r="H23" i="7"/>
  <c r="H56" i="6"/>
  <c r="I56" i="6" s="1"/>
  <c r="H57" i="6"/>
  <c r="I57" i="6" s="1"/>
  <c r="G56" i="6"/>
  <c r="G57" i="6"/>
  <c r="F13" i="15"/>
  <c r="G13" i="15"/>
  <c r="H13" i="15" s="1"/>
  <c r="G14" i="15"/>
  <c r="H14" i="15" s="1"/>
  <c r="H22" i="7"/>
  <c r="C344" i="17"/>
  <c r="H55" i="6"/>
  <c r="I55" i="6" s="1"/>
  <c r="H54" i="6"/>
  <c r="I54" i="6" s="1"/>
  <c r="G54" i="6"/>
  <c r="G55" i="6"/>
  <c r="I108" i="1"/>
  <c r="J108" i="1" s="1" a="1"/>
  <c r="J108" i="1" s="1"/>
  <c r="I109" i="1"/>
  <c r="J109" i="1" s="1" a="1"/>
  <c r="J109" i="1" s="1"/>
  <c r="I110" i="1"/>
  <c r="J110" i="1" s="1" a="1"/>
  <c r="J110" i="1" s="1"/>
  <c r="I91" i="1"/>
  <c r="J91" i="1" s="1" a="1"/>
  <c r="J91" i="1" s="1"/>
  <c r="I92" i="1"/>
  <c r="J92" i="1" s="1" a="1"/>
  <c r="J92" i="1" s="1"/>
  <c r="I93" i="1"/>
  <c r="J93" i="1" s="1" a="1"/>
  <c r="J93" i="1" s="1"/>
  <c r="I94" i="1"/>
  <c r="J94" i="1" s="1" a="1"/>
  <c r="J94" i="1" s="1"/>
  <c r="I95" i="1"/>
  <c r="J95" i="1" s="1" a="1"/>
  <c r="J95" i="1" s="1"/>
  <c r="I96" i="1"/>
  <c r="J96" i="1" s="1" a="1"/>
  <c r="J96" i="1" s="1"/>
  <c r="I97"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s="1" a="1"/>
  <c r="J107" i="1" s="1"/>
  <c r="E56" i="2"/>
  <c r="F56" i="2"/>
  <c r="H56" i="2" s="1"/>
  <c r="I56" i="2" s="1"/>
  <c r="D56" i="2" s="1"/>
  <c r="E57" i="2"/>
  <c r="F57" i="2"/>
  <c r="G57" i="2" s="1"/>
  <c r="H111" i="1" s="1"/>
  <c r="E58" i="2"/>
  <c r="G58" i="2" s="1"/>
  <c r="H112" i="1" s="1"/>
  <c r="F58" i="2"/>
  <c r="E59" i="2"/>
  <c r="F59" i="2"/>
  <c r="E60" i="2"/>
  <c r="F60" i="2"/>
  <c r="G60" i="2"/>
  <c r="H114" i="1" s="1"/>
  <c r="E61" i="2"/>
  <c r="F61" i="2"/>
  <c r="E62" i="2"/>
  <c r="F62" i="2"/>
  <c r="E63" i="2"/>
  <c r="F63" i="2"/>
  <c r="E64" i="2"/>
  <c r="F64" i="2"/>
  <c r="H64" i="2"/>
  <c r="I64" i="2" s="1"/>
  <c r="D64" i="2" s="1"/>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s="1"/>
  <c r="I50" i="2" s="1"/>
  <c r="D50" i="2" s="1"/>
  <c r="E51" i="2"/>
  <c r="F51" i="2"/>
  <c r="H51" i="2" s="1"/>
  <c r="I51" i="2" s="1"/>
  <c r="D51" i="2" s="1"/>
  <c r="E52" i="2"/>
  <c r="F52" i="2"/>
  <c r="E53" i="2"/>
  <c r="F53" i="2"/>
  <c r="H53" i="2" s="1"/>
  <c r="I53" i="2" s="1"/>
  <c r="D53" i="2" s="1"/>
  <c r="E54" i="2"/>
  <c r="F54" i="2"/>
  <c r="E55" i="2"/>
  <c r="F55" i="2"/>
  <c r="H55" i="2" s="1"/>
  <c r="I55" i="2" s="1"/>
  <c r="D55" i="2" s="1"/>
  <c r="H48" i="6"/>
  <c r="I48" i="6" s="1"/>
  <c r="H49" i="6"/>
  <c r="I49" i="6" s="1"/>
  <c r="H50" i="6"/>
  <c r="I50" i="6" s="1"/>
  <c r="H51" i="6"/>
  <c r="I51" i="6" s="1"/>
  <c r="H52" i="6"/>
  <c r="I52" i="6" s="1"/>
  <c r="I53" i="6"/>
  <c r="G49" i="6"/>
  <c r="G50" i="6"/>
  <c r="G51" i="6"/>
  <c r="G52" i="6"/>
  <c r="G53" i="6"/>
  <c r="H21" i="7"/>
  <c r="C17" i="12"/>
  <c r="C18" i="12"/>
  <c r="H47" i="6"/>
  <c r="I47" i="6" s="1"/>
  <c r="G47" i="6"/>
  <c r="G48" i="6"/>
  <c r="G19" i="7"/>
  <c r="H19" i="7" s="1"/>
  <c r="H44" i="6"/>
  <c r="I44" i="6" s="1"/>
  <c r="H20" i="7"/>
  <c r="I88" i="1"/>
  <c r="J88" i="1" s="1" a="1"/>
  <c r="J88" i="1" s="1"/>
  <c r="I89" i="1"/>
  <c r="J89" i="1" s="1" a="1"/>
  <c r="J89" i="1" s="1"/>
  <c r="I90" i="1"/>
  <c r="J90" i="1" s="1" a="1"/>
  <c r="J90" i="1" s="1"/>
  <c r="H45" i="6"/>
  <c r="I45" i="6" s="1"/>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s="1"/>
  <c r="G41" i="6"/>
  <c r="G43" i="6"/>
  <c r="I43" i="6"/>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a="1"/>
  <c r="J87" i="1" s="1"/>
  <c r="H40" i="6"/>
  <c r="I40" i="6" s="1"/>
  <c r="H42" i="6"/>
  <c r="I42" i="6" s="1"/>
  <c r="H39" i="6"/>
  <c r="I39" i="6" s="1"/>
  <c r="G39" i="6"/>
  <c r="G40" i="6"/>
  <c r="G42" i="6"/>
  <c r="D311" i="17"/>
  <c r="C304" i="17"/>
  <c r="I72" i="1"/>
  <c r="J72" i="1" s="1" a="1"/>
  <c r="J72" i="1" s="1"/>
  <c r="G38" i="6"/>
  <c r="I37" i="6"/>
  <c r="H38" i="6"/>
  <c r="I38" i="6" s="1"/>
  <c r="G37" i="6"/>
  <c r="I69" i="1"/>
  <c r="J69" i="1" s="1" a="1"/>
  <c r="J69" i="1" s="1"/>
  <c r="I70" i="1"/>
  <c r="J70" i="1" s="1" a="1"/>
  <c r="J70" i="1" s="1"/>
  <c r="I71" i="1"/>
  <c r="J71" i="1" s="1" a="1"/>
  <c r="J71" i="1" s="1"/>
  <c r="H34" i="6"/>
  <c r="I34" i="6" s="1"/>
  <c r="H35" i="6"/>
  <c r="I35" i="6" s="1"/>
  <c r="H36" i="6"/>
  <c r="I36" i="6" s="1"/>
  <c r="G35" i="6"/>
  <c r="G36" i="6"/>
  <c r="H33" i="6"/>
  <c r="I33" i="6" s="1"/>
  <c r="G33" i="6"/>
  <c r="G34" i="6"/>
  <c r="H31" i="6"/>
  <c r="I31" i="6" s="1"/>
  <c r="H28" i="6"/>
  <c r="I28" i="6" s="1"/>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Q16" i="9" s="1" a="1"/>
  <c r="Q16" i="9" s="1"/>
  <c r="F57" i="1"/>
  <c r="F56" i="1"/>
  <c r="F29" i="1"/>
  <c r="F26" i="1"/>
  <c r="F19" i="1"/>
  <c r="F17" i="1"/>
  <c r="G11" i="15"/>
  <c r="H11" i="15" s="1"/>
  <c r="G12" i="15"/>
  <c r="H12" i="15" s="1"/>
  <c r="H27" i="6"/>
  <c r="I27" i="6" s="1"/>
  <c r="G26" i="6"/>
  <c r="G27" i="6"/>
  <c r="I26" i="6"/>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s="1"/>
  <c r="G25" i="6"/>
  <c r="H23" i="6"/>
  <c r="I23" i="6" s="1"/>
  <c r="H24" i="6"/>
  <c r="I24" i="6" s="1"/>
  <c r="G23" i="6"/>
  <c r="G24" i="6"/>
  <c r="D201" i="17"/>
  <c r="D2" i="17"/>
  <c r="C186" i="17"/>
  <c r="H22" i="6"/>
  <c r="I22" i="6" s="1"/>
  <c r="H21" i="6"/>
  <c r="I21" i="6" s="1"/>
  <c r="G22" i="6"/>
  <c r="G10" i="15"/>
  <c r="H10" i="15" s="1"/>
  <c r="G9" i="15"/>
  <c r="H9" i="15" s="1"/>
  <c r="D3" i="17"/>
  <c r="C6" i="8"/>
  <c r="E7" i="7"/>
  <c r="E30" i="7" s="1"/>
  <c r="E8" i="7"/>
  <c r="E9" i="7"/>
  <c r="H9" i="7"/>
  <c r="E10" i="7"/>
  <c r="H10" i="7" s="1"/>
  <c r="E11" i="7"/>
  <c r="H11" i="7"/>
  <c r="E12" i="7"/>
  <c r="H12" i="7" s="1"/>
  <c r="E13" i="7"/>
  <c r="H13" i="7" s="1"/>
  <c r="E14" i="7"/>
  <c r="H14" i="7"/>
  <c r="E15" i="7"/>
  <c r="H15" i="7" s="1"/>
  <c r="E17" i="7"/>
  <c r="H17" i="7"/>
  <c r="E18" i="7"/>
  <c r="H18" i="7"/>
  <c r="H15" i="6"/>
  <c r="I15" i="6" s="1"/>
  <c r="G15" i="6"/>
  <c r="H10" i="6"/>
  <c r="I10" i="6" s="1"/>
  <c r="G10" i="6"/>
  <c r="H7" i="6"/>
  <c r="I7" i="6" s="1"/>
  <c r="H19" i="6"/>
  <c r="I19" i="6" s="1"/>
  <c r="H18" i="6"/>
  <c r="I18" i="6" s="1"/>
  <c r="G19" i="6"/>
  <c r="G20" i="6"/>
  <c r="G21" i="6"/>
  <c r="I20" i="6"/>
  <c r="H16" i="6"/>
  <c r="I16" i="6" s="1"/>
  <c r="H13" i="6"/>
  <c r="I13" i="6" s="1"/>
  <c r="G16" i="6"/>
  <c r="G17" i="6"/>
  <c r="G18" i="6"/>
  <c r="I17" i="6"/>
  <c r="S12" i="17"/>
  <c r="G16" i="7"/>
  <c r="H16" i="7" s="1"/>
  <c r="G8" i="15"/>
  <c r="H8" i="15" s="1"/>
  <c r="G5" i="15"/>
  <c r="G7" i="15"/>
  <c r="H7" i="15" s="1"/>
  <c r="I14" i="6"/>
  <c r="G13" i="6"/>
  <c r="G14" i="6"/>
  <c r="C73" i="17"/>
  <c r="C72" i="17"/>
  <c r="D46" i="17"/>
  <c r="H11" i="6"/>
  <c r="I11" i="6" s="1"/>
  <c r="H12" i="6"/>
  <c r="I12" i="6" s="1"/>
  <c r="H8" i="6"/>
  <c r="I8" i="6" s="1"/>
  <c r="G9" i="6"/>
  <c r="G11" i="6"/>
  <c r="G12" i="6"/>
  <c r="I9" i="6"/>
  <c r="G6" i="7"/>
  <c r="H6" i="7" s="1"/>
  <c r="G5" i="7"/>
  <c r="H5" i="7" s="1"/>
  <c r="G4" i="7"/>
  <c r="H4" i="7" s="1"/>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H33" i="2" s="1"/>
  <c r="I33" i="2" s="1"/>
  <c r="D33" i="2" s="1"/>
  <c r="E34" i="2"/>
  <c r="F34" i="2"/>
  <c r="H34" i="2" s="1"/>
  <c r="I34" i="2" s="1"/>
  <c r="D34" i="2" s="1"/>
  <c r="E35" i="2"/>
  <c r="F35" i="2"/>
  <c r="H35" i="2" s="1"/>
  <c r="I35" i="2" s="1"/>
  <c r="D35" i="2" s="1"/>
  <c r="E36" i="2"/>
  <c r="F36" i="2"/>
  <c r="H36" i="2" s="1"/>
  <c r="I36" i="2" s="1"/>
  <c r="D36" i="2" s="1"/>
  <c r="E37" i="2"/>
  <c r="F37" i="2"/>
  <c r="H37" i="2" s="1"/>
  <c r="I37" i="2" s="1"/>
  <c r="D37" i="2" s="1"/>
  <c r="H6" i="6"/>
  <c r="I6" i="6" s="1"/>
  <c r="G6" i="6"/>
  <c r="E39" i="2"/>
  <c r="F39" i="2"/>
  <c r="H39" i="2" s="1"/>
  <c r="I39" i="2" s="1"/>
  <c r="D39" i="2" s="1"/>
  <c r="E40" i="2"/>
  <c r="F40" i="2"/>
  <c r="H40" i="2" s="1"/>
  <c r="I40" i="2" s="1"/>
  <c r="D40" i="2" s="1"/>
  <c r="E41" i="2"/>
  <c r="F41" i="2"/>
  <c r="H41" i="2" s="1"/>
  <c r="I41" i="2" s="1"/>
  <c r="D41" i="2" s="1"/>
  <c r="E42" i="2"/>
  <c r="F42" i="2"/>
  <c r="H42" i="2" s="1"/>
  <c r="I42" i="2" s="1"/>
  <c r="D42" i="2" s="1"/>
  <c r="E43" i="2"/>
  <c r="F43" i="2"/>
  <c r="H43" i="2" s="1"/>
  <c r="I43" i="2" s="1"/>
  <c r="D43" i="2" s="1"/>
  <c r="E44" i="2"/>
  <c r="F44" i="2"/>
  <c r="G44" i="2" s="1"/>
  <c r="F38" i="2"/>
  <c r="H38" i="2" s="1"/>
  <c r="I38" i="2" s="1"/>
  <c r="D38" i="2" s="1"/>
  <c r="E38" i="2"/>
  <c r="I11" i="12"/>
  <c r="H5" i="6"/>
  <c r="I5" i="6" s="1"/>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I4" i="6"/>
  <c r="G4" i="6"/>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F25" i="2"/>
  <c r="H25" i="2" s="1"/>
  <c r="I25" i="2" s="1"/>
  <c r="D25" i="2" s="1"/>
  <c r="F26" i="2"/>
  <c r="F27" i="2"/>
  <c r="H27" i="2" s="1"/>
  <c r="I27" i="2" s="1"/>
  <c r="D27" i="2" s="1"/>
  <c r="F28" i="2"/>
  <c r="F29" i="2"/>
  <c r="H29" i="2" s="1"/>
  <c r="I29" i="2" s="1"/>
  <c r="D29" i="2" s="1"/>
  <c r="F30" i="2"/>
  <c r="H30" i="2" s="1"/>
  <c r="I30" i="2" s="1"/>
  <c r="D30" i="2" s="1"/>
  <c r="F31" i="2"/>
  <c r="H31" i="2" s="1"/>
  <c r="I31" i="2" s="1"/>
  <c r="D31" i="2" s="1"/>
  <c r="F32" i="2"/>
  <c r="H32" i="2" s="1"/>
  <c r="I32" i="2" s="1"/>
  <c r="D32" i="2" s="1"/>
  <c r="E22" i="2"/>
  <c r="E23" i="2"/>
  <c r="E24" i="2"/>
  <c r="E25" i="2"/>
  <c r="E26" i="2"/>
  <c r="E27" i="2"/>
  <c r="E28" i="2"/>
  <c r="E29" i="2"/>
  <c r="G29" i="2" s="1"/>
  <c r="H54" i="1" s="1"/>
  <c r="E30" i="2"/>
  <c r="E31" i="2"/>
  <c r="E32" i="2"/>
  <c r="E20" i="2"/>
  <c r="E21" i="2"/>
  <c r="G21" i="2" s="1"/>
  <c r="R9" i="17"/>
  <c r="F20" i="2"/>
  <c r="H20" i="2" s="1"/>
  <c r="I20" i="2" s="1"/>
  <c r="D20" i="2" s="1"/>
  <c r="E15" i="2"/>
  <c r="E16" i="2"/>
  <c r="E17" i="2"/>
  <c r="E18" i="2"/>
  <c r="E19" i="2"/>
  <c r="E7" i="2"/>
  <c r="E8" i="2"/>
  <c r="E9" i="2"/>
  <c r="E10" i="2"/>
  <c r="E11" i="2"/>
  <c r="E12" i="2"/>
  <c r="E13" i="2"/>
  <c r="G13" i="2" s="1"/>
  <c r="H18" i="1" s="1"/>
  <c r="E14" i="2"/>
  <c r="E5" i="2"/>
  <c r="E6" i="2"/>
  <c r="E4" i="2"/>
  <c r="F13" i="2"/>
  <c r="H13" i="2" s="1"/>
  <c r="I13" i="2" s="1"/>
  <c r="D13" i="2" s="1"/>
  <c r="F14" i="2"/>
  <c r="H14" i="2" s="1"/>
  <c r="I14" i="2" s="1"/>
  <c r="D14" i="2" s="1"/>
  <c r="F15" i="2"/>
  <c r="H15" i="2" s="1"/>
  <c r="I15" i="2" s="1"/>
  <c r="D15" i="2" s="1"/>
  <c r="F16" i="2"/>
  <c r="F17" i="2"/>
  <c r="H17" i="2" s="1"/>
  <c r="I17" i="2" s="1"/>
  <c r="D17" i="2" s="1"/>
  <c r="F18" i="2"/>
  <c r="H18" i="2" s="1"/>
  <c r="I18" i="2" s="1"/>
  <c r="D18" i="2" s="1"/>
  <c r="F19" i="2"/>
  <c r="C8" i="8"/>
  <c r="F11" i="2"/>
  <c r="H11" i="2" s="1"/>
  <c r="I11" i="2" s="1"/>
  <c r="F10" i="2"/>
  <c r="F6" i="2"/>
  <c r="G6" i="2" s="1"/>
  <c r="F7" i="2"/>
  <c r="H7" i="2" s="1"/>
  <c r="I7" i="2" s="1"/>
  <c r="D7" i="2" s="1"/>
  <c r="F8" i="2"/>
  <c r="F9" i="2"/>
  <c r="H9" i="2" s="1"/>
  <c r="I9" i="2" s="1"/>
  <c r="D9" i="2" s="1"/>
  <c r="N3" i="7"/>
  <c r="N5" i="7"/>
  <c r="E6" i="11"/>
  <c r="D6" i="11"/>
  <c r="F12" i="2"/>
  <c r="G12" i="2" s="1"/>
  <c r="F5" i="2"/>
  <c r="H5" i="2" s="1"/>
  <c r="I5" i="2" s="1"/>
  <c r="D5" i="2" s="1"/>
  <c r="F3" i="2"/>
  <c r="F4" i="2"/>
  <c r="F16"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H8" i="1"/>
  <c r="H2" i="1"/>
  <c r="H9" i="1"/>
  <c r="H3" i="1"/>
  <c r="H10" i="1"/>
  <c r="H4" i="1"/>
  <c r="H6" i="1"/>
  <c r="H7" i="1"/>
  <c r="H5" i="1"/>
  <c r="H97" i="1"/>
  <c r="Q17" i="9" a="1"/>
  <c r="Q17" i="9" s="1"/>
  <c r="G38" i="9" a="1"/>
  <c r="G38" i="9" s="1"/>
  <c r="H38" i="9" a="1"/>
  <c r="H38" i="9" s="1"/>
  <c r="W17" i="9"/>
  <c r="B14" i="20" s="1"/>
  <c r="J38" i="9"/>
  <c r="P17" i="9" a="1"/>
  <c r="P17" i="9" s="1"/>
  <c r="R17" i="9" a="1"/>
  <c r="R17" i="9" s="1"/>
  <c r="C7" i="8"/>
  <c r="U17" i="9" a="1"/>
  <c r="U17" i="9" s="1"/>
  <c r="S17" i="9" a="1"/>
  <c r="S17" i="9" s="1"/>
  <c r="T17" i="9" a="1"/>
  <c r="T17" i="9" s="1"/>
  <c r="G49" i="2"/>
  <c r="H123" i="1" s="1"/>
  <c r="H8" i="7"/>
  <c r="C16" i="12"/>
  <c r="H54" i="2"/>
  <c r="I54" i="2" s="1"/>
  <c r="D54" i="2" s="1"/>
  <c r="J15" i="14"/>
  <c r="C406" i="17"/>
  <c r="K4" i="17" s="1"/>
  <c r="R10" i="17"/>
  <c r="C16" i="10"/>
  <c r="H62" i="2"/>
  <c r="I62" i="2" s="1"/>
  <c r="D62" i="2" s="1"/>
  <c r="H60" i="2"/>
  <c r="I60" i="2" s="1"/>
  <c r="D60" i="2" s="1"/>
  <c r="H58" i="2"/>
  <c r="I58" i="2" s="1"/>
  <c r="D58" i="2" s="1"/>
  <c r="G17" i="2"/>
  <c r="H28" i="1" s="1"/>
  <c r="C2" i="2"/>
  <c r="G54" i="2" l="1"/>
  <c r="G59" i="2"/>
  <c r="H113" i="1" s="1"/>
  <c r="G28" i="2"/>
  <c r="H52" i="1" s="1"/>
  <c r="G4" i="2"/>
  <c r="G37" i="2"/>
  <c r="H77" i="1" s="1"/>
  <c r="H105" i="1"/>
  <c r="H110" i="1"/>
  <c r="G39" i="2"/>
  <c r="H79" i="1" s="1"/>
  <c r="G10" i="2"/>
  <c r="H21" i="1" s="1"/>
  <c r="G32" i="2"/>
  <c r="H60" i="1" s="1"/>
  <c r="H28" i="2"/>
  <c r="I28" i="2" s="1"/>
  <c r="D28" i="2" s="1"/>
  <c r="G47" i="2"/>
  <c r="H93" i="1" s="1"/>
  <c r="G52" i="2"/>
  <c r="H101" i="1" s="1"/>
  <c r="G26" i="2"/>
  <c r="H48" i="1" s="1"/>
  <c r="G23" i="2"/>
  <c r="H45" i="1" s="1"/>
  <c r="G33" i="2"/>
  <c r="H63" i="1" s="1"/>
  <c r="G63" i="2"/>
  <c r="H124" i="1" s="1"/>
  <c r="G19" i="2"/>
  <c r="H32" i="1" s="1"/>
  <c r="G51" i="2"/>
  <c r="G8" i="2"/>
  <c r="H67" i="1" s="1"/>
  <c r="G9" i="2"/>
  <c r="H13" i="1" s="1"/>
  <c r="G16" i="2"/>
  <c r="H35" i="1" s="1"/>
  <c r="H59" i="2"/>
  <c r="I59" i="2" s="1"/>
  <c r="D59" i="2" s="1"/>
  <c r="G40" i="2"/>
  <c r="H99" i="1" s="1"/>
  <c r="G31" i="2"/>
  <c r="H59" i="1" s="1"/>
  <c r="H57" i="2"/>
  <c r="I57" i="2" s="1"/>
  <c r="D57" i="2" s="1"/>
  <c r="G55" i="2"/>
  <c r="H107" i="1" s="1"/>
  <c r="H7" i="7"/>
  <c r="C5" i="8"/>
  <c r="H100" i="1"/>
  <c r="H103" i="1"/>
  <c r="H102" i="1"/>
  <c r="H14" i="1"/>
  <c r="H11" i="1"/>
  <c r="H31" i="1"/>
  <c r="H25" i="1"/>
  <c r="G18" i="2"/>
  <c r="H30" i="1" s="1"/>
  <c r="G38" i="2"/>
  <c r="H78" i="1" s="1"/>
  <c r="G14" i="2"/>
  <c r="H20" i="1" s="1"/>
  <c r="G53" i="2"/>
  <c r="H104" i="1" s="1"/>
  <c r="G62" i="2"/>
  <c r="H119" i="1" s="1"/>
  <c r="G24" i="2"/>
  <c r="H50" i="1" s="1"/>
  <c r="G20" i="2"/>
  <c r="H95" i="1"/>
  <c r="G5" i="2"/>
  <c r="H106" i="1" s="1"/>
  <c r="G7" i="2"/>
  <c r="H16" i="2"/>
  <c r="I16" i="2" s="1"/>
  <c r="D16" i="2" s="1"/>
  <c r="G30" i="2"/>
  <c r="H58" i="1" s="1"/>
  <c r="G41" i="2"/>
  <c r="H83" i="1" s="1"/>
  <c r="H52" i="2"/>
  <c r="I52" i="2" s="1"/>
  <c r="D52" i="2" s="1"/>
  <c r="G61" i="2"/>
  <c r="H12" i="2"/>
  <c r="I12" i="2" s="1"/>
  <c r="D12" i="2" s="1"/>
  <c r="G64" i="2"/>
  <c r="G56" i="2"/>
  <c r="G34" i="2"/>
  <c r="H63" i="2"/>
  <c r="I63" i="2" s="1"/>
  <c r="D63" i="2" s="1"/>
  <c r="G22" i="2"/>
  <c r="H44" i="1" s="1"/>
  <c r="H8" i="2"/>
  <c r="I8" i="2" s="1"/>
  <c r="D8" i="2" s="1"/>
  <c r="G45" i="2"/>
  <c r="H89" i="1" s="1"/>
  <c r="H19" i="2"/>
  <c r="I19" i="2" s="1"/>
  <c r="D19" i="2" s="1"/>
  <c r="G42" i="2"/>
  <c r="H84" i="1" s="1"/>
  <c r="G35" i="2"/>
  <c r="H71" i="1" s="1"/>
  <c r="H44" i="2"/>
  <c r="I44" i="2" s="1"/>
  <c r="D44" i="2" s="1"/>
  <c r="H4" i="2"/>
  <c r="I4" i="2" s="1"/>
  <c r="D4" i="2" s="1"/>
  <c r="G27" i="2"/>
  <c r="H49" i="1" s="1"/>
  <c r="H29" i="1"/>
  <c r="H56" i="1"/>
  <c r="H57" i="1"/>
  <c r="H66" i="1"/>
  <c r="H26" i="1"/>
  <c r="H61" i="1"/>
  <c r="H19" i="1"/>
  <c r="H17" i="1"/>
  <c r="H117" i="1"/>
  <c r="H118" i="1"/>
  <c r="H73" i="1"/>
  <c r="H38" i="1"/>
  <c r="H39" i="1"/>
  <c r="H120" i="1"/>
  <c r="H108" i="1"/>
  <c r="H65" i="1"/>
  <c r="H76" i="1"/>
  <c r="H109" i="1"/>
  <c r="H87" i="1"/>
  <c r="H90" i="1"/>
  <c r="H80" i="1"/>
  <c r="H37" i="1"/>
  <c r="H43" i="1"/>
  <c r="G36" i="2"/>
  <c r="H75" i="1" s="1"/>
  <c r="G46" i="2"/>
  <c r="H69" i="1"/>
  <c r="H10" i="2"/>
  <c r="I10" i="2" s="1"/>
  <c r="D10" i="2" s="1"/>
  <c r="H24" i="2"/>
  <c r="I24" i="2" s="1"/>
  <c r="D24" i="2" s="1"/>
  <c r="H33" i="1"/>
  <c r="G50" i="2"/>
  <c r="H96" i="1" s="1"/>
  <c r="H53" i="1"/>
  <c r="H72" i="1"/>
  <c r="G11" i="2"/>
  <c r="H16" i="1" s="1"/>
  <c r="G15" i="2"/>
  <c r="H115" i="1"/>
  <c r="G48" i="2"/>
  <c r="H22" i="1"/>
  <c r="H6" i="2"/>
  <c r="I6" i="2" s="1"/>
  <c r="D6" i="2" s="1"/>
  <c r="G25" i="2"/>
  <c r="H47" i="1" s="1"/>
  <c r="H26" i="2"/>
  <c r="I26" i="2" s="1"/>
  <c r="D26" i="2" s="1"/>
  <c r="H61" i="2"/>
  <c r="I61" i="2" s="1"/>
  <c r="D61" i="2" s="1"/>
  <c r="G43" i="2"/>
  <c r="H85" i="1" s="1"/>
  <c r="V17" i="9"/>
  <c r="X17" i="9" s="1"/>
  <c r="A3" i="20"/>
  <c r="A13" i="20"/>
  <c r="A7" i="20"/>
  <c r="A11" i="20"/>
  <c r="A10" i="20"/>
  <c r="W15" i="9"/>
  <c r="B12" i="20" s="1"/>
  <c r="W16" i="9"/>
  <c r="B13" i="20" s="1"/>
  <c r="A9" i="20"/>
  <c r="V19" i="9"/>
  <c r="X19" i="9" s="1"/>
  <c r="A6" i="20"/>
  <c r="O5" i="9"/>
  <c r="A5" i="20"/>
  <c r="A8" i="20"/>
  <c r="C37" i="12"/>
  <c r="D35" i="18"/>
  <c r="C11" i="8" s="1"/>
  <c r="R11" i="17"/>
  <c r="H30" i="7"/>
  <c r="D35" i="14"/>
  <c r="C10" i="8" s="1"/>
  <c r="J35" i="14"/>
  <c r="C12" i="8" s="1"/>
  <c r="I35" i="12"/>
  <c r="C9" i="8" s="1"/>
  <c r="N14" i="6"/>
  <c r="G65" i="6"/>
  <c r="H65" i="6"/>
  <c r="H16" i="15"/>
  <c r="I65" i="6"/>
  <c r="G16" i="15"/>
  <c r="D406" i="17"/>
  <c r="F406" i="17" s="1"/>
  <c r="C12" i="10"/>
  <c r="E35" i="18"/>
  <c r="K5" i="17"/>
  <c r="K6" i="17" s="1"/>
  <c r="I38" i="9"/>
  <c r="K38" i="9" s="1"/>
  <c r="V18" i="9"/>
  <c r="X18" i="9" s="1"/>
  <c r="C49" i="9"/>
  <c r="P10" i="9" s="1" a="1"/>
  <c r="P10" i="9" s="1"/>
  <c r="J49" i="9"/>
  <c r="W10" i="9" s="1"/>
  <c r="C45" i="9"/>
  <c r="P6" i="9" s="1" a="1"/>
  <c r="P6" i="9" s="1"/>
  <c r="J50" i="9"/>
  <c r="W11" i="9" s="1"/>
  <c r="J30" i="9"/>
  <c r="G29" i="9" a="1"/>
  <c r="G29" i="9" s="1"/>
  <c r="H34" i="9" a="1"/>
  <c r="H34" i="9" s="1"/>
  <c r="J37" i="9"/>
  <c r="J33" i="9"/>
  <c r="E48" i="9"/>
  <c r="R9" i="9" s="1" a="1"/>
  <c r="R9" i="9" s="1"/>
  <c r="C46" i="9"/>
  <c r="P7" i="9" s="1" a="1"/>
  <c r="P7" i="9" s="1"/>
  <c r="B7" i="9"/>
  <c r="R14" i="9" a="1"/>
  <c r="R14" i="9" s="1"/>
  <c r="B12" i="9"/>
  <c r="J29" i="9"/>
  <c r="E47" i="9"/>
  <c r="R8" i="9" s="1" a="1"/>
  <c r="R8" i="9" s="1"/>
  <c r="D47" i="9"/>
  <c r="Q8" i="9" s="1" a="1"/>
  <c r="Q8" i="9" s="1"/>
  <c r="G32" i="9" a="1"/>
  <c r="G32" i="9" s="1"/>
  <c r="D51" i="9"/>
  <c r="Q12" i="9" s="1" a="1"/>
  <c r="Q12" i="9" s="1"/>
  <c r="R15" i="9" a="1"/>
  <c r="R15" i="9" s="1"/>
  <c r="H32" i="9" a="1"/>
  <c r="H32" i="9" s="1"/>
  <c r="C47" i="9"/>
  <c r="P8" i="9" s="1" a="1"/>
  <c r="P8" i="9" s="1"/>
  <c r="R16" i="9" a="1"/>
  <c r="R16" i="9" s="1"/>
  <c r="C51" i="9"/>
  <c r="P12" i="9" s="1" a="1"/>
  <c r="P12" i="9" s="1"/>
  <c r="J27" i="9"/>
  <c r="J32" i="9"/>
  <c r="E49" i="9"/>
  <c r="R10" i="9" s="1" a="1"/>
  <c r="R10" i="9" s="1"/>
  <c r="H35" i="9" a="1"/>
  <c r="H35" i="9" s="1"/>
  <c r="J36" i="9"/>
  <c r="B15" i="9"/>
  <c r="B11" i="9"/>
  <c r="J34" i="9"/>
  <c r="G27" i="9" a="1"/>
  <c r="G27" i="9" s="1"/>
  <c r="D46" i="9"/>
  <c r="Q7" i="9" s="1" a="1"/>
  <c r="Q7" i="9" s="1"/>
  <c r="H28" i="9" a="1"/>
  <c r="H28" i="9" s="1"/>
  <c r="D49" i="9"/>
  <c r="Q10" i="9" s="1" a="1"/>
  <c r="Q10" i="9" s="1"/>
  <c r="Q14" i="9" a="1"/>
  <c r="Q14" i="9" s="1"/>
  <c r="H29" i="9" a="1"/>
  <c r="H29" i="9" s="1"/>
  <c r="D48" i="9"/>
  <c r="Q9" i="9" s="1" a="1"/>
  <c r="Q9" i="9" s="1"/>
  <c r="J35" i="9"/>
  <c r="P14" i="9" a="1"/>
  <c r="P14" i="9" s="1"/>
  <c r="B8" i="9"/>
  <c r="H30" i="9" a="1"/>
  <c r="H30" i="9" s="1"/>
  <c r="B13" i="9"/>
  <c r="G37" i="9" a="1"/>
  <c r="G37" i="9" s="1"/>
  <c r="C48" i="9"/>
  <c r="P9" i="9" s="1" a="1"/>
  <c r="P9" i="9" s="1"/>
  <c r="B26" i="9"/>
  <c r="B9" i="9"/>
  <c r="D50" i="9"/>
  <c r="Q11" i="9" s="1" a="1"/>
  <c r="Q11" i="9" s="1"/>
  <c r="P15" i="9" a="1"/>
  <c r="P15" i="9" s="1"/>
  <c r="E45" i="9"/>
  <c r="R6" i="9" s="1" a="1"/>
  <c r="R6" i="9" s="1"/>
  <c r="H37" i="9" a="1"/>
  <c r="H37" i="9" s="1"/>
  <c r="J45" i="9"/>
  <c r="W6" i="9" s="1"/>
  <c r="B5" i="9"/>
  <c r="D52" i="9"/>
  <c r="Q13" i="9" s="1" a="1"/>
  <c r="Q13" i="9" s="1"/>
  <c r="J28" i="9"/>
  <c r="W14" i="9"/>
  <c r="H36" i="9" a="1"/>
  <c r="H36" i="9" s="1"/>
  <c r="G33" i="9" a="1"/>
  <c r="G33" i="9" s="1"/>
  <c r="A12" i="20"/>
  <c r="C52" i="9"/>
  <c r="P13" i="9" s="1" a="1"/>
  <c r="P13" i="9" s="1"/>
  <c r="E52" i="9"/>
  <c r="R13" i="9" s="1" a="1"/>
  <c r="R13" i="9" s="1"/>
  <c r="E51" i="9"/>
  <c r="R12" i="9" s="1" a="1"/>
  <c r="R12" i="9" s="1"/>
  <c r="G30" i="9" a="1"/>
  <c r="G30" i="9" s="1"/>
  <c r="J46" i="9"/>
  <c r="W7" i="9" s="1"/>
  <c r="C50" i="9"/>
  <c r="P11" i="9" s="1" a="1"/>
  <c r="P11" i="9" s="1"/>
  <c r="H31" i="9" a="1"/>
  <c r="H31" i="9" s="1"/>
  <c r="Q15" i="9" a="1"/>
  <c r="Q15" i="9" s="1"/>
  <c r="J51" i="9"/>
  <c r="W12" i="9" s="1"/>
  <c r="E50" i="9"/>
  <c r="R11" i="9" s="1" a="1"/>
  <c r="R11" i="9" s="1"/>
  <c r="B14" i="9"/>
  <c r="B10" i="9"/>
  <c r="D45" i="9"/>
  <c r="Q6" i="9" s="1" a="1"/>
  <c r="Q6" i="9" s="1"/>
  <c r="B6" i="9"/>
  <c r="G35" i="9" a="1"/>
  <c r="G35" i="9" s="1"/>
  <c r="J47" i="9"/>
  <c r="W8" i="9" s="1"/>
  <c r="H27" i="9" a="1"/>
  <c r="H27" i="9" s="1"/>
  <c r="G36" i="9" a="1"/>
  <c r="G36" i="9" s="1"/>
  <c r="H33" i="9" a="1"/>
  <c r="H33" i="9" s="1"/>
  <c r="G28" i="9" a="1"/>
  <c r="G28" i="9" s="1"/>
  <c r="I125" i="1" a="1"/>
  <c r="I125" i="1" s="1"/>
  <c r="J48" i="9"/>
  <c r="W9" i="9" s="1"/>
  <c r="G31" i="9" a="1"/>
  <c r="G31" i="9" s="1"/>
  <c r="E46" i="9"/>
  <c r="R7" i="9" s="1" a="1"/>
  <c r="R7" i="9" s="1"/>
  <c r="G34" i="9" a="1"/>
  <c r="G34" i="9" s="1"/>
  <c r="J31" i="9"/>
  <c r="J52" i="9"/>
  <c r="W13" i="9" s="1"/>
  <c r="P16" i="9" a="1"/>
  <c r="P16" i="9" s="1"/>
  <c r="D2" i="2"/>
  <c r="J125" i="1" a="1"/>
  <c r="J125" i="1" s="1"/>
  <c r="K125" i="1"/>
  <c r="H62" i="1" l="1"/>
  <c r="H98" i="1"/>
  <c r="H88" i="1"/>
  <c r="H15" i="1"/>
  <c r="H36" i="1"/>
  <c r="H40" i="1"/>
  <c r="H24" i="1"/>
  <c r="H41" i="1"/>
  <c r="H64" i="1"/>
  <c r="H27" i="1"/>
  <c r="H82" i="1"/>
  <c r="H86" i="1"/>
  <c r="H81" i="1"/>
  <c r="H70" i="1"/>
  <c r="H74" i="1"/>
  <c r="H34" i="1"/>
  <c r="H42" i="1"/>
  <c r="H55" i="1"/>
  <c r="H51" i="1"/>
  <c r="H68" i="1"/>
  <c r="H121" i="1"/>
  <c r="H91" i="1"/>
  <c r="H92" i="1"/>
  <c r="H122" i="1"/>
  <c r="H94" i="1"/>
  <c r="H23" i="1"/>
  <c r="H46" i="1"/>
  <c r="I28" i="9"/>
  <c r="K28" i="9" s="1"/>
  <c r="I36" i="9"/>
  <c r="K36" i="9" s="1"/>
  <c r="I32" i="9"/>
  <c r="K32" i="9" s="1"/>
  <c r="I35" i="9"/>
  <c r="K35" i="9" s="1"/>
  <c r="I34" i="9"/>
  <c r="K34" i="9" s="1"/>
  <c r="I31" i="9"/>
  <c r="K31" i="9" s="1"/>
  <c r="A2" i="20"/>
  <c r="I30" i="9"/>
  <c r="K30" i="9" s="1"/>
  <c r="I37" i="9"/>
  <c r="K37" i="9" s="1"/>
  <c r="F35" i="18"/>
  <c r="C14" i="8"/>
  <c r="C4" i="10" s="1"/>
  <c r="C15" i="10" s="1"/>
  <c r="C17" i="10" s="1"/>
  <c r="R12" i="17"/>
  <c r="B7" i="20"/>
  <c r="B4" i="20"/>
  <c r="B3" i="20"/>
  <c r="B11" i="20"/>
  <c r="B5" i="20"/>
  <c r="B6" i="20"/>
  <c r="B8" i="20"/>
  <c r="B10" i="20"/>
  <c r="B9" i="20"/>
  <c r="E10" i="9"/>
  <c r="C10" i="9"/>
  <c r="E11" i="9"/>
  <c r="C11" i="9"/>
  <c r="E12" i="9"/>
  <c r="C12" i="9"/>
  <c r="I29" i="9"/>
  <c r="K29" i="9" s="1"/>
  <c r="E5" i="9"/>
  <c r="C5" i="9"/>
  <c r="E7" i="9"/>
  <c r="C7" i="9"/>
  <c r="C14" i="19" a="1"/>
  <c r="C14" i="19" s="1"/>
  <c r="G26" i="9" a="1"/>
  <c r="G26" i="9" s="1"/>
  <c r="D26" i="9" a="1"/>
  <c r="D26" i="9" s="1"/>
  <c r="J26" i="9"/>
  <c r="B4" i="9"/>
  <c r="F26" i="9" a="1"/>
  <c r="F26" i="9" s="1"/>
  <c r="E26" i="9" a="1"/>
  <c r="E26" i="9" s="1"/>
  <c r="E44" i="9"/>
  <c r="R5" i="9" s="1" a="1"/>
  <c r="R5" i="9" s="1"/>
  <c r="C26" i="9" a="1"/>
  <c r="C26" i="9" s="1"/>
  <c r="J44" i="9"/>
  <c r="W5" i="9" s="1"/>
  <c r="C12" i="19" a="1"/>
  <c r="C12" i="19" s="1"/>
  <c r="C44" i="9"/>
  <c r="P5" i="9" s="1" a="1"/>
  <c r="P5" i="9" s="1"/>
  <c r="H44" i="9" a="1"/>
  <c r="G44" i="9" a="1"/>
  <c r="F44" i="9" a="1"/>
  <c r="D44" i="9"/>
  <c r="Q5" i="9" s="1" a="1"/>
  <c r="Q5" i="9" s="1"/>
  <c r="H26" i="9" a="1"/>
  <c r="H26" i="9" s="1"/>
  <c r="C14" i="9"/>
  <c r="E14" i="9"/>
  <c r="E15" i="9"/>
  <c r="C15" i="9"/>
  <c r="C13" i="9"/>
  <c r="E13" i="9"/>
  <c r="I33" i="9"/>
  <c r="K33" i="9" s="1"/>
  <c r="I27" i="9"/>
  <c r="K27" i="9" s="1"/>
  <c r="C6" i="9"/>
  <c r="E6" i="9"/>
  <c r="E9" i="9" a="1"/>
  <c r="E9" i="9" s="1"/>
  <c r="C9" i="9"/>
  <c r="C8" i="9"/>
  <c r="E8" i="9"/>
  <c r="C19" i="10" l="1"/>
  <c r="P7" i="17"/>
  <c r="D10" i="19" a="1"/>
  <c r="D10" i="19" s="1"/>
  <c r="D8" i="19" a="1"/>
  <c r="D8" i="19" s="1"/>
  <c r="D12" i="19" a="1"/>
  <c r="D12" i="19" s="1"/>
  <c r="E12" i="19" s="1"/>
  <c r="B2" i="20"/>
  <c r="E18" i="19" a="1"/>
  <c r="E18" i="19" s="1"/>
  <c r="S7" i="9" a="1"/>
  <c r="S7" i="9" s="1"/>
  <c r="F44" i="9"/>
  <c r="S5" i="9" s="1" a="1"/>
  <c r="S5" i="9" s="1"/>
  <c r="S10" i="9" a="1"/>
  <c r="S10" i="9" s="1"/>
  <c r="S8" i="9" a="1"/>
  <c r="S8" i="9" s="1"/>
  <c r="S14" i="9" a="1"/>
  <c r="S14" i="9" s="1"/>
  <c r="S9" i="9" a="1"/>
  <c r="S9" i="9" s="1"/>
  <c r="S12" i="9" a="1"/>
  <c r="S12" i="9" s="1"/>
  <c r="S15" i="9" a="1"/>
  <c r="S15" i="9" s="1"/>
  <c r="S6" i="9" a="1"/>
  <c r="S6" i="9" s="1"/>
  <c r="S13" i="9" a="1"/>
  <c r="S13" i="9" s="1"/>
  <c r="S16" i="9" a="1"/>
  <c r="S16" i="9" s="1"/>
  <c r="S11" i="9" a="1"/>
  <c r="S11" i="9" s="1"/>
  <c r="G44" i="9"/>
  <c r="T13" i="9" a="1"/>
  <c r="T13" i="9" s="1"/>
  <c r="T7" i="9" a="1"/>
  <c r="T7" i="9" s="1"/>
  <c r="I45" i="9"/>
  <c r="K45" i="9" s="1"/>
  <c r="T14" i="9" a="1"/>
  <c r="T14" i="9" s="1"/>
  <c r="T9" i="9" a="1"/>
  <c r="T9" i="9" s="1"/>
  <c r="T6" i="9" a="1"/>
  <c r="T6" i="9" s="1"/>
  <c r="T11" i="9" a="1"/>
  <c r="T11" i="9" s="1"/>
  <c r="I47" i="9"/>
  <c r="K47" i="9" s="1"/>
  <c r="T8" i="9" a="1"/>
  <c r="T8" i="9" s="1"/>
  <c r="T10" i="9" a="1"/>
  <c r="T10" i="9" s="1"/>
  <c r="I48" i="9"/>
  <c r="K48" i="9" s="1"/>
  <c r="I46" i="9"/>
  <c r="K46" i="9" s="1"/>
  <c r="I49" i="9"/>
  <c r="K49" i="9" s="1"/>
  <c r="I50" i="9"/>
  <c r="K50" i="9" s="1"/>
  <c r="T15" i="9" a="1"/>
  <c r="T15" i="9" s="1"/>
  <c r="T12" i="9" a="1"/>
  <c r="T12" i="9" s="1"/>
  <c r="I51" i="9"/>
  <c r="K51" i="9" s="1"/>
  <c r="T16" i="9" a="1"/>
  <c r="T16" i="9" s="1"/>
  <c r="C4" i="9"/>
  <c r="E4" i="9"/>
  <c r="U15" i="9" a="1"/>
  <c r="U15" i="9" s="1"/>
  <c r="U10" i="9" a="1"/>
  <c r="U10" i="9" s="1"/>
  <c r="H44" i="9"/>
  <c r="U5" i="9" s="1" a="1"/>
  <c r="U5" i="9" s="1"/>
  <c r="U8" i="9" a="1"/>
  <c r="U8" i="9" s="1"/>
  <c r="U6" i="9" a="1"/>
  <c r="U6" i="9" s="1"/>
  <c r="U13" i="9" a="1"/>
  <c r="U13" i="9" s="1"/>
  <c r="U11" i="9" a="1"/>
  <c r="U11" i="9" s="1"/>
  <c r="U9" i="9" a="1"/>
  <c r="U9" i="9" s="1"/>
  <c r="U12" i="9" a="1"/>
  <c r="U12" i="9" s="1"/>
  <c r="U14" i="9" a="1"/>
  <c r="U14" i="9" s="1"/>
  <c r="U16" i="9" a="1"/>
  <c r="U16" i="9" s="1"/>
  <c r="U7" i="9" a="1"/>
  <c r="U7" i="9" s="1"/>
  <c r="I26" i="9"/>
  <c r="K26" i="9" s="1"/>
  <c r="C16" i="9"/>
  <c r="D14" i="19" l="1" a="1"/>
  <c r="D14" i="19" s="1"/>
  <c r="E14" i="19" s="1"/>
  <c r="E16" i="19" s="1"/>
  <c r="V11" i="9"/>
  <c r="X11" i="9" s="1"/>
  <c r="V8" i="9"/>
  <c r="X8" i="9" s="1"/>
  <c r="V16" i="9"/>
  <c r="X16" i="9" s="1"/>
  <c r="V14" i="9"/>
  <c r="X14" i="9" s="1"/>
  <c r="V15" i="9"/>
  <c r="X15" i="9" s="1"/>
  <c r="V9" i="9"/>
  <c r="X9" i="9" s="1"/>
  <c r="V7" i="9"/>
  <c r="X7" i="9" s="1"/>
  <c r="V6" i="9"/>
  <c r="X6" i="9" s="1"/>
  <c r="V12" i="9"/>
  <c r="X12" i="9" s="1"/>
  <c r="V13" i="9"/>
  <c r="X13" i="9" s="1"/>
  <c r="I44" i="9"/>
  <c r="K44" i="9" s="1"/>
  <c r="T5" i="9" a="1"/>
  <c r="T5" i="9" s="1"/>
  <c r="V10" i="9"/>
  <c r="X10" i="9" s="1"/>
  <c r="V5" i="9" l="1"/>
  <c r="X5" i="9" s="1"/>
  <c r="E20" i="19" s="1" a="1"/>
  <c r="E20" i="19" s="1"/>
  <c r="C18" i="9"/>
  <c r="C3" i="10" s="1"/>
  <c r="C5" i="10" s="1"/>
  <c r="F21" i="10" s="1"/>
  <c r="C11" i="10" l="1"/>
  <c r="C13" i="10" s="1"/>
  <c r="C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<sst xmlns="http://schemas.openxmlformats.org/spreadsheetml/2006/main" count="1943" uniqueCount="360">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</sst>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2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0" fontId="0" fillId="0" borderId="0" xfId="0" applyBorder="1"/>
    <xf numFmtId="14" fontId="0" fillId="0" borderId="7" xfId="0" applyNumberFormat="1" applyFont="1" applyBorder="1"/>
    <xf numFmtId="14" fontId="0" fillId="0" borderId="8" xfId="0" applyNumberFormat="1" applyFont="1" applyBorder="1"/>
    <xf numFmtId="0" fontId="0" fillId="0" borderId="0" xfId="0" applyBorder="1" applyAlignment="1">
      <alignment horizontal="center"/>
    </xf>
    <xf numFmtId="0" fontId="0" fillId="0" borderId="0" xfId="0" applyNumberFormat="1"/>
    <xf numFmtId="164" fontId="0" fillId="9" borderId="0" xfId="0" applyNumberFormat="1" applyFill="1"/>
  </cellXfs>
  <cellStyles count="2">
    <cellStyle name="Comma" xfId="1" builtinId="3"/>
    <cellStyle name="Normal" xfId="0" builtinId="0"/>
  </cellStyles>
  <dxfs count="176">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fill>
        <patternFill patternType="solid">
          <fgColor indexed="64"/>
          <bgColor theme="7" tint="0.59999389629810485"/>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font>
        <b/>
      </font>
    </dxf>
    <dxf>
      <font>
        <sz val="14"/>
      </font>
    </dxf>
    <dxf>
      <numFmt numFmtId="164" formatCode="_-* #,##0_-;\-* #,##0_-;_-* &quot;-&quot;??_-;_-@_-"/>
    </dxf>
    <dxf>
      <numFmt numFmtId="164" formatCode="_-* #,##0_-;\-* #,##0_-;_-* &quot;-&quot;??_-;_-@_-"/>
    </dxf>
    <dxf>
      <numFmt numFmtId="1" formatCode="0"/>
    </dxf>
    <dxf>
      <numFmt numFmtId="2" formatCode="0.00"/>
    </dxf>
    <dxf>
      <numFmt numFmtId="164" formatCode="_-* #,##0_-;\-* #,##0_-;_-* &quot;-&quot;??_-;_-@_-"/>
    </dxf>
    <dxf>
      <numFmt numFmtId="164" formatCode="_-* #,##0_-;\-* #,##0_-;_-* &quot;-&quot;??_-;_-@_-"/>
    </dxf>
    <dxf>
      <numFmt numFmtId="164" formatCode="_-* #,##0_-;\-* #,##0_-;_-* &quot;-&quot;??_-;_-@_-"/>
    </dxf>
    <dxf>
      <numFmt numFmtId="164" formatCode="_-* #,##0_-;\-* #,##0_-;_-* &quot;-&quot;??_-;_-@_-"/>
    </dxf>
    <dxf>
      <numFmt numFmtId="1" formatCode="0"/>
    </dxf>
    <dxf>
      <numFmt numFmtId="2" formatCode="0.00"/>
    </dxf>
    <dxf>
      <font>
        <b/>
      </font>
    </dxf>
    <dxf>
      <font>
        <sz val="14"/>
      </fon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fill>
        <patternFill patternType="solid">
          <bgColor theme="1"/>
        </patternFill>
      </fill>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9" formatCode="dd/mm/yyyy"/>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FF00"/>
        </patternFill>
      </fill>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31788</xdr:colOff>
      <xdr:row>186</xdr:row>
      <xdr:rowOff>8211</xdr:rowOff>
    </xdr:from>
    <xdr:to>
      <xdr:col>5</xdr:col>
      <xdr:colOff>1121084</xdr:colOff>
      <xdr:row>193</xdr:row>
      <xdr:rowOff>95028</xdr:rowOff>
    </xdr:to>
    <mc:AlternateContent xmlns:mc="http://schemas.openxmlformats.org/markup-compatibility/2006">
      <mc:Choice xmlns:sle15="http://schemas.microsoft.com/office/drawing/2012/slicer"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dr:sp macro="" textlink="">
          <xdr:nvSpPr>
            <xdr:cNvPr id="0" name=""/>
            <xdr:cNvSpPr>
              <a:spLocks noTextEdit="1"/>
            </xdr:cNvSpPr>
          </xdr:nvSpPr>
          <xdr:spPr>
            <a:xfrm>
              <a:off x="2278204" y="22630705"/>
              <a:ext cx="4493555" cy="1333726"/>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170048</xdr:colOff>
      <xdr:row>186</xdr:row>
      <xdr:rowOff>19943</xdr:rowOff>
    </xdr:from>
    <xdr:to>
      <xdr:col>1</xdr:col>
      <xdr:colOff>909097</xdr:colOff>
      <xdr:row>194</xdr:row>
      <xdr:rowOff>78343</xdr:rowOff>
    </xdr:to>
    <mc:AlternateContent xmlns:mc="http://schemas.openxmlformats.org/markup-compatibility/2006">
      <mc:Choice xmlns:sle15="http://schemas.microsoft.com/office/drawing/2012/slicer"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170048" y="22642437"/>
              <a:ext cx="1877101" cy="148343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352731</xdr:colOff>
      <xdr:row>1</xdr:row>
      <xdr:rowOff>59338</xdr:rowOff>
    </xdr:from>
    <xdr:to>
      <xdr:col>13</xdr:col>
      <xdr:colOff>134984</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17</xdr:row>
      <xdr:rowOff>152401</xdr:rowOff>
    </xdr:from>
    <xdr:to>
      <xdr:col>11</xdr:col>
      <xdr:colOff>62469</xdr:colOff>
      <xdr:row>24</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58277893519"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3"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11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5827847222" createdVersion="8" refreshedVersion="8" minRefreshableVersion="3" recordCount="123" xr:uid="{46CBB50D-3613-4E5B-8212-DD0313DCD05A}">
  <cacheSource type="worksheet">
    <worksheetSource name="Table1"/>
  </cacheSource>
  <cacheFields count="14">
    <cacheField name="Date" numFmtId="14">
      <sharedItems containsSemiMixedTypes="0" containsNonDate="0" containsDate="1" containsString="0" minDate="2025-07-25T00:00:00" maxDate="2025-09-17T00:00:00" count="42">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MixedTypes="1" containsNumber="1" containsInteger="1" minValue="604" maxValue="834" count="225">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2">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85.60596464237544"/>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58280902775"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58281249998"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58281481483"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05593.45281638624"/>
    </cacheField>
    <cacheField name="Rate" numFmtId="0">
      <sharedItems containsString="0" containsBlank="1" containsNumber="1" minValue="10" maxValue="10.5"/>
    </cacheField>
    <cacheField name="Total" numFmtId="164">
      <sharedItems containsSemiMixedTypes="0" containsString="0" containsNumber="1" minValue="0" maxValue="6015662.0336503293"/>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17.15828171296"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m/>
    <m/>
    <m/>
    <m/>
    <n v="115000"/>
    <n v="-11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05593.45281638624"/>
    <n v="10"/>
    <n v="6015662.0336503293"/>
  </r>
  <r>
    <x v="1"/>
    <n v="24754.937820043895"/>
    <n v="10"/>
    <n v="247549.37820043895"/>
  </r>
  <r>
    <x v="2"/>
    <n v="55363.935625457212"/>
    <n v="10"/>
    <n v="553639.35625457217"/>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2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75">
      <pivotArea field="0" grandRow="1" outline="0" collapsedLevelsAreSubtotals="1" axis="axisRow" fieldPosition="0">
        <references count="1">
          <reference field="4294967294" count="1" selected="0">
            <x v="1"/>
          </reference>
        </references>
      </pivotArea>
    </format>
    <format dxfId="174">
      <pivotArea field="0" grandRow="1" outline="0" collapsedLevelsAreSubtotals="1" axis="axisRow" fieldPosition="0">
        <references count="1">
          <reference field="4294967294" count="1" selected="0">
            <x v="0"/>
          </reference>
        </references>
      </pivotArea>
    </format>
    <format dxfId="173">
      <pivotArea collapsedLevelsAreSubtotals="1" fieldPosition="0">
        <references count="2">
          <reference field="4294967294" count="1" selected="0">
            <x v="1"/>
          </reference>
          <reference field="0" count="0"/>
        </references>
      </pivotArea>
    </format>
    <format dxfId="17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2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8:K175" firstHeaderRow="0" firstDataRow="1" firstDataCol="1"/>
  <pivotFields count="14">
    <pivotField axis="axisRow" numFmtId="14" showAll="0">
      <items count="43">
        <item m="1" x="26"/>
        <item m="1" x="27"/>
        <item m="1" x="28"/>
        <item m="1" x="29"/>
        <item m="1" x="30"/>
        <item m="1" x="31"/>
        <item m="1" x="41"/>
        <item m="1" x="32"/>
        <item m="1" x="33"/>
        <item m="1" x="34"/>
        <item m="1" x="35"/>
        <item m="1" x="36"/>
        <item m="1" x="37"/>
        <item m="1" x="38"/>
        <item m="1" x="39"/>
        <item m="1" x="40"/>
        <item x="2"/>
        <item x="0"/>
        <item x="1"/>
        <item x="3"/>
        <item x="4"/>
        <item x="5"/>
        <item x="6"/>
        <item x="7"/>
        <item x="8"/>
        <item x="9"/>
        <item x="10"/>
        <item x="11"/>
        <item x="12"/>
        <item x="13"/>
        <item x="14"/>
        <item x="15"/>
        <item x="16"/>
        <item x="17"/>
        <item x="18"/>
        <item x="19"/>
        <item x="20"/>
        <item x="21"/>
        <item x="22"/>
        <item x="23"/>
        <item x="24"/>
        <item x="25"/>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27">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5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2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8:G264" firstHeaderRow="0" firstDataRow="1" firstDataCol="1" rowPageCount="3" colPageCount="1"/>
  <pivotFields count="14">
    <pivotField axis="axisPage" showAll="0">
      <items count="43">
        <item m="1" x="26"/>
        <item m="1" x="27"/>
        <item m="1" x="28"/>
        <item m="1" x="29"/>
        <item m="1" x="30"/>
        <item m="1" x="31"/>
        <item m="1" x="41"/>
        <item m="1" x="32"/>
        <item m="1" x="33"/>
        <item m="1" x="34"/>
        <item m="1" x="35"/>
        <item m="1" x="36"/>
        <item m="1" x="37"/>
        <item m="1" x="38"/>
        <item m="1" x="39"/>
        <item m="1" x="40"/>
        <item x="2"/>
        <item x="0"/>
        <item x="1"/>
        <item x="3"/>
        <item x="4"/>
        <item x="5"/>
        <item x="6"/>
        <item x="7"/>
        <item x="8"/>
        <item x="9"/>
        <item x="10"/>
        <item x="11"/>
        <item x="12"/>
        <item x="13"/>
        <item x="14"/>
        <item x="15"/>
        <item x="16"/>
        <item x="17"/>
        <item x="18"/>
        <item x="19"/>
        <item x="20"/>
        <item x="21"/>
        <item x="22"/>
        <item x="23"/>
        <item x="24"/>
        <item x="25"/>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2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115"/>
        <item m="1" x="116"/>
        <item m="1" x="117"/>
        <item m="1" x="118"/>
        <item m="1" x="119"/>
        <item m="1" x="120"/>
        <item m="1" x="121"/>
        <item m="1" x="122"/>
        <item m="1" x="123"/>
        <item m="1" x="124"/>
        <item m="1" x="125"/>
        <item m="1" x="126"/>
        <item m="1" x="127"/>
        <item m="1" x="128"/>
        <item m="1" x="129"/>
        <item m="1" x="130"/>
        <item m="1" x="131"/>
        <item m="1" x="132"/>
        <item m="1" x="161"/>
        <item m="1" x="133"/>
        <item m="1" x="134"/>
        <item m="1" x="135"/>
        <item m="1" x="136"/>
        <item m="1" x="137"/>
        <item m="1" x="138"/>
        <item m="1" x="150"/>
        <item m="1" x="139"/>
        <item m="1" x="140"/>
        <item m="1" x="141"/>
        <item m="1" x="142"/>
        <item m="1" x="143"/>
        <item m="1" x="144"/>
        <item m="1" x="145"/>
        <item m="1" x="146"/>
        <item m="1" x="147"/>
        <item m="1" x="148"/>
        <item m="1" x="149"/>
        <item m="1" x="151"/>
        <item m="1" x="152"/>
        <item m="1" x="153"/>
        <item m="1" x="154"/>
        <item m="1" x="155"/>
        <item m="1" x="156"/>
        <item m="1" x="157"/>
        <item m="1" x="158"/>
        <item m="1" x="159"/>
        <item m="1" x="160"/>
        <item m="1" x="162"/>
        <item m="1" x="163"/>
        <item m="1" x="164"/>
        <item m="1" x="165"/>
        <item m="1" x="166"/>
        <item m="1" x="167"/>
        <item m="1" x="168"/>
        <item m="1" x="169"/>
        <item m="1" x="170"/>
        <item m="1" x="171"/>
        <item m="1" x="172"/>
        <item m="1" x="173"/>
        <item m="1" x="174"/>
        <item m="1" x="175"/>
        <item m="1" x="176"/>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t="default"/>
      </items>
    </pivotField>
    <pivotField showAll="0"/>
    <pivotField axis="axisPage" multipleItemSelectionAllowed="1" showAll="0">
      <items count="113">
        <item m="1" x="66"/>
        <item m="1" x="95"/>
        <item m="1" x="96"/>
        <item m="1" x="104"/>
        <item m="1" x="94"/>
        <item m="1" x="93"/>
        <item m="1" x="97"/>
        <item m="1" x="108"/>
        <item m="1" x="100"/>
        <item m="1" x="101"/>
        <item m="1" x="98"/>
        <item m="1" x="99"/>
        <item m="1" x="109"/>
        <item m="1" x="102"/>
        <item m="1" x="103"/>
        <item m="1" x="106"/>
        <item m="1" x="107"/>
        <item m="1" x="105"/>
        <item m="1" x="61"/>
        <item m="1" x="111"/>
        <item m="1" x="60"/>
        <item m="1" x="110"/>
        <item m="1" x="63"/>
        <item m="1" x="62"/>
        <item m="1" x="64"/>
        <item m="1" x="70"/>
        <item m="1" x="65"/>
        <item m="1" x="67"/>
        <item m="1" x="71"/>
        <item m="1" x="72"/>
        <item m="1" x="91"/>
        <item m="1" x="68"/>
        <item m="1" x="69"/>
        <item x="28"/>
        <item x="50"/>
        <item m="1" x="92"/>
        <item m="1" x="73"/>
        <item m="1" x="74"/>
        <item m="1" x="75"/>
        <item m="1" x="76"/>
        <item m="1" x="77"/>
        <item x="2"/>
        <item m="1" x="78"/>
        <item m="1" x="79"/>
        <item m="1" x="80"/>
        <item m="1" x="81"/>
        <item m="1" x="82"/>
        <item m="1" x="83"/>
        <item m="1" x="84"/>
        <item m="1" x="85"/>
        <item m="1" x="86"/>
        <item m="1" x="87"/>
        <item m="1" x="88"/>
        <item m="1" x="89"/>
        <item m="1" x="90"/>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16">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138">
      <pivotArea dataOnly="0" labelOnly="1" outline="0" fieldPosition="0">
        <references count="1">
          <reference field="1" count="1">
            <x v="1"/>
          </reference>
        </references>
      </pivotArea>
    </format>
    <format dxfId="13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2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1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2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2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4"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3">
        <item m="1" x="95"/>
        <item m="1" x="96"/>
        <item m="1" x="94"/>
        <item m="1" x="93"/>
        <item m="1" x="97"/>
        <item m="1" x="99"/>
        <item m="1" x="98"/>
        <item m="1" x="100"/>
        <item m="1" x="101"/>
        <item m="1" x="102"/>
        <item m="1" x="103"/>
        <item m="1" x="104"/>
        <item m="1" x="105"/>
        <item m="1" x="106"/>
        <item x="28"/>
        <item x="50"/>
        <item m="1" x="107"/>
        <item m="1" x="108"/>
        <item m="1" x="109"/>
        <item m="1" x="61"/>
        <item m="1" x="60"/>
        <item m="1" x="110"/>
        <item m="1" x="111"/>
        <item m="1" x="70"/>
        <item m="1" x="62"/>
        <item m="1" x="63"/>
        <item m="1" x="64"/>
        <item m="1" x="65"/>
        <item m="1" x="66"/>
        <item m="1" x="67"/>
        <item m="1" x="68"/>
        <item m="1" x="69"/>
        <item m="1" x="71"/>
        <item m="1" x="91"/>
        <item m="1" x="72"/>
        <item m="1" x="92"/>
        <item m="1" x="73"/>
        <item m="1" x="74"/>
        <item m="1" x="75"/>
        <item m="1" x="76"/>
        <item m="1" x="77"/>
        <item x="2"/>
        <item m="1" x="78"/>
        <item m="1" x="79"/>
        <item m="1" x="80"/>
        <item m="1" x="81"/>
        <item m="1" x="82"/>
        <item m="1" x="83"/>
        <item m="1" x="84"/>
        <item m="1" x="85"/>
        <item m="1" x="86"/>
        <item m="1" x="87"/>
        <item m="1" x="88"/>
        <item m="1" x="89"/>
        <item m="1" x="90"/>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1">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87">
      <pivotArea type="all" dataOnly="0" outline="0" fieldPosition="0"/>
    </format>
    <format dxfId="86">
      <pivotArea outline="0" collapsedLevelsAreSubtotals="1" fieldPosition="0"/>
    </format>
    <format dxfId="85">
      <pivotArea field="4" type="button" dataOnly="0" labelOnly="1" outline="0" axis="axisRow" fieldPosition="0"/>
    </format>
    <format dxfId="84">
      <pivotArea dataOnly="0" labelOnly="1" fieldPosition="0">
        <references count="1">
          <reference field="4" count="0"/>
        </references>
      </pivotArea>
    </format>
    <format dxfId="83">
      <pivotArea dataOnly="0" labelOnly="1" grandRow="1" outline="0" fieldPosition="0"/>
    </format>
    <format dxfId="82">
      <pivotArea dataOnly="0" labelOnly="1" outline="0" fieldPosition="0">
        <references count="1">
          <reference field="4294967294" count="2">
            <x v="0"/>
            <x v="1"/>
          </reference>
        </references>
      </pivotArea>
    </format>
    <format dxfId="81">
      <pivotArea grandRow="1" outline="0" collapsedLevelsAreSubtotals="1" fieldPosition="0"/>
    </format>
    <format dxfId="80">
      <pivotArea field="4" type="button" dataOnly="0" labelOnly="1" outline="0" axis="axisRow" fieldPosition="0"/>
    </format>
    <format dxfId="79">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2">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17" s="1"/>
        <i x="55" s="1"/>
        <i x="9" s="1"/>
        <i x="66" s="1" nd="1"/>
        <i x="95" s="1" nd="1"/>
        <i x="96" s="1" nd="1"/>
        <i x="104" s="1" nd="1"/>
        <i x="94" s="1" nd="1"/>
        <i x="93" s="1" nd="1"/>
        <i x="97" s="1" nd="1"/>
        <i x="108" s="1" nd="1"/>
        <i x="100" s="1" nd="1"/>
        <i x="101" s="1" nd="1"/>
        <i x="98" s="1" nd="1"/>
        <i x="99" s="1" nd="1"/>
        <i x="109" s="1" nd="1"/>
        <i x="102" s="1" nd="1"/>
        <i x="103" s="1" nd="1"/>
        <i x="106" s="1" nd="1"/>
        <i x="107" s="1" nd="1"/>
        <i x="105" s="1" nd="1"/>
        <i x="61" s="1" nd="1"/>
        <i x="111" s="1" nd="1"/>
        <i x="60" s="1" nd="1"/>
        <i x="110" s="1" nd="1"/>
        <i x="63" s="1" nd="1"/>
        <i x="62" s="1" nd="1"/>
        <i x="64" s="1" nd="1"/>
        <i x="70" s="1" nd="1"/>
        <i x="65" s="1" nd="1"/>
        <i x="67" s="1" nd="1"/>
        <i x="83" s="1" nd="1"/>
        <i x="71" s="1" nd="1"/>
        <i x="77" s="1" nd="1"/>
        <i x="72" s="1" nd="1"/>
        <i x="75" s="1" nd="1"/>
        <i x="80" s="1" nd="1"/>
        <i x="91" s="1" nd="1"/>
        <i x="73" s="1" nd="1"/>
        <i x="85" s="1" nd="1"/>
        <i x="88" s="1" nd="1"/>
        <i x="79" s="1" nd="1"/>
        <i x="68" s="1" nd="1"/>
        <i x="76" s="1" nd="1"/>
        <i x="69" s="1" nd="1"/>
        <i x="74" s="1" nd="1"/>
        <i x="78" s="1" nd="1"/>
        <i x="84" s="1" nd="1"/>
        <i x="81" s="1" nd="1"/>
        <i x="86" s="1" nd="1"/>
        <i x="82" s="1" nd="1"/>
        <i x="87" s="1" nd="1"/>
        <i x="89" s="1" nd="1"/>
        <i x="90" s="1" nd="1"/>
        <i x="92"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71">
      <calculatedColumnFormula>B26</calculatedColumnFormula>
    </tableColumn>
    <tableColumn id="2" xr3:uid="{7EDCC2ED-0339-42B3-9633-FFEA7A3DD9F3}" name="Tiyaar" dataDxfId="170">
      <calculatedColumnFormula>SUMIFS(ledger!G:G, ledger!B:B, B4, ledger!E:E, "&lt;&gt;*RD*") / 1.0936</calculatedColumnFormula>
    </tableColumn>
    <tableColumn id="3" xr3:uid="{CC1535DD-3FE7-4F55-8040-E7643388A78E}" name="Rate"/>
    <tableColumn id="4" xr3:uid="{059CB70B-ADAD-4985-84AA-0D530BAC5567}" name="Total" dataDxfId="16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68" dataDxfId="167">
  <autoFilter ref="B7:E20" xr:uid="{449E5D32-DF9C-4018-96AB-CA98E118D910}"/>
  <tableColumns count="4">
    <tableColumn id="1" xr3:uid="{F663704C-91DD-4BB9-B7EB-EEB0C5EDED6C}" name="Description" dataDxfId="166"/>
    <tableColumn id="2" xr3:uid="{6D94D495-CD0B-4FD3-9771-81D731982A97}" name="Rate" dataDxfId="165" dataCellStyle="Comma"/>
    <tableColumn id="3" xr3:uid="{2D14CEAD-3602-40E7-A488-3584EBC9141E}" name="gazana" dataDxfId="164" dataCellStyle="Comma"/>
    <tableColumn id="4" xr3:uid="{06FEE63C-6480-4079-8426-51BC26B38B34}" name="sum" dataDxfId="16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62" totalsRowDxfId="17"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61" dataDxfId="160" headerRowCellStyle="Comma" dataCellStyle="Comma">
  <autoFilter ref="B2:C5" xr:uid="{136E8F7F-D03F-4198-8335-91A003EA9E45}"/>
  <tableColumns count="2">
    <tableColumn id="1" xr3:uid="{279FA697-9952-479A-AC05-0D4992B41374}" name="Column1" dataDxfId="159" dataCellStyle="Comma"/>
    <tableColumn id="2" xr3:uid="{8A64998B-65EF-41CD-BCB0-3DDB7B359C54}" name="Column2" dataDxfId="15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57"/>
    <tableColumn id="2" xr3:uid="{51D27FA2-8DDF-4369-BAF7-7D1FE90E16A0}" name="Column2" dataDxfId="15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55" totalsRowDxfId="15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5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25" totalsRowCount="1" headerRowDxfId="151" dataDxfId="150" headerRowCellStyle="Comma" dataCellStyle="Comma">
  <autoFilter ref="A1:K124" xr:uid="{11DACEC6-751B-4B1D-817F-5C5BCD38EF6D}">
    <filterColumn colId="0">
      <filters>
        <dateGroupItem year="2025" month="9" day="1" dateTimeGrouping="day"/>
        <dateGroupItem year="2025" month="9" day="2" dateTimeGrouping="day"/>
        <dateGroupItem year="2025" month="9" day="3" dateTimeGrouping="day"/>
        <dateGroupItem year="2025" month="9" day="5" dateTimeGrouping="day"/>
        <dateGroupItem year="2025" month="9" day="7" dateTimeGrouping="day"/>
        <dateGroupItem year="2025" month="9" day="8" dateTimeGrouping="day"/>
        <dateGroupItem year="2025" month="9" day="9" dateTimeGrouping="day"/>
        <dateGroupItem year="2025" month="9" day="10" dateTimeGrouping="day"/>
        <dateGroupItem year="2025" month="9" day="11" dateTimeGrouping="day"/>
        <dateGroupItem year="2025" month="9" day="12" dateTimeGrouping="day"/>
        <dateGroupItem year="2025" month="9" day="13" dateTimeGrouping="day"/>
        <dateGroupItem year="2025" month="9" day="15" dateTimeGrouping="day"/>
        <dateGroupItem year="2025" month="9" day="16" dateTimeGrouping="day"/>
      </filters>
    </filterColumn>
  </autoFilter>
  <tableColumns count="11">
    <tableColumn id="1" xr3:uid="{2FCE3FA8-A48C-4685-8919-AE44C6C71FD9}" name="Date" dataDxfId="149" dataCellStyle="Comma"/>
    <tableColumn id="2" xr3:uid="{5780FD5F-0890-44E6-B59C-8E37A559FE36}" name="Party Name" dataDxfId="148" dataCellStyle="Comma"/>
    <tableColumn id="3" xr3:uid="{5B3ECD85-9174-40AC-BFBD-49CAC97A83D3}" name="Bill Number" dataDxfId="147" dataCellStyle="Comma"/>
    <tableColumn id="4" xr3:uid="{11B50761-04B6-4262-AD4D-7182450037D1}" name="Quality" dataDxfId="146" dataCellStyle="Comma"/>
    <tableColumn id="5" xr3:uid="{2C556969-B713-4967-BD24-466AACCBE5F5}" name="Shipment Number" dataDxfId="145" totalsRowDxfId="72" dataCellStyle="Comma"/>
    <tableColumn id="6" xr3:uid="{F4E1FD2B-9017-4DEB-B772-BF447ECE56F7}" name="Kora/metre" dataDxfId="144" totalsRowDxfId="71" dataCellStyle="Comma"/>
    <tableColumn id="7" xr3:uid="{52ACC1DA-7A76-4A90-B809-3A1AE728E7EA}" name="Tiyaar/gaz" dataDxfId="143" totalsRowDxfId="70" dataCellStyle="Comma"/>
    <tableColumn id="8" xr3:uid="{31A0FF5E-56F0-44D1-9865-73256B964660}" name="shortage %" dataDxfId="142" totalsRowDxfId="69" dataCellStyle="Comma">
      <calculatedColumnFormula>_xlfn.XLOOKUP(Table1[[#This Row],[Shipment Number]], 'pivot '!A:A,'pivot '!G:G, "NF")</calculatedColumnFormula>
    </tableColumn>
    <tableColumn id="9" xr3:uid="{F99075E0-AC8E-094D-BB85-272AD2C6C568}" name="tiyar/meters" totalsRowFunction="custom" dataDxfId="141" totalsRowDxfId="68"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140" totalsRowDxfId="67"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139" totalsRowDxfId="18"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136" headerRowBorderDxfId="135" tableBorderDxfId="134">
  <autoFilter ref="A1:I64" xr:uid="{F8E8C957-ABE7-4E4F-8D4E-7D44E26B334F}"/>
  <tableColumns count="9">
    <tableColumn id="1" xr3:uid="{C2E817D6-AB98-4DDD-8890-736B27F261CD}" name="Date" totalsRowLabel="." dataDxfId="133" totalsRowDxfId="59"/>
    <tableColumn id="2" xr3:uid="{CFB51890-CCDC-463C-81C9-3F8BD7469CB9}" name="Party Name"/>
    <tableColumn id="3" xr3:uid="{A113D971-1C9D-4733-99C4-BD0CC4333209}" name="Vehicle Number"/>
    <tableColumn id="4" xr3:uid="{49780304-3DD1-4AE9-98EE-2BC7EB8F3B57}" name="Weight" dataDxfId="132" totalsRowDxfId="58" dataCellStyle="Comma"/>
    <tableColumn id="5" xr3:uid="{FCAF1BC6-1D8C-42AD-8BBC-F924BF2DC7FE}" name="Rate" dataDxfId="131" totalsRowDxfId="57" dataCellStyle="Comma"/>
    <tableColumn id="6" xr3:uid="{8C70A624-4134-410C-9C45-9FDEB51D51BF}" name="Rent" dataDxfId="130" totalsRowDxfId="56" dataCellStyle="Comma"/>
    <tableColumn id="7" xr3:uid="{EBCE10AE-9634-4982-9C95-37ABC8A7078C}" name="Total" totalsRowFunction="sum" dataDxfId="129" totalsRowDxfId="55" dataCellStyle="Comma">
      <calculatedColumnFormula>D2*E2</calculatedColumnFormula>
    </tableColumn>
    <tableColumn id="9" xr3:uid="{D4788559-C94A-44D9-B9AE-E72B214355AC}" name="Paid" totalsRowFunction="sum" dataDxfId="128" totalsRowDxfId="54" dataCellStyle="Comma"/>
    <tableColumn id="8" xr3:uid="{E26F5BF0-1875-4FC6-994D-49F202ED562B}" name="balance" totalsRowFunction="sum" dataDxfId="127" totalsRowDxfId="53"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06" totalsRowCount="1">
  <autoFilter ref="A1:G405" xr:uid="{CB032221-B416-47A8-9A76-693DE76CFD04}"/>
  <tableColumns count="7">
    <tableColumn id="1" xr3:uid="{554B1EED-65B6-4E9A-B646-82727FAC40DE}" name="Date" dataDxfId="125" totalsRowDxfId="65"/>
    <tableColumn id="2" xr3:uid="{32259059-42CF-4947-83DE-115AA430BE2B}" name="Party"/>
    <tableColumn id="3" xr3:uid="{A1320223-D55D-483C-91C3-AB19B95CC9D8}" name="Debit" totalsRowFunction="sum" dataDxfId="124" totalsRowDxfId="64" dataCellStyle="Comma"/>
    <tableColumn id="4" xr3:uid="{E9745767-9FF0-4B1C-9052-FF335D1D7588}" name="Credit" totalsRowFunction="sum" dataDxfId="123" totalsRowDxfId="63" dataCellStyle="Comma"/>
    <tableColumn id="5" xr3:uid="{5C88A48E-2467-4E6D-B626-2442B7FD0BE4}" name="Description"/>
    <tableColumn id="6" xr3:uid="{63CA4666-144E-4BE6-8B7C-7CB992BD3041}" name="Mode" totalsRowFunction="custom" dataDxfId="122" totalsRowDxfId="6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121" tableBorderDxfId="120" totalsRowBorderDxfId="119">
  <autoFilter ref="J3:K6" xr:uid="{DCE01694-23ED-48BF-8B92-4186B9ED10A8}"/>
  <tableColumns count="2">
    <tableColumn id="1" xr3:uid="{C8484DAF-2989-4C2F-9AEC-A6917E1C57F6}" name="Type" dataDxfId="118"/>
    <tableColumn id="2" xr3:uid="{B07B7A2A-4D4E-4654-BED6-FE2F0A7BEC34}" name="Amount" dataDxfId="11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116" headerRowBorderDxfId="115" tableBorderDxfId="114" totalsRowBorderDxfId="113">
  <autoFilter ref="Q8:S11" xr:uid="{D166BDD1-ACD7-45D7-8AE9-7350373F8CEB}"/>
  <tableColumns count="3">
    <tableColumn id="1" xr3:uid="{64F0205E-DEA7-4571-BA86-E4374A5FEE28}" name="Type" totalsRowLabel="Total" dataDxfId="112" totalsRowDxfId="111"/>
    <tableColumn id="2" xr3:uid="{15FA05F9-789C-4459-9BE0-5C1EC84D3365}" name="amount" totalsRowFunction="custom" dataDxfId="110" totalsRowDxfId="109">
      <totalsRowFormula>SUM(R10:R11)</totalsRowFormula>
    </tableColumn>
    <tableColumn id="3" xr3:uid="{3681D409-90C6-44D0-BDE2-4B5943A516F0}" name="Actual" totalsRowFunction="custom" totalsRowDxfId="108">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107" totalsRowDxfId="106"/>
    <tableColumn id="2" xr3:uid="{5B9D0FEE-4304-4C5C-A05C-5B27CF7841D3}" name="Type"/>
    <tableColumn id="3" xr3:uid="{6A91CA0D-C802-4C6F-9F39-CA53687E8EDE}" name="Description"/>
    <tableColumn id="4" xr3:uid="{A251D40C-AB87-4BB4-85F8-444B20E32FDF}" name="Total" totalsRowFunction="custom" dataDxfId="105" totalsRowDxfId="10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103" headerRowBorderDxfId="102">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0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10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99" headerRowBorderDxfId="98">
  <autoFilter ref="A4:H15" xr:uid="{A4C80688-A8BA-4BA7-90B4-791CD99446B4}">
    <filterColumn colId="1">
      <filters>
        <filter val="Finish"/>
      </filters>
    </filterColumn>
  </autoFilter>
  <sortState xmlns:xlrd2="http://schemas.microsoft.com/office/spreadsheetml/2017/richdata2" ref="A5:H5">
    <sortCondition ref="A4:A5"/>
  </sortState>
  <tableColumns count="8">
    <tableColumn id="1" xr3:uid="{4A818912-918E-4111-ACFC-BC93FEF7C1AD}" name="Date" dataDxfId="97" totalsRowDxfId="96"/>
    <tableColumn id="8" xr3:uid="{477ACFD5-62AF-4F69-974B-E9B974C11D7D}" name="Party Name" dataDxfId="9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94">
      <calculatedColumnFormula>SUMIFS(Table14[Debit], Table14[Date], Table2[[#This Row],[Date]], Table14[Party], Table2[[#This Row],[Party Name]])</calculatedColumnFormula>
    </tableColumn>
    <tableColumn id="7" xr3:uid="{BB689DF2-5D1E-436D-84C4-9745D88E8F3D}" name="Balance" totalsRowFunction="sum" dataDxfId="93">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92" totalsRowDxfId="9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90" totalsRowDxfId="61"/>
    <tableColumn id="2" xr3:uid="{053BFC14-4828-417C-9F9F-95B6E232A945}" name="Amount" totalsRowFunction="custom" dataDxfId="89" totalsRowDxfId="60"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88" totalsRowDxfId="6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78" totalsRowDxfId="77"/>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76" totalsRowDxfId="75"/>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74">
      <calculatedColumnFormula>Billing!O5</calculatedColumnFormula>
    </tableColumn>
    <tableColumn id="2" xr3:uid="{7093A59E-B58F-487D-888A-9AA8156B5F9A}" name="Amount Paid" dataDxfId="73">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605593.45281638624</v>
      </c>
      <c r="D4">
        <v>10</v>
      </c>
      <c r="E4" s="14">
        <f>(SUMIFS(ledger!G:G, ledger!B:B, B4, ledger!E:E, "&lt;&gt;*RD*",ledger!D:D, "Silky") / 1.0936)*12 + (SUMIFS(ledger!G:G, ledger!B:B, B4, ledger!E:E, "&lt;&gt;*RD*",ledger!D:D, "Chamki") / 1.0936)*10</f>
        <v>6015662.0336503293</v>
      </c>
      <c r="I4" s="4" t="s">
        <v>9</v>
      </c>
      <c r="J4" s="5">
        <v>55363.935625457212</v>
      </c>
      <c r="K4" s="18">
        <v>553639.35625457217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605593.45281638624</v>
      </c>
      <c r="K5" s="18">
        <v>6015662.0336503293</v>
      </c>
      <c r="O5" s="25" t="str" cm="1">
        <f t="array" ref="O5:O16">_xlfn.UNIQUE(Table1[Party Name])</f>
        <v>BSC</v>
      </c>
      <c r="P5" s="23" cm="1">
        <f t="array" ref="P5">_xlfn.BYROW(B26,_xlfn.LAMBDA(_xlpm.party,SUMIFS(ledger!G:G,ledger!B:B,_xlpm.party,ledger!E:E,"&lt;&gt;*RD*")))+_xlfn.IFNA(C44,0)</f>
        <v>1115320</v>
      </c>
      <c r="Q5" s="23" cm="1">
        <f t="array" ref="Q5">_xlfn.BYROW(B26, _xlfn.LAMBDA(_xlpm.party, SUMIFS(ledger!G:G, ledger!B:B, _xlpm.party, ledger!E:E, "&lt;&gt;*RD*") / 1.0936 ))+_xlfn.IFNA(D44,0)</f>
        <v>1019861.0095098757</v>
      </c>
      <c r="R5" s="23" cm="1">
        <f t="array" ref="R5">(_xlfn.BYROW(B26,_xlfn.LAMBDA(_xlpm.party,SUMIFS(ledger!G:G,ledger!B:B,_xlpm.party,ledger!E:E,"&lt;&gt;*RD*",ledger!D:D,"Chamki")+SUMIFS(ledger!G:G, ledger!B:B, _xlpm.party, ledger!E:E, "&lt;&gt;*RD*", ledger!D:D, "Crinkle")))/1.0936)+_xlfn.IFNA(E44,0)</f>
        <v>1005309.0709583029</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10053090.709583029</v>
      </c>
      <c r="U5" s="23" cm="1">
        <f t="array" ref="U5">(_xlfn.BYROW(B26,_xlfn.LAMBDA(_xlpm.party,SUMIFS(ledger!G:G,ledger!B:B,_xlpm.party,ledger!E:E,"&lt;&gt;*RD*",ledger!D:D, "Silky")/1.0936))* 12)+_xlfn.IFNA(H44,0)</f>
        <v>174623.26261887344</v>
      </c>
      <c r="V5" s="44">
        <f>T5+U5</f>
        <v>10227713.972201902</v>
      </c>
      <c r="W5" s="23">
        <f>(SUMIF(Table14[Party],O5,Table14[Credit]))+_xlfn.IFNA(J44,0)</f>
        <v>7158783</v>
      </c>
      <c r="X5" s="98">
        <f>V5-W5</f>
        <v>3068930.9722019024</v>
      </c>
      <c r="Y5" s="22">
        <v>10</v>
      </c>
      <c r="Z5" s="22">
        <v>12</v>
      </c>
    </row>
    <row r="6" spans="2:26" x14ac:dyDescent="0.3">
      <c r="B6" t="str">
        <f t="shared" si="0"/>
        <v>Arshad</v>
      </c>
      <c r="C6" s="18">
        <f>SUMIFS(ledger!G:G, ledger!B:B, B6, ledger!E:E, "&lt;&gt;*RD*") / 1.0936</f>
        <v>55363.935625457212</v>
      </c>
      <c r="D6">
        <v>10</v>
      </c>
      <c r="E6" s="14">
        <f>(SUMIFS(ledger!G:G, ledger!B:B, B6, ledger!E:E, "&lt;&gt;*RD*",ledger!D:D, "Silky") / 1.0936)*12 + (SUMIFS(ledger!G:G, ledger!B:B, B6, ledger!E:E, "&lt;&gt;*RD*",ledger!D:D, "Chamki") / 1.0936)*10</f>
        <v>553639.35625457217</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144226</v>
      </c>
      <c r="Q7" s="23" cm="1">
        <f t="array" ref="Q7">_xlfn.BYROW(B28, _xlfn.LAMBDA(_xlpm.party, SUMIFS(ledger!G:G, ledger!B:B, _xlpm.party, ledger!E:E, "&lt;&gt;*RD*") / 1.0936 ))+_xlfn.IFNA(D46,0)</f>
        <v>131881.8580833943</v>
      </c>
      <c r="R7" s="23" cm="1">
        <f t="array" ref="R7">(_xlfn.BYROW(B28,_xlfn.LAMBDA(_xlpm.party,SUMIFS(ledger!G:G,ledger!B:B,_xlpm.party,ledger!E:E,"&lt;&gt;*RD*",ledger!D:D,"Chamki")+SUMIFS(ledger!G:G, ledger!B:B, _xlpm.party, ledger!E:E, "&lt;&gt;*RD*", ledger!D:D, "Crinkle")))/1.0936)+_xlfn.IFNA(E46,0)</f>
        <v>131881.8580833943</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1318818.5808339431</v>
      </c>
      <c r="U7" s="23" cm="1">
        <f t="array" ref="U7">(_xlfn.BYROW(B28,_xlfn.LAMBDA(_xlpm.party,SUMIFS(ledger!G:G,ledger!B:B,_xlpm.party,ledger!E:E,"&lt;&gt;*RD*",ledger!D:D, "Silky")/1.0936))* 12)+_xlfn.IFNA(H46,0)</f>
        <v>0</v>
      </c>
      <c r="V7" s="44">
        <f t="shared" si="1"/>
        <v>1318818.5808339431</v>
      </c>
      <c r="W7" s="23">
        <f>(SUMIF(Table14[Party],O7,Table14[Credit]))+_xlfn.IFNA(J46,0)</f>
        <v>754210</v>
      </c>
      <c r="X7" s="98">
        <f>V7-W7</f>
        <v>564608.5808339431</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13692143.379663497</v>
      </c>
      <c r="D16" t="s">
        <v>30</v>
      </c>
      <c r="I16" s="4" t="s">
        <v>28</v>
      </c>
      <c r="J16" s="14">
        <v>1345160.9363569859</v>
      </c>
      <c r="K16" s="14">
        <v>13580146.305779077</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13692143.379663495</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662277</v>
      </c>
      <c r="D26" s="23" cm="1">
        <f t="array" ref="D26:D37">_xlfn.BYROW(_xlfn.ANCHORARRAY(B26), _xlfn.LAMBDA(_xlpm.party, SUMIFS(ledger!G:G, ledger!B:B, _xlpm.party, ledger!E:E, "&lt;&gt;*RD*") / 1.0936 ))</f>
        <v>605593.45281638624</v>
      </c>
      <c r="E26" s="71" cm="1">
        <f t="array" ref="E26:E37">(_xlfn.BYROW(_xlfn.ANCHORARRAY(B26),_xlfn.LAMBDA(_xlpm.party,SUMIFS(ledger!G:G,ledger!B:B,_xlpm.party,ledger!E:E,"&lt;&gt;*RD*",ledger!D:D,"Chamki")+SUMIFS(ledger!G:G, ledger!B:B, _xlpm.party, ledger!E:E, "&lt;&gt;*RD*", ledger!D:D, "Crinkle")))/1.0936)</f>
        <v>591041.51426481351</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5910415.1426481353</v>
      </c>
      <c r="H26" s="23" cm="1">
        <f t="array" ref="H26">(_xlfn.BYROW(B26,_xlfn.LAMBDA(_xlpm.party,SUMIFS(ledger!G:G,ledger!B:B,_xlpm.party,ledger!E:E,"&lt;&gt;*RD*",ledger!D:D, "Silky")/1.0936))* M26)</f>
        <v>174623.26261887344</v>
      </c>
      <c r="I26" s="44">
        <f t="shared" ref="I26:I34" si="7">G26+H26</f>
        <v>6085038.4052670086</v>
      </c>
      <c r="J26" s="23">
        <f>(SUMIF(Table14[Party],B26,Table14[Credit]))</f>
        <v>3329945</v>
      </c>
      <c r="K26" s="42">
        <f>I26-J26</f>
        <v>2755093.4052670086</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60546</v>
      </c>
      <c r="D28" s="23">
        <v>55363.935625457212</v>
      </c>
      <c r="E28" s="71">
        <v>55363.935625457212</v>
      </c>
      <c r="F28" s="78">
        <v>0</v>
      </c>
      <c r="G28" s="23" cm="1">
        <f t="array" ref="G28">(_xlfn.BYROW(B28,_xlfn.LAMBDA(_xlpm.party,(SUMIFS(ledger!G:G,ledger!B:B,_xlpm.party,ledger!E:E,"&lt;&gt;*RD*",ledger!D:D, "Chamki")+SUMIFS(ledger!G:G, ledger!B:B, _xlpm.party, ledger!E:E, "&lt;&gt;*RD*", ledger!D:D, "Crinkle"))/1.0936))*L28)</f>
        <v>553639.35625457217</v>
      </c>
      <c r="H28" s="23" cm="1">
        <f t="array" ref="H28">(_xlfn.BYROW(B28,_xlfn.LAMBDA(_xlpm.party,SUMIFS(ledger!G:G,ledger!B:B,_xlpm.party,ledger!E:E,"&lt;&gt;*RD*",ledger!D:D, "Silky")/1.0936))* M28)</f>
        <v>0</v>
      </c>
      <c r="I28" s="44">
        <f t="shared" si="7"/>
        <v>553639.35625457217</v>
      </c>
      <c r="J28" s="23">
        <f>(SUMIF(Table14[Party],B28,Table14[Credit]))</f>
        <v>654210</v>
      </c>
      <c r="K28" s="42">
        <f>I28-J28</f>
        <v>-100570.64374542783</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1115320</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1019861.0095098757</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1005309.0709583029</v>
      </c>
      <c r="E12" s="103">
        <f ca="1">Table21[[#This Row],[gazana]]*Table21[[#This Row],[Rate]]</f>
        <v>10053090.709583029</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10227713.972201902</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3068930.9722019024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C19" sqref="C19"/>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358</v>
      </c>
    </row>
    <row r="5" spans="1:4" x14ac:dyDescent="0.3">
      <c r="B5" t="s">
        <v>50</v>
      </c>
      <c r="C5" s="11">
        <f>SUM(Table8[Price])-Table24[[#Totals],[total]]</f>
        <v>949920</v>
      </c>
      <c r="D5" t="s">
        <v>359</v>
      </c>
    </row>
    <row r="6" spans="1:4" x14ac:dyDescent="0.3">
      <c r="B6" t="s">
        <v>51</v>
      </c>
      <c r="C6" s="11">
        <f>SUM(Table2[Price])</f>
        <v>883400</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1572400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11278587</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H20" sqref="H20"/>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13692143.379663495</v>
      </c>
      <c r="D3" t="s">
        <v>70</v>
      </c>
    </row>
    <row r="4" spans="1:4" x14ac:dyDescent="0.3">
      <c r="B4" s="11" t="s">
        <v>46</v>
      </c>
      <c r="C4" s="11">
        <f>Table12[[#Totals],[Amount]]</f>
        <v>11278587</v>
      </c>
    </row>
    <row r="5" spans="1:4" x14ac:dyDescent="0.3">
      <c r="A5" s="6"/>
      <c r="B5" s="15" t="s">
        <v>71</v>
      </c>
      <c r="C5" s="15">
        <f ca="1">C3-C4</f>
        <v>2413556.3796634953</v>
      </c>
    </row>
    <row r="10" spans="1:4" ht="15" thickBot="1" x14ac:dyDescent="0.35">
      <c r="B10" t="s">
        <v>68</v>
      </c>
      <c r="C10" s="14" t="s">
        <v>69</v>
      </c>
    </row>
    <row r="11" spans="1:4" x14ac:dyDescent="0.3">
      <c r="B11" s="64" t="s">
        <v>0</v>
      </c>
      <c r="C11" s="65">
        <f ca="1">C3</f>
        <v>13692143.379663495</v>
      </c>
    </row>
    <row r="12" spans="1:4" x14ac:dyDescent="0.3">
      <c r="B12" s="66" t="s">
        <v>72</v>
      </c>
      <c r="C12" s="67">
        <f>SUM(Table14[Credit])</f>
        <v>11324846</v>
      </c>
    </row>
    <row r="13" spans="1:4" ht="15" thickBot="1" x14ac:dyDescent="0.35">
      <c r="B13" s="82" t="s">
        <v>101</v>
      </c>
      <c r="C13" s="81">
        <f ca="1">(C11-C12)</f>
        <v>2367297.3796634953</v>
      </c>
    </row>
    <row r="14" spans="1:4" ht="15" thickBot="1" x14ac:dyDescent="0.35">
      <c r="B14" s="66"/>
      <c r="C14" s="67"/>
    </row>
    <row r="15" spans="1:4" x14ac:dyDescent="0.3">
      <c r="B15" s="64" t="s">
        <v>46</v>
      </c>
      <c r="C15" s="65">
        <f>C4</f>
        <v>11278587</v>
      </c>
    </row>
    <row r="16" spans="1:4" x14ac:dyDescent="0.3">
      <c r="B16" s="66" t="s">
        <v>73</v>
      </c>
      <c r="C16" s="67">
        <f>SUM(Table14[Debit])</f>
        <v>11353933</v>
      </c>
    </row>
    <row r="17" spans="2:6" ht="15" thickBot="1" x14ac:dyDescent="0.35">
      <c r="B17" s="82" t="s">
        <v>74</v>
      </c>
      <c r="C17" s="81">
        <f>C15-C16</f>
        <v>-75346</v>
      </c>
    </row>
    <row r="18" spans="2:6" ht="15" thickBot="1" x14ac:dyDescent="0.35">
      <c r="B18" s="66"/>
      <c r="C18" s="67"/>
    </row>
    <row r="19" spans="2:6" ht="15" thickBot="1" x14ac:dyDescent="0.35">
      <c r="B19" s="83" t="s">
        <v>75</v>
      </c>
      <c r="C19" s="84">
        <f>Table18[[#Totals],[amount]]</f>
        <v>-29087</v>
      </c>
    </row>
    <row r="20" spans="2:6" ht="15" thickBot="1" x14ac:dyDescent="0.35">
      <c r="B20" s="79"/>
      <c r="C20" s="80"/>
    </row>
    <row r="21" spans="2:6" ht="15" thickBot="1" x14ac:dyDescent="0.35">
      <c r="B21" s="68" t="s">
        <v>76</v>
      </c>
      <c r="C21" s="69">
        <f ca="1">(C13-C17)+C19</f>
        <v>2413556.3796634953</v>
      </c>
      <c r="E21" s="87" t="s">
        <v>77</v>
      </c>
      <c r="F21" s="88">
        <f ca="1">C5*0.05</f>
        <v>120677.81898317477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4"/>
  <sheetViews>
    <sheetView topLeftCell="A97" zoomScale="77" workbookViewId="0">
      <selection activeCell="M125" sqref="M125"/>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5.6640625" style="10" bestFit="1" customWidth="1"/>
    <col min="5" max="5" width="15.88671875" style="10" bestFit="1" customWidth="1"/>
    <col min="6" max="6" width="17.6640625" style="10" bestFit="1" customWidth="1"/>
    <col min="7" max="7" width="12.33203125" style="10" bestFit="1" customWidth="1"/>
    <col min="8" max="8" width="18" style="10" bestFit="1" customWidth="1"/>
    <col min="9" max="9" width="13.109375" style="10" bestFit="1" customWidth="1"/>
    <col min="10" max="10" width="17.664062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hidden="1"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hidden="1"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hidden="1"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hidden="1"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hidden="1"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hidden="1"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hidden="1"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hidden="1"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hidden="1"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hidden="1"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hidden="1"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hidden="1"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hidden="1"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hidden="1"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hidden="1"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hidden="1"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hidden="1"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hidden="1"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hidden="1"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hidden="1"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hidden="1"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hidden="1"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hidden="1"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hidden="1"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hidden="1"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hidden="1"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hidden="1"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hidden="1"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hidden="1"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hidden="1"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hidden="1"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hidden="1"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hidden="1"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hidden="1"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hidden="1"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hidden="1"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hidden="1"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hidden="1"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hidden="1"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hidden="1"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hidden="1"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hidden="1"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hidden="1"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hidden="1"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hidden="1"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hidden="1"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hidden="1"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hidden="1"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hidden="1"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hidden="1"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hidden="1"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hidden="1"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hidden="1"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hidden="1"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hidden="1"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hidden="1"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hidden="1"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hidden="1"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hidden="1"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89</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91</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91</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91</v>
      </c>
      <c r="E113" s="11" t="s">
        <v>343</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91</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91</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91</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91</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89</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89</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89</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89</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89</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89</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c r="B125"/>
      <c r="C125"/>
      <c r="D125"/>
      <c r="E125" s="14"/>
      <c r="F125" s="14"/>
      <c r="G125" s="14"/>
      <c r="H125" s="50"/>
      <c r="I125" s="50" cm="1">
        <f t="array" aca="1" ref="I125" ca="1">SUMPRODUCT( SUBTOTAL(109, OFFSET(Table1[tiyar/meters], ROW(Table1[tiyar/meters])-MIN(ROW(Table1[tiyar/meters])), 0, 1)), --(Table1[Bill Number]&lt;&gt;"July Closing CF") )</f>
        <v>700837.60058522318</v>
      </c>
      <c r="J125" s="50" cm="1">
        <f t="array" aca="1" ref="J125" ca="1">SUMPRODUCT( SUBTOTAL(109, OFFSET(Table1[billing], ROW(Table1[billing])-MIN(ROW(Table1[billing])), 0, 1)), --(Table1[Bill Number]&lt;&gt;"July Closing CF") )</f>
        <v>7249794.257498173</v>
      </c>
      <c r="K125" s="120">
        <f>SUMIFS(Table1[billing], Table1[Bill Number], "&lt;&gt;July Closing CF")</f>
        <v>13692143.379663495</v>
      </c>
      <c r="L125"/>
      <c r="M125"/>
      <c r="N125"/>
    </row>
    <row r="126" spans="1:15" x14ac:dyDescent="0.3">
      <c r="L126"/>
      <c r="M126"/>
      <c r="N126"/>
    </row>
    <row r="127" spans="1:15" x14ac:dyDescent="0.3">
      <c r="L127"/>
      <c r="M127"/>
      <c r="N127"/>
    </row>
    <row r="128" spans="1:15" x14ac:dyDescent="0.3">
      <c r="L128"/>
      <c r="M128"/>
      <c r="N128"/>
    </row>
    <row r="129" spans="4:14" x14ac:dyDescent="0.3">
      <c r="L129"/>
      <c r="M129"/>
      <c r="N129"/>
    </row>
    <row r="130" spans="4:14" x14ac:dyDescent="0.3">
      <c r="L130"/>
      <c r="M130"/>
      <c r="N130"/>
    </row>
    <row r="131" spans="4:14" x14ac:dyDescent="0.3">
      <c r="L131"/>
      <c r="M131"/>
      <c r="N131"/>
    </row>
    <row r="132" spans="4:14" x14ac:dyDescent="0.3">
      <c r="L132"/>
      <c r="M132"/>
      <c r="N132"/>
    </row>
    <row r="144" spans="4:14" x14ac:dyDescent="0.3">
      <c r="D144" s="3" t="s">
        <v>2</v>
      </c>
      <c r="E144" t="s">
        <v>93</v>
      </c>
    </row>
    <row r="145" spans="4:11" x14ac:dyDescent="0.3">
      <c r="D145" s="3" t="s">
        <v>78</v>
      </c>
      <c r="E145" t="s">
        <v>93</v>
      </c>
    </row>
    <row r="146" spans="4:11" x14ac:dyDescent="0.3">
      <c r="D146" s="3" t="s">
        <v>82</v>
      </c>
      <c r="E146" t="s">
        <v>93</v>
      </c>
    </row>
    <row r="148" spans="4:11" x14ac:dyDescent="0.3">
      <c r="D148" s="3" t="s">
        <v>6</v>
      </c>
      <c r="E148" t="s">
        <v>94</v>
      </c>
      <c r="F148" t="s">
        <v>95</v>
      </c>
      <c r="G148" t="s">
        <v>96</v>
      </c>
      <c r="I148" s="3" t="s">
        <v>6</v>
      </c>
      <c r="J148" t="s">
        <v>95</v>
      </c>
      <c r="K148" t="s">
        <v>96</v>
      </c>
    </row>
    <row r="149" spans="4:11" x14ac:dyDescent="0.3">
      <c r="D149" s="16" t="s">
        <v>88</v>
      </c>
      <c r="E149" s="119"/>
      <c r="F149" s="33">
        <v>972869.42209217278</v>
      </c>
      <c r="G149" s="119">
        <v>9667907.8714703731</v>
      </c>
      <c r="I149" s="27">
        <v>45885</v>
      </c>
      <c r="J149" s="50">
        <v>2050.1097293343087</v>
      </c>
      <c r="K149" s="14">
        <v>20501.097293343086</v>
      </c>
    </row>
    <row r="150" spans="4:11" x14ac:dyDescent="0.3">
      <c r="D150" s="16">
        <v>716</v>
      </c>
      <c r="E150" s="119">
        <v>43689</v>
      </c>
      <c r="F150" s="33">
        <v>39949.70738844185</v>
      </c>
      <c r="G150" s="119">
        <v>399497.07388441847</v>
      </c>
      <c r="I150" s="27">
        <v>45886</v>
      </c>
      <c r="J150" s="50">
        <v>972869.42209217278</v>
      </c>
      <c r="K150" s="14">
        <v>9667907.8714703731</v>
      </c>
    </row>
    <row r="151" spans="4:11" x14ac:dyDescent="0.3">
      <c r="D151" s="16">
        <v>722</v>
      </c>
      <c r="E151" s="119">
        <v>25952</v>
      </c>
      <c r="F151" s="33">
        <v>23730.797366495979</v>
      </c>
      <c r="G151" s="119">
        <v>237307.97366495978</v>
      </c>
      <c r="I151" s="27">
        <v>45888</v>
      </c>
      <c r="J151" s="50">
        <v>71674.286759327006</v>
      </c>
      <c r="K151" s="14">
        <v>716742.86759327003</v>
      </c>
    </row>
    <row r="152" spans="4:11" x14ac:dyDescent="0.3">
      <c r="D152" s="16">
        <v>723</v>
      </c>
      <c r="E152" s="119">
        <v>8742</v>
      </c>
      <c r="F152" s="33">
        <v>7993.7820043891743</v>
      </c>
      <c r="G152" s="119">
        <v>79937.820043891741</v>
      </c>
      <c r="I152" s="27">
        <v>45890</v>
      </c>
      <c r="J152" s="50">
        <v>50132.589612289696</v>
      </c>
      <c r="K152" s="14">
        <v>501325.89612289687</v>
      </c>
    </row>
    <row r="153" spans="4:11" x14ac:dyDescent="0.3">
      <c r="D153" s="16">
        <v>724</v>
      </c>
      <c r="E153" s="119">
        <v>48705</v>
      </c>
      <c r="F153" s="33">
        <v>44536.393562545723</v>
      </c>
      <c r="G153" s="119">
        <v>445363.9356254572</v>
      </c>
      <c r="I153" s="27">
        <v>45891</v>
      </c>
      <c r="J153" s="50">
        <v>37560.351133869786</v>
      </c>
      <c r="K153" s="14">
        <v>375603.51133869792</v>
      </c>
    </row>
    <row r="154" spans="4:11" x14ac:dyDescent="0.3">
      <c r="D154" s="16">
        <v>725</v>
      </c>
      <c r="E154" s="119">
        <v>4140</v>
      </c>
      <c r="F154" s="33">
        <v>3785.6620336503297</v>
      </c>
      <c r="G154" s="119">
        <v>37856.6203365033</v>
      </c>
      <c r="I154" s="27">
        <v>45892</v>
      </c>
      <c r="J154" s="50">
        <v>76884.601316752029</v>
      </c>
      <c r="K154" s="14">
        <v>764915.87417703005</v>
      </c>
    </row>
    <row r="155" spans="4:11" x14ac:dyDescent="0.3">
      <c r="D155" s="16">
        <v>726</v>
      </c>
      <c r="E155" s="119">
        <v>1980</v>
      </c>
      <c r="F155" s="33">
        <v>1810.534016093636</v>
      </c>
      <c r="G155" s="119">
        <v>18105.340160936361</v>
      </c>
      <c r="I155" s="27">
        <v>45894</v>
      </c>
      <c r="J155" s="50">
        <v>81706.291148500371</v>
      </c>
      <c r="K155" s="14">
        <v>806219.82443306514</v>
      </c>
    </row>
    <row r="156" spans="4:11" x14ac:dyDescent="0.3">
      <c r="D156" s="16">
        <v>727</v>
      </c>
      <c r="E156" s="119">
        <v>21621</v>
      </c>
      <c r="F156" s="33">
        <v>19770.48280907096</v>
      </c>
      <c r="G156" s="119">
        <v>197704.82809070961</v>
      </c>
      <c r="I156" s="27">
        <v>45895</v>
      </c>
      <c r="J156" s="50">
        <v>17298.829553767377</v>
      </c>
      <c r="K156" s="14">
        <v>155689.46598390638</v>
      </c>
    </row>
    <row r="157" spans="4:11" x14ac:dyDescent="0.3">
      <c r="D157" s="16">
        <v>728</v>
      </c>
      <c r="E157" s="119">
        <v>6406</v>
      </c>
      <c r="F157" s="33">
        <v>5857.7176298463792</v>
      </c>
      <c r="G157" s="119">
        <v>58577.17629846379</v>
      </c>
      <c r="I157" s="27">
        <v>45896</v>
      </c>
      <c r="J157" s="50">
        <v>59752.194586686186</v>
      </c>
      <c r="K157" s="14">
        <v>555856.80321872712</v>
      </c>
    </row>
    <row r="158" spans="4:11" x14ac:dyDescent="0.3">
      <c r="D158" s="16">
        <v>729</v>
      </c>
      <c r="E158" s="119">
        <v>7452</v>
      </c>
      <c r="F158" s="33">
        <v>6814.1916605705928</v>
      </c>
      <c r="G158" s="119">
        <v>68141.916605705934</v>
      </c>
      <c r="I158" s="27">
        <v>45897</v>
      </c>
      <c r="J158" s="50">
        <v>41335.040234089247</v>
      </c>
      <c r="K158" s="14">
        <v>413350.40234089253</v>
      </c>
    </row>
    <row r="159" spans="4:11" x14ac:dyDescent="0.3">
      <c r="D159" s="16">
        <v>731</v>
      </c>
      <c r="E159" s="119">
        <v>5597</v>
      </c>
      <c r="F159" s="33">
        <v>5117.9590343818581</v>
      </c>
      <c r="G159" s="119">
        <v>51179.590343818578</v>
      </c>
      <c r="I159" s="27">
        <v>45898</v>
      </c>
      <c r="J159" s="50">
        <v>40317.300658376014</v>
      </c>
      <c r="K159" s="14">
        <v>393712.50914411119</v>
      </c>
    </row>
    <row r="160" spans="4:11" x14ac:dyDescent="0.3">
      <c r="D160" s="16">
        <v>732</v>
      </c>
      <c r="E160" s="119">
        <v>21167</v>
      </c>
      <c r="F160" s="33">
        <v>19355.340160936357</v>
      </c>
      <c r="G160" s="119">
        <v>193553.40160936356</v>
      </c>
      <c r="I160" s="27">
        <v>45899</v>
      </c>
      <c r="J160" s="50">
        <v>53495.793708851503</v>
      </c>
      <c r="K160" s="14">
        <v>624926.84711046098</v>
      </c>
    </row>
    <row r="161" spans="4:11" x14ac:dyDescent="0.3">
      <c r="D161" s="16">
        <v>733</v>
      </c>
      <c r="E161" s="119">
        <v>2010</v>
      </c>
      <c r="F161" s="33">
        <v>0</v>
      </c>
      <c r="G161" s="119">
        <v>0</v>
      </c>
      <c r="I161" s="27">
        <v>45900</v>
      </c>
      <c r="J161" s="50">
        <v>112115.94732991954</v>
      </c>
      <c r="K161" s="14">
        <v>1113504.0234089247</v>
      </c>
    </row>
    <row r="162" spans="4:11" x14ac:dyDescent="0.3">
      <c r="D162" s="16">
        <v>734</v>
      </c>
      <c r="E162" s="119">
        <v>16253</v>
      </c>
      <c r="F162" s="33">
        <v>14861.923920994881</v>
      </c>
      <c r="G162" s="119">
        <v>148619.23920994881</v>
      </c>
      <c r="I162" s="27">
        <v>45901</v>
      </c>
      <c r="J162" s="50">
        <v>33280.907095830291</v>
      </c>
      <c r="K162" s="14">
        <v>332430.50475493784</v>
      </c>
    </row>
    <row r="163" spans="4:11" x14ac:dyDescent="0.3">
      <c r="D163" s="16">
        <v>735</v>
      </c>
      <c r="E163" s="119">
        <v>33788</v>
      </c>
      <c r="F163" s="33">
        <v>30896.122896854427</v>
      </c>
      <c r="G163" s="119">
        <v>308961.22896854428</v>
      </c>
      <c r="I163" s="27">
        <v>45902</v>
      </c>
      <c r="J163" s="50">
        <v>39340.709583028533</v>
      </c>
      <c r="K163" s="14">
        <v>447311.63130943681</v>
      </c>
    </row>
    <row r="164" spans="4:11" x14ac:dyDescent="0.3">
      <c r="D164" s="16">
        <v>736</v>
      </c>
      <c r="E164" s="119">
        <v>8575</v>
      </c>
      <c r="F164" s="33">
        <v>7841.0753474762259</v>
      </c>
      <c r="G164" s="119">
        <v>78410.753474762256</v>
      </c>
      <c r="I164" s="27">
        <v>45903</v>
      </c>
      <c r="J164" s="50">
        <v>45768.105340160946</v>
      </c>
      <c r="K164" s="14">
        <v>457681.05340160942</v>
      </c>
    </row>
    <row r="165" spans="4:11" x14ac:dyDescent="0.3">
      <c r="D165" s="16">
        <v>737</v>
      </c>
      <c r="E165" s="119">
        <v>4298</v>
      </c>
      <c r="F165" s="33">
        <v>3930.1389904901248</v>
      </c>
      <c r="G165" s="119">
        <v>35371.250914411125</v>
      </c>
      <c r="I165" s="27">
        <v>45905</v>
      </c>
      <c r="J165" s="50">
        <v>42745.062179956112</v>
      </c>
      <c r="K165" s="14">
        <v>427450.62179956108</v>
      </c>
    </row>
    <row r="166" spans="4:11" x14ac:dyDescent="0.3">
      <c r="D166" s="16">
        <v>738</v>
      </c>
      <c r="E166" s="119">
        <v>22478</v>
      </c>
      <c r="F166" s="33">
        <v>20554.133138258963</v>
      </c>
      <c r="G166" s="119">
        <v>205541.33138258965</v>
      </c>
      <c r="I166" s="27">
        <v>45907</v>
      </c>
      <c r="J166" s="50">
        <v>86068.946598390641</v>
      </c>
      <c r="K166" s="14">
        <v>917897.76883686916</v>
      </c>
    </row>
    <row r="167" spans="4:11" x14ac:dyDescent="0.3">
      <c r="D167" s="16">
        <v>739</v>
      </c>
      <c r="E167" s="119">
        <v>8540</v>
      </c>
      <c r="F167" s="33">
        <v>7809.0709583028538</v>
      </c>
      <c r="G167" s="119">
        <v>78090.70958302854</v>
      </c>
      <c r="I167" s="27">
        <v>45908</v>
      </c>
      <c r="J167" s="50">
        <v>63158.376005852238</v>
      </c>
      <c r="K167" s="14">
        <v>584409.29041697143</v>
      </c>
    </row>
    <row r="168" spans="4:11" x14ac:dyDescent="0.3">
      <c r="D168" s="16">
        <v>740</v>
      </c>
      <c r="E168" s="119">
        <v>7214</v>
      </c>
      <c r="F168" s="33">
        <v>6596.5618141916611</v>
      </c>
      <c r="G168" s="119">
        <v>65965.61814191661</v>
      </c>
      <c r="I168" s="27">
        <v>45909</v>
      </c>
      <c r="J168" s="50">
        <v>52877.651792245801</v>
      </c>
      <c r="K168" s="14">
        <v>514436.72275054874</v>
      </c>
    </row>
    <row r="169" spans="4:11" x14ac:dyDescent="0.3">
      <c r="D169" s="16">
        <v>741</v>
      </c>
      <c r="E169" s="119">
        <v>6688</v>
      </c>
      <c r="F169" s="33">
        <v>6115.5815654718363</v>
      </c>
      <c r="G169" s="119">
        <v>61155.815654718361</v>
      </c>
      <c r="I169" s="27">
        <v>45910</v>
      </c>
      <c r="J169" s="50">
        <v>41004.937820043895</v>
      </c>
      <c r="K169" s="14">
        <v>410049.37820043898</v>
      </c>
    </row>
    <row r="170" spans="4:11" x14ac:dyDescent="0.3">
      <c r="D170" s="16">
        <v>742</v>
      </c>
      <c r="E170" s="119">
        <v>1914</v>
      </c>
      <c r="F170" s="33">
        <v>1750.1828822238481</v>
      </c>
      <c r="G170" s="119">
        <v>17501.82882223848</v>
      </c>
      <c r="I170" s="27">
        <v>45911</v>
      </c>
      <c r="J170" s="50">
        <v>43537.856620336512</v>
      </c>
      <c r="K170" s="14">
        <v>431282.91880029265</v>
      </c>
    </row>
    <row r="171" spans="4:11" x14ac:dyDescent="0.3">
      <c r="D171" s="16">
        <v>743</v>
      </c>
      <c r="E171" s="119">
        <v>9214</v>
      </c>
      <c r="F171" s="33">
        <v>8425.3840526700806</v>
      </c>
      <c r="G171" s="119">
        <v>84253.840526700806</v>
      </c>
      <c r="I171" s="27">
        <v>45912</v>
      </c>
      <c r="J171" s="50">
        <v>68853.328456474032</v>
      </c>
      <c r="K171" s="14">
        <v>776234.45501097292</v>
      </c>
    </row>
    <row r="172" spans="4:11" x14ac:dyDescent="0.3">
      <c r="D172" s="16">
        <v>744</v>
      </c>
      <c r="E172" s="119">
        <v>21448</v>
      </c>
      <c r="F172" s="33">
        <v>19612.289685442578</v>
      </c>
      <c r="G172" s="119">
        <v>196122.89685442578</v>
      </c>
      <c r="I172" s="27">
        <v>45913</v>
      </c>
      <c r="J172" s="50">
        <v>46665.142648134613</v>
      </c>
      <c r="K172" s="14">
        <v>466651.42648134608</v>
      </c>
    </row>
    <row r="173" spans="4:11" x14ac:dyDescent="0.3">
      <c r="D173" s="16">
        <v>745</v>
      </c>
      <c r="E173" s="119">
        <v>11858</v>
      </c>
      <c r="F173" s="33">
        <v>10843.087051938552</v>
      </c>
      <c r="G173" s="119">
        <v>97587.783467446963</v>
      </c>
      <c r="I173" s="27">
        <v>45915</v>
      </c>
      <c r="J173" s="50">
        <v>63266.276517922459</v>
      </c>
      <c r="K173" s="14">
        <v>759195.31821506959</v>
      </c>
    </row>
    <row r="174" spans="4:11" x14ac:dyDescent="0.3">
      <c r="D174" s="16">
        <v>746</v>
      </c>
      <c r="E174" s="119">
        <v>18918</v>
      </c>
      <c r="F174" s="33">
        <v>17298.829553767377</v>
      </c>
      <c r="G174" s="119">
        <v>155689.46598390638</v>
      </c>
      <c r="I174" s="27">
        <v>45916</v>
      </c>
      <c r="J174" s="50">
        <v>74270.299926847132</v>
      </c>
      <c r="K174" s="14">
        <v>724763.16752011713</v>
      </c>
    </row>
    <row r="175" spans="4:11" x14ac:dyDescent="0.3">
      <c r="D175" s="16">
        <v>747</v>
      </c>
      <c r="E175" s="119">
        <v>19780</v>
      </c>
      <c r="F175" s="33">
        <v>18087.051938551573</v>
      </c>
      <c r="G175" s="119">
        <v>180870.51938551571</v>
      </c>
      <c r="I175" s="27" t="s">
        <v>28</v>
      </c>
      <c r="J175" s="50">
        <v>2318030.3584491587</v>
      </c>
      <c r="K175" s="14">
        <v>23360051.251133874</v>
      </c>
    </row>
    <row r="176" spans="4:11" x14ac:dyDescent="0.3">
      <c r="D176" s="16">
        <v>748</v>
      </c>
      <c r="E176" s="119">
        <v>4342</v>
      </c>
      <c r="F176" s="33">
        <v>3970.3730797366497</v>
      </c>
      <c r="G176" s="119">
        <v>35733.35771762985</v>
      </c>
    </row>
    <row r="177" spans="4:7" x14ac:dyDescent="0.3">
      <c r="D177" s="16">
        <v>749</v>
      </c>
      <c r="E177" s="119">
        <v>28098</v>
      </c>
      <c r="F177" s="33">
        <v>25693.123628383324</v>
      </c>
      <c r="G177" s="119">
        <v>231238.11265544992</v>
      </c>
    </row>
    <row r="178" spans="4:7" x14ac:dyDescent="0.3">
      <c r="D178" s="16">
        <v>750</v>
      </c>
      <c r="E178" s="119">
        <v>13125</v>
      </c>
      <c r="F178" s="33">
        <v>12001.645940014632</v>
      </c>
      <c r="G178" s="119">
        <v>108014.81346013169</v>
      </c>
    </row>
    <row r="179" spans="4:7" x14ac:dyDescent="0.3">
      <c r="D179" s="16">
        <v>721</v>
      </c>
      <c r="E179" s="119">
        <v>2242</v>
      </c>
      <c r="F179" s="33">
        <v>2050.1097293343087</v>
      </c>
      <c r="G179" s="119">
        <v>20501.097293343086</v>
      </c>
    </row>
    <row r="180" spans="4:7" x14ac:dyDescent="0.3">
      <c r="D180" s="16">
        <v>751</v>
      </c>
      <c r="E180" s="119">
        <v>33502</v>
      </c>
      <c r="F180" s="33">
        <v>30634.601316752014</v>
      </c>
      <c r="G180" s="119">
        <v>306346.01316752017</v>
      </c>
    </row>
    <row r="181" spans="4:7" x14ac:dyDescent="0.3">
      <c r="D181" s="16">
        <v>752</v>
      </c>
      <c r="E181" s="119">
        <v>11702</v>
      </c>
      <c r="F181" s="33">
        <v>10700.438917337236</v>
      </c>
      <c r="G181" s="119">
        <v>107004.38917337236</v>
      </c>
    </row>
    <row r="182" spans="4:7" x14ac:dyDescent="0.3">
      <c r="D182" s="16">
        <v>753</v>
      </c>
      <c r="E182" s="119">
        <v>26158</v>
      </c>
      <c r="F182" s="33">
        <v>23919.166057059258</v>
      </c>
      <c r="G182" s="119">
        <v>239191.66057059256</v>
      </c>
    </row>
    <row r="183" spans="4:7" x14ac:dyDescent="0.3">
      <c r="D183" s="16">
        <v>754</v>
      </c>
      <c r="E183" s="119">
        <v>10346</v>
      </c>
      <c r="F183" s="33">
        <v>9460.4974396488669</v>
      </c>
      <c r="G183" s="119">
        <v>85144.476956839804</v>
      </c>
    </row>
    <row r="184" spans="4:7" x14ac:dyDescent="0.3">
      <c r="D184" s="16">
        <v>755</v>
      </c>
      <c r="E184" s="119">
        <v>7587</v>
      </c>
      <c r="F184" s="33">
        <v>6937.6371616678862</v>
      </c>
      <c r="G184" s="119">
        <v>69376.371616678865</v>
      </c>
    </row>
    <row r="185" spans="4:7" x14ac:dyDescent="0.3">
      <c r="D185" s="16">
        <v>756</v>
      </c>
      <c r="E185" s="119">
        <v>2244</v>
      </c>
      <c r="F185" s="33">
        <v>0</v>
      </c>
      <c r="G185" s="119">
        <v>0</v>
      </c>
    </row>
    <row r="186" spans="4:7" x14ac:dyDescent="0.3">
      <c r="D186" s="16">
        <v>757</v>
      </c>
      <c r="E186" s="119">
        <v>14872</v>
      </c>
      <c r="F186" s="33">
        <v>13599.122165325531</v>
      </c>
      <c r="G186" s="119">
        <v>163189.46598390635</v>
      </c>
    </row>
    <row r="187" spans="4:7" x14ac:dyDescent="0.3">
      <c r="D187" s="16">
        <v>758</v>
      </c>
      <c r="E187" s="119">
        <v>11018</v>
      </c>
      <c r="F187" s="33">
        <v>10074.981711777617</v>
      </c>
      <c r="G187" s="119">
        <v>120899.78054133139</v>
      </c>
    </row>
    <row r="188" spans="4:7" x14ac:dyDescent="0.3">
      <c r="D188" s="16">
        <v>759</v>
      </c>
      <c r="E188" s="119">
        <v>23305</v>
      </c>
      <c r="F188" s="33">
        <v>21310.35113386979</v>
      </c>
      <c r="G188" s="119">
        <v>255724.21360643749</v>
      </c>
    </row>
    <row r="189" spans="4:7" x14ac:dyDescent="0.3">
      <c r="D189" s="16">
        <v>760</v>
      </c>
      <c r="E189" s="119">
        <v>9308</v>
      </c>
      <c r="F189" s="33">
        <v>8511.3386978785675</v>
      </c>
      <c r="G189" s="119">
        <v>85113.386978785682</v>
      </c>
    </row>
    <row r="190" spans="4:7" x14ac:dyDescent="0.3">
      <c r="D190" s="16">
        <v>761</v>
      </c>
      <c r="E190" s="119">
        <v>20380</v>
      </c>
      <c r="F190" s="33">
        <v>18635.6986100951</v>
      </c>
      <c r="G190" s="119">
        <v>186356.98610095101</v>
      </c>
    </row>
    <row r="191" spans="4:7" x14ac:dyDescent="0.3">
      <c r="D191" s="16">
        <v>762</v>
      </c>
      <c r="E191" s="119">
        <v>7020</v>
      </c>
      <c r="F191" s="33">
        <v>6419.1660570592539</v>
      </c>
      <c r="G191" s="119">
        <v>77029.992684711047</v>
      </c>
    </row>
    <row r="192" spans="4:7" x14ac:dyDescent="0.3">
      <c r="D192" s="16">
        <v>763</v>
      </c>
      <c r="E192" s="119">
        <v>2776</v>
      </c>
      <c r="F192" s="33">
        <v>2538.4052670080468</v>
      </c>
      <c r="G192" s="119">
        <v>25384.052670080469</v>
      </c>
    </row>
    <row r="193" spans="4:7" x14ac:dyDescent="0.3">
      <c r="D193" s="16">
        <v>764</v>
      </c>
      <c r="E193" s="119">
        <v>25394</v>
      </c>
      <c r="F193" s="33">
        <v>23220.555961960501</v>
      </c>
      <c r="G193" s="119">
        <v>232205.55961960502</v>
      </c>
    </row>
    <row r="194" spans="4:7" x14ac:dyDescent="0.3">
      <c r="D194" s="16">
        <v>765</v>
      </c>
      <c r="E194" s="119">
        <v>10496</v>
      </c>
      <c r="F194" s="33">
        <v>9597.6591075347478</v>
      </c>
      <c r="G194" s="119">
        <v>95976.591075347475</v>
      </c>
    </row>
    <row r="195" spans="4:7" x14ac:dyDescent="0.3">
      <c r="D195" s="16">
        <v>766</v>
      </c>
      <c r="E195" s="119">
        <v>9552</v>
      </c>
      <c r="F195" s="33">
        <v>8734.4550109729335</v>
      </c>
      <c r="G195" s="119">
        <v>87344.550109729331</v>
      </c>
    </row>
    <row r="196" spans="4:7" x14ac:dyDescent="0.3">
      <c r="D196" s="16">
        <v>767</v>
      </c>
      <c r="E196" s="119">
        <v>13908</v>
      </c>
      <c r="F196" s="33">
        <v>12717.629846378934</v>
      </c>
      <c r="G196" s="119">
        <v>127176.29846378934</v>
      </c>
    </row>
    <row r="197" spans="4:7" x14ac:dyDescent="0.3">
      <c r="D197" s="16">
        <v>768</v>
      </c>
      <c r="E197" s="119">
        <v>10672</v>
      </c>
      <c r="F197" s="33">
        <v>9758.5954645208494</v>
      </c>
      <c r="G197" s="119">
        <v>97585.954645208491</v>
      </c>
    </row>
    <row r="198" spans="4:7" x14ac:dyDescent="0.3">
      <c r="D198" s="16">
        <v>769</v>
      </c>
      <c r="E198" s="119">
        <v>15800</v>
      </c>
      <c r="F198" s="33">
        <v>14447.695683979518</v>
      </c>
      <c r="G198" s="119">
        <v>130029.26115581566</v>
      </c>
    </row>
    <row r="199" spans="4:7" x14ac:dyDescent="0.3">
      <c r="D199" s="16">
        <v>770</v>
      </c>
      <c r="E199" s="119">
        <v>6612</v>
      </c>
      <c r="F199" s="33">
        <v>6046.0863204096568</v>
      </c>
      <c r="G199" s="119">
        <v>54414.776883686907</v>
      </c>
    </row>
    <row r="200" spans="4:7" x14ac:dyDescent="0.3">
      <c r="D200" s="16">
        <v>771</v>
      </c>
      <c r="E200" s="119">
        <v>10650</v>
      </c>
      <c r="F200" s="33">
        <v>9738.4784198975867</v>
      </c>
      <c r="G200" s="119">
        <v>97384.78419897586</v>
      </c>
    </row>
    <row r="201" spans="4:7" x14ac:dyDescent="0.3">
      <c r="D201" s="16">
        <v>772</v>
      </c>
      <c r="E201" s="119">
        <v>17302</v>
      </c>
      <c r="F201" s="33">
        <v>15821.141185076813</v>
      </c>
      <c r="G201" s="119">
        <v>142390.27066569132</v>
      </c>
    </row>
    <row r="202" spans="4:7" x14ac:dyDescent="0.3">
      <c r="D202" s="16">
        <v>773</v>
      </c>
      <c r="E202" s="119">
        <v>8444</v>
      </c>
      <c r="F202" s="33">
        <v>7721.2874908558897</v>
      </c>
      <c r="G202" s="119">
        <v>92655.449890270684</v>
      </c>
    </row>
    <row r="203" spans="4:7" x14ac:dyDescent="0.3">
      <c r="D203" s="16">
        <v>774</v>
      </c>
      <c r="E203" s="119">
        <v>24391</v>
      </c>
      <c r="F203" s="33">
        <v>22303.401609363573</v>
      </c>
      <c r="G203" s="119">
        <v>267640.81931236287</v>
      </c>
    </row>
    <row r="204" spans="4:7" x14ac:dyDescent="0.3">
      <c r="D204" s="16">
        <v>775</v>
      </c>
      <c r="E204" s="119">
        <v>5084</v>
      </c>
      <c r="F204" s="33">
        <v>4648.8661302121436</v>
      </c>
      <c r="G204" s="119">
        <v>55786.393562545723</v>
      </c>
    </row>
    <row r="205" spans="4:7" x14ac:dyDescent="0.3">
      <c r="D205" s="16">
        <v>776</v>
      </c>
      <c r="E205" s="119">
        <v>4760</v>
      </c>
      <c r="F205" s="33">
        <v>4352.5969275786401</v>
      </c>
      <c r="G205" s="119">
        <v>43525.969275786403</v>
      </c>
    </row>
    <row r="206" spans="4:7" x14ac:dyDescent="0.3">
      <c r="D206" s="16">
        <v>777</v>
      </c>
      <c r="E206" s="119">
        <v>888</v>
      </c>
      <c r="F206" s="33">
        <v>811.99707388441846</v>
      </c>
      <c r="G206" s="119">
        <v>8119.9707388441848</v>
      </c>
    </row>
    <row r="207" spans="4:7" x14ac:dyDescent="0.3">
      <c r="D207" s="16">
        <v>778</v>
      </c>
      <c r="E207" s="119">
        <v>7900</v>
      </c>
      <c r="F207" s="33">
        <v>7223.8478419897592</v>
      </c>
      <c r="G207" s="119">
        <v>72238.478419897598</v>
      </c>
    </row>
    <row r="208" spans="4:7" x14ac:dyDescent="0.3">
      <c r="D208" s="16">
        <v>779</v>
      </c>
      <c r="E208" s="119">
        <v>17788</v>
      </c>
      <c r="F208" s="33">
        <v>16265.544989027068</v>
      </c>
      <c r="G208" s="119">
        <v>162655.44989027068</v>
      </c>
    </row>
    <row r="209" spans="4:7" x14ac:dyDescent="0.3">
      <c r="D209" s="16">
        <v>780</v>
      </c>
      <c r="E209" s="119">
        <v>19577</v>
      </c>
      <c r="F209" s="33">
        <v>17901.426481346014</v>
      </c>
      <c r="G209" s="119">
        <v>179014.26481346015</v>
      </c>
    </row>
    <row r="210" spans="4:7" x14ac:dyDescent="0.3">
      <c r="D210" s="16">
        <v>781</v>
      </c>
      <c r="E210" s="119">
        <v>12687</v>
      </c>
      <c r="F210" s="33">
        <v>11601.133869787858</v>
      </c>
      <c r="G210" s="119">
        <v>116011.33869787859</v>
      </c>
    </row>
    <row r="211" spans="4:7" x14ac:dyDescent="0.3">
      <c r="D211" s="16">
        <v>782</v>
      </c>
      <c r="E211" s="119">
        <v>14207</v>
      </c>
      <c r="F211" s="33">
        <v>12991.038771031457</v>
      </c>
      <c r="G211" s="119">
        <v>129910.38771031456</v>
      </c>
    </row>
    <row r="212" spans="4:7" x14ac:dyDescent="0.3">
      <c r="D212" s="16">
        <v>783</v>
      </c>
      <c r="E212" s="119">
        <v>19240</v>
      </c>
      <c r="F212" s="33">
        <v>17593.269934162399</v>
      </c>
      <c r="G212" s="119">
        <v>175932.69934162399</v>
      </c>
    </row>
    <row r="213" spans="4:7" x14ac:dyDescent="0.3">
      <c r="D213" s="16">
        <v>784</v>
      </c>
      <c r="E213" s="119">
        <v>13299</v>
      </c>
      <c r="F213" s="33">
        <v>12160.753474762254</v>
      </c>
      <c r="G213" s="119">
        <v>121607.53474762254</v>
      </c>
    </row>
    <row r="214" spans="4:7" x14ac:dyDescent="0.3">
      <c r="D214" s="16">
        <v>785</v>
      </c>
      <c r="E214" s="119">
        <v>7664</v>
      </c>
      <c r="F214" s="33">
        <v>7008.0468178493056</v>
      </c>
      <c r="G214" s="119">
        <v>84096.561814191664</v>
      </c>
    </row>
    <row r="215" spans="4:7" x14ac:dyDescent="0.3">
      <c r="D215" s="16">
        <v>786</v>
      </c>
      <c r="E215" s="119">
        <v>5132</v>
      </c>
      <c r="F215" s="33">
        <v>4692.7578639356261</v>
      </c>
      <c r="G215" s="119">
        <v>56313.094367227517</v>
      </c>
    </row>
    <row r="216" spans="4:7" x14ac:dyDescent="0.3">
      <c r="D216" s="16">
        <v>787</v>
      </c>
      <c r="E216" s="119">
        <v>18066</v>
      </c>
      <c r="F216" s="33">
        <v>16519.751280175569</v>
      </c>
      <c r="G216" s="119">
        <v>198237.01536210685</v>
      </c>
    </row>
    <row r="217" spans="4:7" x14ac:dyDescent="0.3">
      <c r="D217" s="16">
        <v>788</v>
      </c>
      <c r="E217" s="119">
        <v>12318</v>
      </c>
      <c r="F217" s="33">
        <v>11263.716166788588</v>
      </c>
      <c r="G217" s="119">
        <v>135164.59400146306</v>
      </c>
    </row>
    <row r="218" spans="4:7" x14ac:dyDescent="0.3">
      <c r="D218" s="16">
        <v>789</v>
      </c>
      <c r="E218" s="119">
        <v>23797</v>
      </c>
      <c r="F218" s="33">
        <v>21760.241404535482</v>
      </c>
      <c r="G218" s="119">
        <v>195842.17264081934</v>
      </c>
    </row>
    <row r="219" spans="4:7" x14ac:dyDescent="0.3">
      <c r="D219" s="16">
        <v>790</v>
      </c>
      <c r="E219" s="119">
        <v>27148</v>
      </c>
      <c r="F219" s="33">
        <v>24824.433065106074</v>
      </c>
      <c r="G219" s="119">
        <v>248244.33065106074</v>
      </c>
    </row>
    <row r="220" spans="4:7" x14ac:dyDescent="0.3">
      <c r="D220" s="16">
        <v>791</v>
      </c>
      <c r="E220" s="119">
        <v>17480</v>
      </c>
      <c r="F220" s="33">
        <v>15983.906364301391</v>
      </c>
      <c r="G220" s="119">
        <v>159839.06364301391</v>
      </c>
    </row>
    <row r="221" spans="4:7" x14ac:dyDescent="0.3">
      <c r="D221" s="16">
        <v>792</v>
      </c>
      <c r="E221" s="119">
        <v>22158</v>
      </c>
      <c r="F221" s="33">
        <v>20261.521580102417</v>
      </c>
      <c r="G221" s="119">
        <v>182353.69422092175</v>
      </c>
    </row>
    <row r="222" spans="4:7" x14ac:dyDescent="0.3">
      <c r="D222" s="16">
        <v>793</v>
      </c>
      <c r="E222" s="119">
        <v>11184</v>
      </c>
      <c r="F222" s="33">
        <v>10226.773957571326</v>
      </c>
      <c r="G222" s="119">
        <v>92040.965618141927</v>
      </c>
    </row>
    <row r="223" spans="4:7" x14ac:dyDescent="0.3">
      <c r="D223" s="16">
        <v>794</v>
      </c>
      <c r="E223" s="119">
        <v>14474</v>
      </c>
      <c r="F223" s="33">
        <v>13235.186539868326</v>
      </c>
      <c r="G223" s="119">
        <v>119116.67885881494</v>
      </c>
    </row>
    <row r="224" spans="4:7" x14ac:dyDescent="0.3">
      <c r="D224" s="16">
        <v>795</v>
      </c>
      <c r="E224" s="119">
        <v>3774</v>
      </c>
      <c r="F224" s="33">
        <v>3450.9875640087785</v>
      </c>
      <c r="G224" s="119">
        <v>31058.888076079005</v>
      </c>
    </row>
    <row r="225" spans="4:7" x14ac:dyDescent="0.3">
      <c r="D225" s="16">
        <v>796</v>
      </c>
      <c r="E225" s="119">
        <v>8892</v>
      </c>
      <c r="F225" s="33">
        <v>8130.9436722750552</v>
      </c>
      <c r="G225" s="119">
        <v>81309.436722750557</v>
      </c>
    </row>
    <row r="226" spans="4:7" x14ac:dyDescent="0.3">
      <c r="D226" s="16">
        <v>797</v>
      </c>
      <c r="E226" s="119">
        <v>4334</v>
      </c>
      <c r="F226" s="33">
        <v>3963.0577907827364</v>
      </c>
      <c r="G226" s="119">
        <v>35667.520117044631</v>
      </c>
    </row>
    <row r="227" spans="4:7" x14ac:dyDescent="0.3">
      <c r="D227" s="16">
        <v>798</v>
      </c>
      <c r="E227" s="119">
        <v>13135</v>
      </c>
      <c r="F227" s="33">
        <v>12010.790051207025</v>
      </c>
      <c r="G227" s="119">
        <v>120107.90051207025</v>
      </c>
    </row>
    <row r="228" spans="4:7" x14ac:dyDescent="0.3">
      <c r="D228" s="16">
        <v>799</v>
      </c>
      <c r="E228" s="119">
        <v>13937</v>
      </c>
      <c r="F228" s="33">
        <v>12744.14776883687</v>
      </c>
      <c r="G228" s="119">
        <v>127441.4776883687</v>
      </c>
    </row>
    <row r="229" spans="4:7" x14ac:dyDescent="0.3">
      <c r="D229" s="16">
        <v>800</v>
      </c>
      <c r="E229" s="119">
        <v>11348</v>
      </c>
      <c r="F229" s="33">
        <v>10376.737381126555</v>
      </c>
      <c r="G229" s="119">
        <v>93390.636430138999</v>
      </c>
    </row>
    <row r="230" spans="4:7" x14ac:dyDescent="0.3">
      <c r="D230" s="16">
        <v>801</v>
      </c>
      <c r="E230" s="119">
        <v>6181</v>
      </c>
      <c r="F230" s="33">
        <v>5651.9751280175569</v>
      </c>
      <c r="G230" s="119">
        <v>56519.751280175566</v>
      </c>
    </row>
    <row r="231" spans="4:7" x14ac:dyDescent="0.3">
      <c r="D231" s="16">
        <v>802</v>
      </c>
      <c r="E231" s="119">
        <v>20149</v>
      </c>
      <c r="F231" s="33">
        <v>18424.469641550844</v>
      </c>
      <c r="G231" s="119">
        <v>184244.69641550846</v>
      </c>
    </row>
    <row r="232" spans="4:7" x14ac:dyDescent="0.3">
      <c r="D232" s="16">
        <v>803</v>
      </c>
      <c r="E232" s="119">
        <v>24694</v>
      </c>
      <c r="F232" s="33">
        <v>22580.468178493051</v>
      </c>
      <c r="G232" s="119">
        <v>225804.68178493052</v>
      </c>
    </row>
    <row r="233" spans="4:7" x14ac:dyDescent="0.3">
      <c r="D233" s="16">
        <v>804</v>
      </c>
      <c r="E233" s="119">
        <v>8999</v>
      </c>
      <c r="F233" s="33">
        <v>8228.7856620336515</v>
      </c>
      <c r="G233" s="119">
        <v>74059.070958302866</v>
      </c>
    </row>
    <row r="234" spans="4:7" x14ac:dyDescent="0.3">
      <c r="D234" s="16">
        <v>805</v>
      </c>
      <c r="E234" s="119">
        <v>9858</v>
      </c>
      <c r="F234" s="33">
        <v>9014.2648134601332</v>
      </c>
      <c r="G234" s="119">
        <v>81128.383321141198</v>
      </c>
    </row>
    <row r="235" spans="4:7" x14ac:dyDescent="0.3">
      <c r="D235" s="16">
        <v>806</v>
      </c>
      <c r="E235" s="119">
        <v>28756</v>
      </c>
      <c r="F235" s="33">
        <v>26294.806144842725</v>
      </c>
      <c r="G235" s="119">
        <v>276095.46452084859</v>
      </c>
    </row>
    <row r="236" spans="4:7" x14ac:dyDescent="0.3">
      <c r="D236" s="16">
        <v>807</v>
      </c>
      <c r="E236" s="119"/>
      <c r="F236" s="33">
        <v>0</v>
      </c>
      <c r="G236" s="119"/>
    </row>
    <row r="237" spans="4:7" x14ac:dyDescent="0.3">
      <c r="D237" s="16">
        <v>808</v>
      </c>
      <c r="E237" s="119">
        <v>3855</v>
      </c>
      <c r="F237" s="33">
        <v>3525.0548646671546</v>
      </c>
      <c r="G237" s="119">
        <v>35250.548646671545</v>
      </c>
    </row>
    <row r="238" spans="4:7" x14ac:dyDescent="0.3">
      <c r="D238" s="16">
        <v>809</v>
      </c>
      <c r="E238" s="119">
        <v>2228</v>
      </c>
      <c r="F238" s="33">
        <v>2037.3079736649599</v>
      </c>
      <c r="G238" s="119">
        <v>18335.771762984641</v>
      </c>
    </row>
    <row r="239" spans="4:7" x14ac:dyDescent="0.3">
      <c r="D239" s="16">
        <v>810</v>
      </c>
      <c r="E239" s="119">
        <v>19760</v>
      </c>
      <c r="F239" s="33">
        <v>18068.763716166792</v>
      </c>
      <c r="G239" s="119">
        <v>216825.16459400149</v>
      </c>
    </row>
    <row r="240" spans="4:7" x14ac:dyDescent="0.3">
      <c r="D240" s="16">
        <v>811</v>
      </c>
      <c r="E240" s="119">
        <v>14695</v>
      </c>
      <c r="F240" s="33">
        <v>13437.271397220191</v>
      </c>
      <c r="G240" s="119">
        <v>161247.2567666423</v>
      </c>
    </row>
    <row r="241" spans="4:7" x14ac:dyDescent="0.3">
      <c r="D241" s="16">
        <v>812</v>
      </c>
      <c r="E241" s="119">
        <v>6490</v>
      </c>
      <c r="F241" s="33">
        <v>5934.5281638624729</v>
      </c>
      <c r="G241" s="119">
        <v>71214.337966349674</v>
      </c>
    </row>
    <row r="242" spans="4:7" x14ac:dyDescent="0.3">
      <c r="D242" s="16">
        <v>813</v>
      </c>
      <c r="E242" s="119">
        <v>6448</v>
      </c>
      <c r="F242" s="33">
        <v>5896.1228968544265</v>
      </c>
      <c r="G242" s="119">
        <v>70753.474762253114</v>
      </c>
    </row>
    <row r="243" spans="4:7" x14ac:dyDescent="0.3">
      <c r="D243" s="16">
        <v>814</v>
      </c>
      <c r="E243" s="119">
        <v>13600</v>
      </c>
      <c r="F243" s="33">
        <v>12435.991221653256</v>
      </c>
      <c r="G243" s="119">
        <v>124359.91221653255</v>
      </c>
    </row>
    <row r="244" spans="4:7" x14ac:dyDescent="0.3">
      <c r="D244" s="16">
        <v>815</v>
      </c>
      <c r="E244" s="119">
        <v>4344</v>
      </c>
      <c r="F244" s="33">
        <v>3972.2019019751283</v>
      </c>
      <c r="G244" s="119">
        <v>39722.019019751286</v>
      </c>
    </row>
    <row r="245" spans="4:7" x14ac:dyDescent="0.3">
      <c r="D245" s="16">
        <v>816</v>
      </c>
      <c r="E245" s="119">
        <v>2202</v>
      </c>
      <c r="F245" s="33">
        <v>2013.5332845647404</v>
      </c>
      <c r="G245" s="119">
        <v>20135.332845647405</v>
      </c>
    </row>
    <row r="246" spans="4:7" x14ac:dyDescent="0.3">
      <c r="D246" s="16">
        <v>817</v>
      </c>
      <c r="E246" s="119">
        <v>1676</v>
      </c>
      <c r="F246" s="33">
        <v>1532.5530358449159</v>
      </c>
      <c r="G246" s="119">
        <v>18390.636430138991</v>
      </c>
    </row>
    <row r="247" spans="4:7" x14ac:dyDescent="0.3">
      <c r="D247" s="16">
        <v>819</v>
      </c>
      <c r="E247" s="119">
        <v>11388</v>
      </c>
      <c r="F247" s="33">
        <v>10413.313825896124</v>
      </c>
      <c r="G247" s="119">
        <v>104133.13825896125</v>
      </c>
    </row>
    <row r="248" spans="4:7" x14ac:dyDescent="0.3">
      <c r="D248" s="16">
        <v>820</v>
      </c>
      <c r="E248" s="119">
        <v>24722</v>
      </c>
      <c r="F248" s="33">
        <v>22606.071689831751</v>
      </c>
      <c r="G248" s="119">
        <v>226060.71689831751</v>
      </c>
    </row>
    <row r="249" spans="4:7" x14ac:dyDescent="0.3">
      <c r="D249" s="16">
        <v>821</v>
      </c>
      <c r="E249" s="119">
        <v>5368</v>
      </c>
      <c r="F249" s="33">
        <v>4908.5588880760797</v>
      </c>
      <c r="G249" s="119">
        <v>58902.706656912953</v>
      </c>
    </row>
    <row r="250" spans="4:7" x14ac:dyDescent="0.3">
      <c r="D250" s="16">
        <v>818</v>
      </c>
      <c r="E250" s="119">
        <v>14923</v>
      </c>
      <c r="F250" s="33">
        <v>13645.757132406732</v>
      </c>
      <c r="G250" s="119">
        <v>136457.57132406731</v>
      </c>
    </row>
    <row r="251" spans="4:7" x14ac:dyDescent="0.3">
      <c r="D251" s="16">
        <v>822</v>
      </c>
      <c r="E251" s="119">
        <v>4290</v>
      </c>
      <c r="F251" s="33">
        <v>3922.823701536211</v>
      </c>
      <c r="G251" s="119">
        <v>47073.884418434536</v>
      </c>
    </row>
    <row r="252" spans="4:7" x14ac:dyDescent="0.3">
      <c r="D252" s="16">
        <v>823</v>
      </c>
      <c r="E252" s="119">
        <v>13282</v>
      </c>
      <c r="F252" s="33">
        <v>12145.208485735187</v>
      </c>
      <c r="G252" s="119">
        <v>145742.50182882225</v>
      </c>
    </row>
    <row r="253" spans="4:7" x14ac:dyDescent="0.3">
      <c r="D253" s="16">
        <v>824</v>
      </c>
      <c r="E253" s="119">
        <v>26000</v>
      </c>
      <c r="F253" s="33">
        <v>23774.689100219461</v>
      </c>
      <c r="G253" s="119">
        <v>285296.26920263353</v>
      </c>
    </row>
    <row r="254" spans="4:7" x14ac:dyDescent="0.3">
      <c r="D254" s="16">
        <v>825</v>
      </c>
      <c r="E254" s="119">
        <v>6010</v>
      </c>
      <c r="F254" s="33">
        <v>5495.6108266276524</v>
      </c>
      <c r="G254" s="119">
        <v>65947.329919531825</v>
      </c>
    </row>
    <row r="255" spans="4:7" x14ac:dyDescent="0.3">
      <c r="D255" s="16">
        <v>826</v>
      </c>
      <c r="E255" s="119"/>
      <c r="F255" s="33">
        <v>0</v>
      </c>
      <c r="G255" s="119"/>
    </row>
    <row r="256" spans="4:7" x14ac:dyDescent="0.3">
      <c r="D256" s="16">
        <v>827</v>
      </c>
      <c r="E256" s="119">
        <v>5756</v>
      </c>
      <c r="F256" s="33">
        <v>5263.3504023408932</v>
      </c>
      <c r="G256" s="119">
        <v>63160.204828090718</v>
      </c>
    </row>
    <row r="257" spans="4:7" x14ac:dyDescent="0.3">
      <c r="D257" s="16">
        <v>828</v>
      </c>
      <c r="E257" s="119">
        <v>8482</v>
      </c>
      <c r="F257" s="33">
        <v>7756.0351133869799</v>
      </c>
      <c r="G257" s="119">
        <v>93072.421360643755</v>
      </c>
    </row>
    <row r="258" spans="4:7" x14ac:dyDescent="0.3">
      <c r="D258" s="16">
        <v>829</v>
      </c>
      <c r="E258" s="119">
        <v>28055</v>
      </c>
      <c r="F258" s="33">
        <v>25653.803950256039</v>
      </c>
      <c r="G258" s="119">
        <v>256538.03950256039</v>
      </c>
    </row>
    <row r="259" spans="4:7" x14ac:dyDescent="0.3">
      <c r="D259" s="16">
        <v>830</v>
      </c>
      <c r="E259" s="119">
        <v>17655</v>
      </c>
      <c r="F259" s="33">
        <v>16143.928310168252</v>
      </c>
      <c r="G259" s="119">
        <v>161439.28310168252</v>
      </c>
    </row>
    <row r="260" spans="4:7" x14ac:dyDescent="0.3">
      <c r="D260" s="16">
        <v>831</v>
      </c>
      <c r="E260" s="119">
        <v>4700</v>
      </c>
      <c r="F260" s="33">
        <v>4297.7322604242872</v>
      </c>
      <c r="G260" s="119">
        <v>42977.322604242872</v>
      </c>
    </row>
    <row r="261" spans="4:7" x14ac:dyDescent="0.3">
      <c r="D261" s="16">
        <v>832</v>
      </c>
      <c r="E261" s="119">
        <v>15076</v>
      </c>
      <c r="F261" s="33">
        <v>13785.662033650331</v>
      </c>
      <c r="G261" s="119">
        <v>124070.95830285297</v>
      </c>
    </row>
    <row r="262" spans="4:7" x14ac:dyDescent="0.3">
      <c r="D262" s="16">
        <v>833</v>
      </c>
      <c r="E262" s="119">
        <v>4543</v>
      </c>
      <c r="F262" s="33">
        <v>4154.1697147037312</v>
      </c>
      <c r="G262" s="119">
        <v>37387.527432333583</v>
      </c>
    </row>
    <row r="263" spans="4:7" x14ac:dyDescent="0.3">
      <c r="D263" s="16">
        <v>834</v>
      </c>
      <c r="E263" s="119">
        <v>11193</v>
      </c>
      <c r="F263" s="33">
        <v>10235.003657644478</v>
      </c>
      <c r="G263" s="119">
        <v>102350.03657644478</v>
      </c>
    </row>
    <row r="264" spans="4:7" x14ac:dyDescent="0.3">
      <c r="D264" s="16" t="s">
        <v>28</v>
      </c>
      <c r="E264" s="119">
        <v>1475322</v>
      </c>
      <c r="F264" s="33">
        <v>2318030.3584491587</v>
      </c>
      <c r="G264" s="119">
        <v>23360051.251133885</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zoomScale="92" workbookViewId="0">
      <selection activeCell="D7" sqref="D7"/>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0.109375" bestFit="1" customWidth="1"/>
    <col min="6" max="6" width="13.21875" bestFit="1" customWidth="1"/>
    <col min="7" max="7" width="11.21875" bestFit="1" customWidth="1"/>
    <col min="8" max="8" width="11.109375" bestFit="1" customWidth="1"/>
    <col min="9" max="9" width="14.2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104</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102</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102</v>
      </c>
      <c r="C60">
        <v>3229</v>
      </c>
      <c r="D60" s="11">
        <v>177</v>
      </c>
      <c r="E60" s="11">
        <v>810</v>
      </c>
      <c r="F60" s="11">
        <v>37500</v>
      </c>
      <c r="G60" s="11">
        <f t="shared" si="17"/>
        <v>143370</v>
      </c>
      <c r="H60" s="11"/>
      <c r="I60" s="11">
        <f>(D60*E60)-Table3[[#This Row],[Paid]]</f>
        <v>143370</v>
      </c>
    </row>
    <row r="61" spans="1:9" x14ac:dyDescent="0.3">
      <c r="A61" s="1">
        <v>45915</v>
      </c>
      <c r="B61" t="s">
        <v>102</v>
      </c>
      <c r="C61">
        <v>3229</v>
      </c>
      <c r="D61" s="11">
        <v>52</v>
      </c>
      <c r="E61" s="11">
        <v>765</v>
      </c>
      <c r="F61" s="11"/>
      <c r="G61" s="11">
        <f t="shared" si="17"/>
        <v>39780</v>
      </c>
      <c r="H61" s="11"/>
      <c r="I61" s="11">
        <f>(D61*E61)-Table3[[#This Row],[Paid]]</f>
        <v>39780</v>
      </c>
    </row>
    <row r="62" spans="1:9" x14ac:dyDescent="0.3">
      <c r="A62" s="1">
        <v>45915</v>
      </c>
      <c r="B62" t="s">
        <v>102</v>
      </c>
      <c r="C62">
        <v>31</v>
      </c>
      <c r="D62" s="11">
        <v>232</v>
      </c>
      <c r="E62" s="11">
        <v>810</v>
      </c>
      <c r="F62" s="11">
        <v>36750</v>
      </c>
      <c r="G62" s="11">
        <f>D62*E62</f>
        <v>187920</v>
      </c>
      <c r="H62" s="11"/>
      <c r="I62" s="11">
        <f>(D62*E62)-Table3[[#This Row],[Paid]]</f>
        <v>187920</v>
      </c>
    </row>
    <row r="63" spans="1:9" x14ac:dyDescent="0.3">
      <c r="A63" s="1">
        <v>45915</v>
      </c>
      <c r="B63" t="s">
        <v>102</v>
      </c>
      <c r="D63" s="11">
        <v>255</v>
      </c>
      <c r="E63" s="11">
        <v>765</v>
      </c>
      <c r="F63" s="11">
        <v>27500</v>
      </c>
      <c r="G63" s="11">
        <f>D63*E63</f>
        <v>195075</v>
      </c>
      <c r="H63" s="11"/>
      <c r="I63" s="11">
        <f>(D63*E63)-Table3[[#This Row],[Paid]]</f>
        <v>195075</v>
      </c>
    </row>
    <row r="64" spans="1:9" x14ac:dyDescent="0.3">
      <c r="A64" s="1">
        <v>45915</v>
      </c>
      <c r="B64" t="s">
        <v>295</v>
      </c>
      <c r="D64" s="11">
        <v>45</v>
      </c>
      <c r="E64" s="11">
        <v>590</v>
      </c>
      <c r="F64" s="11"/>
      <c r="G64" s="11">
        <f>D64*E64</f>
        <v>26550</v>
      </c>
      <c r="H64" s="11"/>
      <c r="I64" s="11">
        <f>(D64*E64)-Table3[[#This Row],[Paid]]</f>
        <v>26550</v>
      </c>
    </row>
    <row r="65" spans="1:9" x14ac:dyDescent="0.3">
      <c r="A65" s="1" t="s">
        <v>106</v>
      </c>
      <c r="D65" s="14"/>
      <c r="E65" s="14"/>
      <c r="F65" s="14"/>
      <c r="G65" s="14">
        <f>SUBTOTAL(109,Table3[Total])</f>
        <v>7108460</v>
      </c>
      <c r="H65" s="14">
        <f>SUBTOTAL(109,Table3[Paid])</f>
        <v>5779030</v>
      </c>
      <c r="I65" s="14">
        <f>SUBTOTAL(109,Table3[balance])</f>
        <v>2554877</v>
      </c>
    </row>
    <row r="67" spans="1:9" x14ac:dyDescent="0.3">
      <c r="E67" s="3" t="s">
        <v>2</v>
      </c>
      <c r="F67" t="s">
        <v>93</v>
      </c>
    </row>
    <row r="69" spans="1:9" x14ac:dyDescent="0.3">
      <c r="E69" s="3" t="s">
        <v>107</v>
      </c>
      <c r="F69" t="s">
        <v>108</v>
      </c>
      <c r="G69" t="s">
        <v>109</v>
      </c>
      <c r="H69" t="s">
        <v>110</v>
      </c>
      <c r="I69" t="s">
        <v>111</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103</v>
      </c>
      <c r="F78" s="14"/>
      <c r="G78" s="14">
        <v>0</v>
      </c>
      <c r="H78" s="14"/>
      <c r="I78" s="14">
        <v>1225447</v>
      </c>
    </row>
    <row r="79" spans="1:9" x14ac:dyDescent="0.3">
      <c r="E79" s="27">
        <v>45886</v>
      </c>
      <c r="F79" s="14">
        <v>265</v>
      </c>
      <c r="G79" s="14">
        <v>202725</v>
      </c>
      <c r="H79" s="14">
        <v>26650</v>
      </c>
      <c r="I79" s="14">
        <v>176075</v>
      </c>
    </row>
    <row r="80" spans="1: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112</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112</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06"/>
  <sheetViews>
    <sheetView tabSelected="1" topLeftCell="H9" zoomScale="132" workbookViewId="0">
      <selection activeCell="E404" sqref="E40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78</v>
      </c>
      <c r="B1" t="s">
        <v>119</v>
      </c>
      <c r="C1" t="s">
        <v>73</v>
      </c>
      <c r="D1" t="s">
        <v>72</v>
      </c>
      <c r="E1" t="s">
        <v>38</v>
      </c>
      <c r="F1" t="s">
        <v>120</v>
      </c>
      <c r="G1" t="s">
        <v>121</v>
      </c>
    </row>
    <row r="2" spans="1:19" x14ac:dyDescent="0.3">
      <c r="A2" s="94">
        <v>45886</v>
      </c>
      <c r="B2" s="89" t="s">
        <v>122</v>
      </c>
      <c r="C2" s="11"/>
      <c r="D2" s="95">
        <f>[1]Cashbook!$R$10</f>
        <v>-145318</v>
      </c>
      <c r="E2" s="89"/>
      <c r="F2" s="96" t="s">
        <v>117</v>
      </c>
    </row>
    <row r="3" spans="1:19" x14ac:dyDescent="0.3">
      <c r="A3" s="94">
        <v>45886</v>
      </c>
      <c r="B3" s="89" t="s">
        <v>122</v>
      </c>
      <c r="C3" s="11"/>
      <c r="D3" s="95">
        <f>[1]Cashbook!$R$11</f>
        <v>-716401</v>
      </c>
      <c r="E3" s="89"/>
      <c r="F3" s="96" t="s">
        <v>118</v>
      </c>
      <c r="J3" s="55" t="s">
        <v>47</v>
      </c>
      <c r="K3" s="40" t="s">
        <v>48</v>
      </c>
      <c r="P3" t="s">
        <v>115</v>
      </c>
    </row>
    <row r="4" spans="1:19" x14ac:dyDescent="0.3">
      <c r="A4" s="1">
        <v>45886</v>
      </c>
      <c r="B4" t="s">
        <v>21</v>
      </c>
      <c r="C4" s="11"/>
      <c r="D4" s="11">
        <v>26650</v>
      </c>
      <c r="E4" t="s">
        <v>123</v>
      </c>
      <c r="F4" s="52" t="s">
        <v>117</v>
      </c>
      <c r="J4" s="53" t="s">
        <v>73</v>
      </c>
      <c r="K4" s="54">
        <f>Table14[[#Totals],[Debit]]</f>
        <v>11353933</v>
      </c>
    </row>
    <row r="5" spans="1:19" x14ac:dyDescent="0.3">
      <c r="A5" s="43">
        <v>45886</v>
      </c>
      <c r="B5" t="s">
        <v>102</v>
      </c>
      <c r="C5" s="47">
        <v>26650</v>
      </c>
      <c r="D5" s="47"/>
      <c r="E5" t="s">
        <v>124</v>
      </c>
      <c r="F5" s="52" t="s">
        <v>117</v>
      </c>
      <c r="J5" s="53" t="s">
        <v>72</v>
      </c>
      <c r="K5" s="54">
        <f>Table14[[#Totals],[Credit]]</f>
        <v>11324846</v>
      </c>
    </row>
    <row r="6" spans="1:19" x14ac:dyDescent="0.3">
      <c r="A6" s="97">
        <v>45887</v>
      </c>
      <c r="B6" t="s">
        <v>125</v>
      </c>
      <c r="C6" s="11"/>
      <c r="D6" s="11">
        <v>17500</v>
      </c>
      <c r="E6" t="s">
        <v>126</v>
      </c>
      <c r="F6" s="52" t="s">
        <v>117</v>
      </c>
      <c r="J6" s="60" t="s">
        <v>45</v>
      </c>
      <c r="K6" s="61">
        <f>(K5-K4)</f>
        <v>-29087</v>
      </c>
    </row>
    <row r="7" spans="1:19" x14ac:dyDescent="0.3">
      <c r="A7" s="97">
        <v>45887</v>
      </c>
      <c r="B7" t="s">
        <v>57</v>
      </c>
      <c r="C7" s="11">
        <v>4500</v>
      </c>
      <c r="D7" s="11"/>
      <c r="E7" t="s">
        <v>127</v>
      </c>
      <c r="F7" s="52" t="s">
        <v>117</v>
      </c>
      <c r="P7" s="14">
        <f>Table18[[#Totals],[amount]]-Table18[[#Totals],[Actual]]</f>
        <v>-30927</v>
      </c>
    </row>
    <row r="8" spans="1:19" x14ac:dyDescent="0.3">
      <c r="A8" s="97">
        <v>45887</v>
      </c>
      <c r="B8" t="s">
        <v>21</v>
      </c>
      <c r="C8" s="11"/>
      <c r="D8" s="11">
        <v>400000</v>
      </c>
      <c r="E8" t="s">
        <v>87</v>
      </c>
      <c r="F8" s="52" t="s">
        <v>117</v>
      </c>
      <c r="Q8" s="55" t="s">
        <v>47</v>
      </c>
      <c r="R8" s="58" t="s">
        <v>113</v>
      </c>
      <c r="S8" s="99" t="s">
        <v>114</v>
      </c>
    </row>
    <row r="9" spans="1:19" x14ac:dyDescent="0.3">
      <c r="A9" s="97">
        <v>45887</v>
      </c>
      <c r="B9" t="s">
        <v>102</v>
      </c>
      <c r="C9" s="11">
        <v>300000</v>
      </c>
      <c r="D9" s="11"/>
      <c r="E9" t="s">
        <v>128</v>
      </c>
      <c r="F9" s="52" t="s">
        <v>117</v>
      </c>
      <c r="Q9" s="53" t="s">
        <v>116</v>
      </c>
      <c r="R9" s="59">
        <f>SUMIFS(Table14[Withdrawal],Table14[Party],"Cash",Table14[Mode],"Transfer")</f>
        <v>570000</v>
      </c>
    </row>
    <row r="10" spans="1:19" x14ac:dyDescent="0.3">
      <c r="A10" s="97">
        <v>45887</v>
      </c>
      <c r="B10" t="s">
        <v>57</v>
      </c>
      <c r="C10" s="11">
        <v>1100</v>
      </c>
      <c r="D10" s="11"/>
      <c r="E10" t="s">
        <v>129</v>
      </c>
      <c r="F10" s="52" t="s">
        <v>118</v>
      </c>
      <c r="Q10" s="53" t="s">
        <v>117</v>
      </c>
      <c r="R10" s="54">
        <f>(SUMIFS(Table14[Credit],Table14[Mode],"Bank")-SUMIFS(Table14[Debit],Table14[Mode],"Bank")-SUMIFS(Table14[Withdrawal],Table14[Mode],"Transfer"))</f>
        <v>-41752</v>
      </c>
      <c r="S10">
        <v>320</v>
      </c>
    </row>
    <row r="11" spans="1:19" x14ac:dyDescent="0.3">
      <c r="A11" s="97">
        <v>45887</v>
      </c>
      <c r="B11" t="s">
        <v>56</v>
      </c>
      <c r="C11" s="11">
        <v>1000</v>
      </c>
      <c r="D11" s="11"/>
      <c r="E11" t="s">
        <v>130</v>
      </c>
      <c r="F11" s="52" t="s">
        <v>118</v>
      </c>
      <c r="Q11" s="53" t="s">
        <v>118</v>
      </c>
      <c r="R11" s="54">
        <f>((SUMIFS(Table14[Credit],Table14[Mode],"Cash")-SUMIFS(Table14[Debit],Table14[Mode],"Cash"))+SUMIFS(Table14[Withdrawal],Table14[Party],"Cash",Table14[Mode],"Transfer"))</f>
        <v>12665</v>
      </c>
      <c r="S11">
        <v>1520</v>
      </c>
    </row>
    <row r="12" spans="1:19" x14ac:dyDescent="0.3">
      <c r="A12" s="97">
        <v>45887</v>
      </c>
      <c r="B12" t="s">
        <v>52</v>
      </c>
      <c r="C12" s="11">
        <v>260</v>
      </c>
      <c r="D12" s="11"/>
      <c r="E12" t="s">
        <v>131</v>
      </c>
      <c r="F12" s="52" t="s">
        <v>118</v>
      </c>
      <c r="Q12" s="56" t="s">
        <v>5</v>
      </c>
      <c r="R12" s="57">
        <f>SUM(R10:R11)</f>
        <v>-29087</v>
      </c>
      <c r="S12" s="100">
        <f>SUM(S10,S11)</f>
        <v>1840</v>
      </c>
    </row>
    <row r="13" spans="1:19" x14ac:dyDescent="0.3">
      <c r="A13" s="97">
        <v>45887</v>
      </c>
      <c r="B13" t="s">
        <v>56</v>
      </c>
      <c r="C13" s="47">
        <v>4869</v>
      </c>
      <c r="D13" s="47"/>
      <c r="E13" t="s">
        <v>132</v>
      </c>
      <c r="F13" s="52" t="s">
        <v>117</v>
      </c>
    </row>
    <row r="14" spans="1:19" x14ac:dyDescent="0.3">
      <c r="A14" s="43">
        <v>45887</v>
      </c>
      <c r="B14" t="s">
        <v>25</v>
      </c>
      <c r="C14" s="47"/>
      <c r="D14" s="47">
        <v>100000</v>
      </c>
      <c r="E14" t="s">
        <v>133</v>
      </c>
      <c r="F14" s="52" t="s">
        <v>117</v>
      </c>
    </row>
    <row r="15" spans="1:19" x14ac:dyDescent="0.3">
      <c r="A15" s="97">
        <v>45887</v>
      </c>
      <c r="B15" t="s">
        <v>25</v>
      </c>
      <c r="C15" s="47"/>
      <c r="D15" s="47">
        <v>140000</v>
      </c>
      <c r="E15" t="s">
        <v>87</v>
      </c>
      <c r="F15" s="52" t="s">
        <v>117</v>
      </c>
    </row>
    <row r="16" spans="1:19"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186000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3329945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5138900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569754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175000</v>
      </c>
    </row>
    <row r="177" spans="1:12" x14ac:dyDescent="0.3">
      <c r="A177" s="97">
        <v>45897</v>
      </c>
      <c r="B177" t="s">
        <v>52</v>
      </c>
      <c r="C177" s="11">
        <v>1000</v>
      </c>
      <c r="D177" s="11"/>
      <c r="E177" t="s">
        <v>245</v>
      </c>
      <c r="F177" s="52" t="s">
        <v>118</v>
      </c>
      <c r="J177" s="4" t="s">
        <v>104</v>
      </c>
      <c r="K177" s="14"/>
      <c r="L177" s="14">
        <v>156000</v>
      </c>
    </row>
    <row r="178" spans="1:12" x14ac:dyDescent="0.3">
      <c r="A178" s="97">
        <v>45897</v>
      </c>
      <c r="B178" t="s">
        <v>21</v>
      </c>
      <c r="C178" s="47"/>
      <c r="D178" s="47">
        <v>1000</v>
      </c>
      <c r="E178" t="s">
        <v>142</v>
      </c>
      <c r="F178" s="52" t="s">
        <v>117</v>
      </c>
      <c r="J178" s="4" t="s">
        <v>141</v>
      </c>
      <c r="K178" s="14">
        <v>91826</v>
      </c>
      <c r="L178" s="14">
        <v>132854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242440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2000000</v>
      </c>
      <c r="L182" s="14"/>
    </row>
    <row r="183" spans="1:12" x14ac:dyDescent="0.3">
      <c r="A183" s="43">
        <v>45898</v>
      </c>
      <c r="B183" t="s">
        <v>56</v>
      </c>
      <c r="C183" s="11">
        <v>5316</v>
      </c>
      <c r="D183" s="11"/>
      <c r="E183" t="s">
        <v>229</v>
      </c>
      <c r="F183" s="52" t="s">
        <v>117</v>
      </c>
      <c r="J183" s="4" t="s">
        <v>24</v>
      </c>
      <c r="K183" s="14">
        <v>3779100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1067500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296150</v>
      </c>
      <c r="L190" s="14"/>
    </row>
    <row r="191" spans="1:12" x14ac:dyDescent="0.3">
      <c r="A191" s="97">
        <v>45898</v>
      </c>
      <c r="B191" t="s">
        <v>56</v>
      </c>
      <c r="C191" s="11">
        <v>1000</v>
      </c>
      <c r="D191" s="11"/>
      <c r="E191" t="s">
        <v>130</v>
      </c>
      <c r="F191" s="52" t="s">
        <v>117</v>
      </c>
      <c r="J191" s="4" t="s">
        <v>194</v>
      </c>
      <c r="K191" s="14"/>
      <c r="L191" s="14">
        <v>1382400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484130</v>
      </c>
    </row>
    <row r="194" spans="1:12" x14ac:dyDescent="0.3">
      <c r="A194" s="97">
        <v>45899</v>
      </c>
      <c r="B194" t="s">
        <v>250</v>
      </c>
      <c r="C194" s="11"/>
      <c r="D194" s="11">
        <v>200000</v>
      </c>
      <c r="E194" t="s">
        <v>87</v>
      </c>
      <c r="F194" s="52" t="s">
        <v>117</v>
      </c>
      <c r="J194" s="4" t="s">
        <v>66</v>
      </c>
      <c r="K194" s="14"/>
      <c r="L194" s="14">
        <v>32800</v>
      </c>
    </row>
    <row r="195" spans="1:12" x14ac:dyDescent="0.3">
      <c r="A195" s="97">
        <v>45899</v>
      </c>
      <c r="B195" t="s">
        <v>102</v>
      </c>
      <c r="C195" s="11">
        <v>300250</v>
      </c>
      <c r="D195" s="11"/>
      <c r="E195" t="s">
        <v>49</v>
      </c>
      <c r="F195" s="52" t="s">
        <v>117</v>
      </c>
      <c r="J195" s="4" t="s">
        <v>324</v>
      </c>
      <c r="K195" s="14">
        <v>200000</v>
      </c>
      <c r="L195" s="14"/>
    </row>
    <row r="196" spans="1:12" x14ac:dyDescent="0.3">
      <c r="A196" s="97">
        <v>45899</v>
      </c>
      <c r="B196" t="s">
        <v>57</v>
      </c>
      <c r="C196" s="11">
        <v>8218</v>
      </c>
      <c r="D196" s="11"/>
      <c r="E196" t="s">
        <v>160</v>
      </c>
      <c r="F196" s="52" t="s">
        <v>117</v>
      </c>
      <c r="J196" s="4" t="s">
        <v>28</v>
      </c>
      <c r="K196" s="14">
        <v>11324846</v>
      </c>
      <c r="L196" s="14">
        <v>11353933</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7" x14ac:dyDescent="0.3">
      <c r="A385" s="97">
        <v>45914</v>
      </c>
      <c r="B385" t="s">
        <v>102</v>
      </c>
      <c r="C385" s="47">
        <v>41500</v>
      </c>
      <c r="D385" s="47"/>
      <c r="E385" t="s">
        <v>341</v>
      </c>
      <c r="F385" s="52" t="s">
        <v>117</v>
      </c>
    </row>
    <row r="386" spans="1:7" x14ac:dyDescent="0.3">
      <c r="A386" s="43">
        <v>45914</v>
      </c>
      <c r="B386" t="s">
        <v>137</v>
      </c>
      <c r="C386" s="11">
        <v>8637</v>
      </c>
      <c r="D386" s="11"/>
      <c r="F386" s="52" t="s">
        <v>117</v>
      </c>
    </row>
    <row r="387" spans="1:7" x14ac:dyDescent="0.3">
      <c r="A387" s="97">
        <v>45914</v>
      </c>
      <c r="B387" t="s">
        <v>295</v>
      </c>
      <c r="C387" s="11">
        <v>150000</v>
      </c>
      <c r="D387" s="11"/>
      <c r="F387" s="52" t="s">
        <v>117</v>
      </c>
    </row>
    <row r="388" spans="1:7" x14ac:dyDescent="0.3">
      <c r="A388" s="97">
        <v>45915</v>
      </c>
      <c r="B388" t="s">
        <v>102</v>
      </c>
      <c r="C388" s="11">
        <v>36750</v>
      </c>
      <c r="D388" s="11"/>
      <c r="E388" t="s">
        <v>330</v>
      </c>
      <c r="F388" s="52" t="s">
        <v>117</v>
      </c>
    </row>
    <row r="389" spans="1:7" x14ac:dyDescent="0.3">
      <c r="A389" s="97">
        <v>45915</v>
      </c>
      <c r="B389" t="s">
        <v>102</v>
      </c>
      <c r="C389" s="11">
        <v>37500</v>
      </c>
      <c r="D389" s="11"/>
      <c r="E389" t="s">
        <v>191</v>
      </c>
      <c r="F389" s="52" t="s">
        <v>117</v>
      </c>
    </row>
    <row r="390" spans="1:7" x14ac:dyDescent="0.3">
      <c r="A390" s="97">
        <v>45915</v>
      </c>
      <c r="B390" t="s">
        <v>102</v>
      </c>
      <c r="C390" s="11">
        <v>39500</v>
      </c>
      <c r="D390" s="11"/>
      <c r="E390" t="s">
        <v>344</v>
      </c>
      <c r="F390" s="52" t="s">
        <v>118</v>
      </c>
    </row>
    <row r="391" spans="1:7" x14ac:dyDescent="0.3">
      <c r="A391" s="97">
        <v>45915</v>
      </c>
      <c r="B391" t="s">
        <v>321</v>
      </c>
      <c r="C391" s="11">
        <v>4500</v>
      </c>
      <c r="D391" s="11"/>
      <c r="E391" t="s">
        <v>345</v>
      </c>
      <c r="F391" s="52" t="s">
        <v>117</v>
      </c>
    </row>
    <row r="392" spans="1:7" x14ac:dyDescent="0.3">
      <c r="A392" s="43">
        <v>45915</v>
      </c>
      <c r="B392" t="s">
        <v>57</v>
      </c>
      <c r="C392" s="47">
        <v>950</v>
      </c>
      <c r="D392" s="47"/>
      <c r="E392" t="s">
        <v>346</v>
      </c>
      <c r="F392" s="52" t="s">
        <v>118</v>
      </c>
    </row>
    <row r="393" spans="1:7" x14ac:dyDescent="0.3">
      <c r="A393" s="97">
        <v>45915</v>
      </c>
      <c r="B393" t="s">
        <v>118</v>
      </c>
      <c r="C393" s="11"/>
      <c r="D393" s="11"/>
      <c r="F393" s="52" t="s">
        <v>159</v>
      </c>
      <c r="G393">
        <v>45000</v>
      </c>
    </row>
    <row r="394" spans="1:7" x14ac:dyDescent="0.3">
      <c r="A394" s="97">
        <v>45915</v>
      </c>
      <c r="B394" t="s">
        <v>125</v>
      </c>
      <c r="C394" s="11"/>
      <c r="D394" s="11">
        <v>35000</v>
      </c>
      <c r="F394" s="52" t="s">
        <v>118</v>
      </c>
    </row>
    <row r="395" spans="1:7" x14ac:dyDescent="0.3">
      <c r="A395" s="97">
        <v>45915</v>
      </c>
      <c r="B395" t="s">
        <v>57</v>
      </c>
      <c r="C395" s="11">
        <v>400</v>
      </c>
      <c r="D395" s="11"/>
      <c r="F395" s="52" t="s">
        <v>118</v>
      </c>
    </row>
    <row r="396" spans="1:7" x14ac:dyDescent="0.3">
      <c r="A396" s="97">
        <v>45915</v>
      </c>
      <c r="B396" t="s">
        <v>57</v>
      </c>
      <c r="C396" s="11">
        <v>10520</v>
      </c>
      <c r="D396" s="11"/>
      <c r="E396" t="s">
        <v>347</v>
      </c>
      <c r="F396" s="52" t="s">
        <v>117</v>
      </c>
    </row>
    <row r="397" spans="1:7" x14ac:dyDescent="0.3">
      <c r="A397" s="97">
        <v>45915</v>
      </c>
      <c r="B397" t="s">
        <v>310</v>
      </c>
      <c r="C397" s="11"/>
      <c r="D397" s="11">
        <v>10520</v>
      </c>
      <c r="F397" s="52" t="s">
        <v>117</v>
      </c>
    </row>
    <row r="398" spans="1:7" x14ac:dyDescent="0.3">
      <c r="A398" s="43">
        <v>45915</v>
      </c>
      <c r="B398" t="s">
        <v>57</v>
      </c>
      <c r="C398" s="47">
        <f>910+200</f>
        <v>1110</v>
      </c>
      <c r="D398" s="47"/>
      <c r="E398" t="s">
        <v>348</v>
      </c>
      <c r="F398" s="52" t="s">
        <v>118</v>
      </c>
    </row>
    <row r="399" spans="1:7" x14ac:dyDescent="0.3">
      <c r="A399" s="97">
        <v>45915</v>
      </c>
      <c r="B399" t="s">
        <v>102</v>
      </c>
      <c r="C399" s="11">
        <v>27500</v>
      </c>
      <c r="D399" s="11"/>
      <c r="E399" t="s">
        <v>349</v>
      </c>
      <c r="F399" s="52" t="s">
        <v>118</v>
      </c>
    </row>
    <row r="400" spans="1:7" x14ac:dyDescent="0.3">
      <c r="A400" s="43">
        <v>45915</v>
      </c>
      <c r="B400" t="s">
        <v>21</v>
      </c>
      <c r="C400" s="47"/>
      <c r="D400" s="47">
        <v>115000</v>
      </c>
      <c r="E400" t="s">
        <v>350</v>
      </c>
      <c r="F400" s="52" t="s">
        <v>117</v>
      </c>
    </row>
    <row r="401" spans="1:7" x14ac:dyDescent="0.3">
      <c r="A401" s="97">
        <v>45915</v>
      </c>
      <c r="B401" t="s">
        <v>153</v>
      </c>
      <c r="C401" s="11">
        <v>115000</v>
      </c>
      <c r="D401" s="11"/>
      <c r="F401" s="52" t="s">
        <v>117</v>
      </c>
    </row>
    <row r="402" spans="1:7" x14ac:dyDescent="0.3">
      <c r="A402" s="43">
        <v>45915</v>
      </c>
      <c r="B402" t="s">
        <v>21</v>
      </c>
      <c r="C402" s="11"/>
      <c r="D402" s="11">
        <v>11000</v>
      </c>
      <c r="E402" t="s">
        <v>104</v>
      </c>
      <c r="F402" s="52" t="s">
        <v>117</v>
      </c>
    </row>
    <row r="403" spans="1:7" x14ac:dyDescent="0.3">
      <c r="A403" s="97">
        <v>45915</v>
      </c>
      <c r="B403" t="s">
        <v>104</v>
      </c>
      <c r="C403" s="11">
        <v>11000</v>
      </c>
      <c r="D403" s="11"/>
      <c r="F403" s="52" t="s">
        <v>117</v>
      </c>
    </row>
    <row r="404" spans="1:7" x14ac:dyDescent="0.3">
      <c r="A404" s="116">
        <v>45916</v>
      </c>
      <c r="B404" t="s">
        <v>194</v>
      </c>
      <c r="C404" s="11">
        <v>40000</v>
      </c>
      <c r="D404" s="11"/>
      <c r="E404" t="s">
        <v>179</v>
      </c>
      <c r="F404" s="52" t="s">
        <v>117</v>
      </c>
    </row>
    <row r="405" spans="1:7" x14ac:dyDescent="0.3">
      <c r="A405" s="117">
        <v>45916</v>
      </c>
      <c r="B405" s="115" t="s">
        <v>152</v>
      </c>
      <c r="C405" s="47">
        <v>10000</v>
      </c>
      <c r="D405" s="47"/>
      <c r="E405" s="115" t="s">
        <v>241</v>
      </c>
      <c r="F405" s="118" t="s">
        <v>117</v>
      </c>
      <c r="G405" s="115"/>
    </row>
    <row r="406" spans="1:7" x14ac:dyDescent="0.3">
      <c r="A406" s="43"/>
      <c r="C406" s="14">
        <f>SUBTOTAL(109,Table14[Debit])</f>
        <v>11353933</v>
      </c>
      <c r="D406" s="14">
        <f>SUBTOTAL(109,Table14[Credit])</f>
        <v>11324846</v>
      </c>
      <c r="F406" s="62">
        <f>(Table14[[#Totals],[Credit]]-Table14[[#Totals],[Debit]])</f>
        <v>-29087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31" zoomScale="93" zoomScaleNormal="210" workbookViewId="0">
      <selection activeCell="C34" sqref="C34:C5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hidden="1"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hidden="1"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hidden="1"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9"/>
      <c r="M10" s="119">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9">
        <v>659500</v>
      </c>
      <c r="M11" s="119">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9">
        <v>154500</v>
      </c>
      <c r="M12" s="119">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9"/>
      <c r="M13" s="119">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9"/>
      <c r="M14" s="119">
        <v>-500000</v>
      </c>
    </row>
    <row r="15" spans="1:14" x14ac:dyDescent="0.3">
      <c r="A15" s="1">
        <v>45889</v>
      </c>
      <c r="B15" t="s">
        <v>214</v>
      </c>
      <c r="C15">
        <v>1</v>
      </c>
      <c r="D15">
        <v>1650</v>
      </c>
      <c r="E15">
        <f>Table8[[#This Row],[Boxes]]*Table8[[#This Row],[Rate]]*25</f>
        <v>41250</v>
      </c>
      <c r="F15" t="s">
        <v>143</v>
      </c>
      <c r="H15">
        <f>Table8[[#This Row],[Price]]-Table8[[#This Row],[Paid]]</f>
        <v>41250</v>
      </c>
      <c r="K15" s="27">
        <v>45913</v>
      </c>
      <c r="L15" s="119">
        <v>394000</v>
      </c>
      <c r="M15" s="119">
        <v>394000</v>
      </c>
    </row>
    <row r="16" spans="1:14" hidden="1"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c r="K16" s="4" t="s">
        <v>28</v>
      </c>
      <c r="L16" s="119">
        <v>1208000</v>
      </c>
      <c r="M16" s="119">
        <v>708000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hidden="1" x14ac:dyDescent="0.3">
      <c r="A20" s="1">
        <v>45910</v>
      </c>
      <c r="B20" t="s">
        <v>206</v>
      </c>
      <c r="C20">
        <v>1</v>
      </c>
      <c r="E20">
        <v>28500</v>
      </c>
      <c r="F20" t="s">
        <v>105</v>
      </c>
      <c r="G20">
        <v>28500</v>
      </c>
      <c r="H20">
        <f>Table8[[#This Row],[Price]]-Table8[[#This Row],[Paid]]</f>
        <v>0</v>
      </c>
    </row>
    <row r="21" spans="1:9" hidden="1" x14ac:dyDescent="0.3">
      <c r="A21" s="1">
        <v>45910</v>
      </c>
      <c r="B21" t="s">
        <v>205</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F23" t="s">
        <v>143</v>
      </c>
      <c r="H23">
        <f>Table8[[#This Row],[Price]]-Table8[[#This Row],[Paid]]</f>
        <v>57000</v>
      </c>
    </row>
    <row r="24" spans="1:9" x14ac:dyDescent="0.3">
      <c r="A24" s="1">
        <v>45913</v>
      </c>
      <c r="B24" t="s">
        <v>239</v>
      </c>
      <c r="C24">
        <v>2</v>
      </c>
      <c r="D24">
        <v>1140</v>
      </c>
      <c r="E24">
        <f>Table8[[#This Row],[Boxes]]*Table8[[#This Row],[Rate]]*25</f>
        <v>57000</v>
      </c>
      <c r="F24" t="s">
        <v>143</v>
      </c>
      <c r="H24">
        <f>Table8[[#This Row],[Price]]-Table8[[#This Row],[Paid]]</f>
        <v>57000</v>
      </c>
    </row>
    <row r="25" spans="1:9" x14ac:dyDescent="0.3">
      <c r="A25" s="1">
        <v>45913</v>
      </c>
      <c r="B25" t="s">
        <v>238</v>
      </c>
      <c r="C25">
        <v>2</v>
      </c>
      <c r="D25">
        <v>1300</v>
      </c>
      <c r="E25">
        <f>Table8[[#This Row],[Boxes]]*Table8[[#This Row],[Rate]]*25</f>
        <v>65000</v>
      </c>
      <c r="F25" t="s">
        <v>143</v>
      </c>
      <c r="H25">
        <f>Table8[[#This Row],[Price]]-Table8[[#This Row],[Paid]]</f>
        <v>65000</v>
      </c>
    </row>
    <row r="26" spans="1:9" x14ac:dyDescent="0.3">
      <c r="A26" s="1">
        <v>45913</v>
      </c>
      <c r="B26" t="s">
        <v>204</v>
      </c>
      <c r="C26">
        <v>2</v>
      </c>
      <c r="D26">
        <v>920</v>
      </c>
      <c r="E26">
        <f>Table8[[#This Row],[Boxes]]*Table8[[#This Row],[Rate]]*25</f>
        <v>46000</v>
      </c>
      <c r="F26" t="s">
        <v>143</v>
      </c>
      <c r="H26">
        <f>Table8[[#This Row],[Price]]-Table8[[#This Row],[Paid]]</f>
        <v>46000</v>
      </c>
    </row>
    <row r="27" spans="1:9" x14ac:dyDescent="0.3">
      <c r="A27" s="1">
        <v>45913</v>
      </c>
      <c r="B27" t="s">
        <v>205</v>
      </c>
      <c r="C27">
        <v>2</v>
      </c>
      <c r="D27">
        <v>1130</v>
      </c>
      <c r="E27">
        <f>Table8[[#This Row],[Boxes]]*Table8[[#This Row],[Rate]]*25</f>
        <v>56500</v>
      </c>
      <c r="F27" t="s">
        <v>143</v>
      </c>
      <c r="H27">
        <f>Table8[[#This Row],[Price]]-Table8[[#This Row],[Paid]]</f>
        <v>56500</v>
      </c>
    </row>
    <row r="28" spans="1:9" x14ac:dyDescent="0.3">
      <c r="A28" s="1">
        <v>45913</v>
      </c>
      <c r="B28" t="s">
        <v>342</v>
      </c>
      <c r="C28">
        <v>1</v>
      </c>
      <c r="D28">
        <v>3100</v>
      </c>
      <c r="E28">
        <f>Table8[[#This Row],[Boxes]]*Table8[[#This Row],[Rate]]*25</f>
        <v>77500</v>
      </c>
      <c r="F28" t="s">
        <v>143</v>
      </c>
      <c r="H28">
        <f>Table8[[#This Row],[Price]]-Table8[[#This Row],[Paid]]</f>
        <v>77500</v>
      </c>
    </row>
    <row r="29" spans="1:9" x14ac:dyDescent="0.3">
      <c r="A29" s="1">
        <v>45913</v>
      </c>
      <c r="B29" t="s">
        <v>212</v>
      </c>
      <c r="C29">
        <v>1</v>
      </c>
      <c r="D29">
        <v>1400</v>
      </c>
      <c r="E29">
        <f>Table8[[#This Row],[Boxes]]*Table8[[#This Row],[Rate]]*25</f>
        <v>35000</v>
      </c>
      <c r="F29" t="s">
        <v>143</v>
      </c>
      <c r="H29">
        <f>Table8[[#This Row],[Price]]-Table8[[#This Row],[Paid]]</f>
        <v>35000</v>
      </c>
    </row>
    <row r="30" spans="1:9" x14ac:dyDescent="0.3">
      <c r="E30">
        <f>SUBTOTAL(109,Table8[Price])</f>
        <v>1208000</v>
      </c>
      <c r="H30">
        <f>SUBTOTAL(109,Table8[Balance])</f>
        <v>708000</v>
      </c>
    </row>
    <row r="33" spans="1:5" x14ac:dyDescent="0.3">
      <c r="A33" t="s">
        <v>59</v>
      </c>
      <c r="B33" t="s">
        <v>351</v>
      </c>
      <c r="C33" t="s">
        <v>352</v>
      </c>
      <c r="D33" t="s">
        <v>4</v>
      </c>
      <c r="E33" t="s">
        <v>353</v>
      </c>
    </row>
    <row r="34" spans="1:5" x14ac:dyDescent="0.3">
      <c r="A34" t="s">
        <v>212</v>
      </c>
      <c r="B34">
        <v>1</v>
      </c>
      <c r="C34">
        <f>B34*25</f>
        <v>25</v>
      </c>
      <c r="D34">
        <v>1400</v>
      </c>
      <c r="E34">
        <f>D34*C34</f>
        <v>35000</v>
      </c>
    </row>
    <row r="35" spans="1:5" x14ac:dyDescent="0.3">
      <c r="A35" t="s">
        <v>209</v>
      </c>
      <c r="B35">
        <v>1</v>
      </c>
      <c r="C35">
        <f t="shared" ref="C35:C40" si="1">B35*25</f>
        <v>25</v>
      </c>
      <c r="D35">
        <v>1340</v>
      </c>
      <c r="E35">
        <f t="shared" ref="E35:E40" si="2">D35*C35</f>
        <v>33500</v>
      </c>
    </row>
    <row r="36" spans="1:5" x14ac:dyDescent="0.3">
      <c r="A36" t="s">
        <v>239</v>
      </c>
      <c r="B36">
        <v>2</v>
      </c>
      <c r="C36">
        <f t="shared" si="1"/>
        <v>50</v>
      </c>
      <c r="D36">
        <v>1140</v>
      </c>
      <c r="E36">
        <f t="shared" si="2"/>
        <v>57000</v>
      </c>
    </row>
    <row r="37" spans="1:5" x14ac:dyDescent="0.3">
      <c r="A37" t="s">
        <v>206</v>
      </c>
      <c r="B37">
        <v>1</v>
      </c>
      <c r="C37">
        <f t="shared" si="1"/>
        <v>25</v>
      </c>
      <c r="D37">
        <v>1140</v>
      </c>
      <c r="E37">
        <f t="shared" si="2"/>
        <v>28500</v>
      </c>
    </row>
    <row r="38" spans="1:5" x14ac:dyDescent="0.3">
      <c r="A38" t="s">
        <v>205</v>
      </c>
      <c r="B38">
        <v>2</v>
      </c>
      <c r="C38">
        <f t="shared" si="1"/>
        <v>50</v>
      </c>
      <c r="D38">
        <v>1130</v>
      </c>
      <c r="E38">
        <f t="shared" si="2"/>
        <v>56500</v>
      </c>
    </row>
    <row r="39" spans="1:5" x14ac:dyDescent="0.3">
      <c r="A39" t="s">
        <v>238</v>
      </c>
      <c r="B39">
        <v>1</v>
      </c>
      <c r="C39">
        <f t="shared" si="1"/>
        <v>25</v>
      </c>
      <c r="D39">
        <v>1300</v>
      </c>
      <c r="E39">
        <f t="shared" si="2"/>
        <v>32500</v>
      </c>
    </row>
    <row r="40" spans="1:5" x14ac:dyDescent="0.3">
      <c r="A40" s="19" t="s">
        <v>213</v>
      </c>
      <c r="B40" s="19">
        <v>1</v>
      </c>
      <c r="C40" s="19">
        <f t="shared" si="1"/>
        <v>25</v>
      </c>
      <c r="D40" s="19">
        <v>1450</v>
      </c>
      <c r="E40" s="19">
        <f t="shared" si="2"/>
        <v>36250</v>
      </c>
    </row>
    <row r="41" spans="1:5" x14ac:dyDescent="0.3">
      <c r="A41" t="s">
        <v>354</v>
      </c>
      <c r="C41">
        <v>6</v>
      </c>
      <c r="D41">
        <v>940</v>
      </c>
      <c r="E41">
        <f t="shared" ref="E41:E46" si="3">D41*C41</f>
        <v>5640</v>
      </c>
    </row>
    <row r="42" spans="1:5" x14ac:dyDescent="0.3">
      <c r="A42" t="s">
        <v>205</v>
      </c>
      <c r="C42">
        <v>8</v>
      </c>
      <c r="D42">
        <v>1130</v>
      </c>
      <c r="E42">
        <f t="shared" si="3"/>
        <v>9040</v>
      </c>
    </row>
    <row r="43" spans="1:5" x14ac:dyDescent="0.3">
      <c r="A43" t="s">
        <v>238</v>
      </c>
      <c r="C43">
        <v>10</v>
      </c>
      <c r="D43">
        <v>1300</v>
      </c>
      <c r="E43">
        <f t="shared" si="3"/>
        <v>13000</v>
      </c>
    </row>
    <row r="44" spans="1:5" x14ac:dyDescent="0.3">
      <c r="A44" t="s">
        <v>214</v>
      </c>
      <c r="C44">
        <v>9</v>
      </c>
      <c r="D44">
        <v>1650</v>
      </c>
      <c r="E44">
        <f t="shared" si="3"/>
        <v>14850</v>
      </c>
    </row>
    <row r="45" spans="1:5" x14ac:dyDescent="0.3">
      <c r="A45" t="s">
        <v>209</v>
      </c>
      <c r="C45">
        <v>5</v>
      </c>
      <c r="D45">
        <v>1340</v>
      </c>
      <c r="E45">
        <f t="shared" si="3"/>
        <v>6700</v>
      </c>
    </row>
    <row r="46" spans="1:5" x14ac:dyDescent="0.3">
      <c r="A46" t="s">
        <v>213</v>
      </c>
      <c r="C46">
        <v>20</v>
      </c>
      <c r="D46">
        <v>1450</v>
      </c>
      <c r="E46">
        <f t="shared" si="3"/>
        <v>29000</v>
      </c>
    </row>
    <row r="47" spans="1:5" x14ac:dyDescent="0.3">
      <c r="A47" t="s">
        <v>212</v>
      </c>
      <c r="C47">
        <v>8</v>
      </c>
      <c r="D47">
        <v>1400</v>
      </c>
      <c r="E47">
        <f t="shared" ref="E47:E49" si="4">D47*C47</f>
        <v>11200</v>
      </c>
    </row>
    <row r="48" spans="1:5" x14ac:dyDescent="0.3">
      <c r="A48" t="s">
        <v>355</v>
      </c>
      <c r="C48">
        <v>2</v>
      </c>
      <c r="D48">
        <v>1000</v>
      </c>
      <c r="E48">
        <f t="shared" si="4"/>
        <v>2000</v>
      </c>
    </row>
    <row r="49" spans="1:5" x14ac:dyDescent="0.3">
      <c r="A49" t="s">
        <v>211</v>
      </c>
      <c r="C49">
        <v>20</v>
      </c>
      <c r="D49">
        <v>1650</v>
      </c>
      <c r="E49">
        <f t="shared" si="4"/>
        <v>33000</v>
      </c>
    </row>
    <row r="50" spans="1:5" x14ac:dyDescent="0.3">
      <c r="A50" t="s">
        <v>139</v>
      </c>
      <c r="C50">
        <v>15</v>
      </c>
      <c r="D50">
        <v>1130</v>
      </c>
      <c r="E50">
        <f t="shared" ref="E50:E55" si="5">D50*C50</f>
        <v>16950</v>
      </c>
    </row>
    <row r="51" spans="1:5" x14ac:dyDescent="0.3">
      <c r="A51" t="s">
        <v>342</v>
      </c>
      <c r="C51">
        <v>25</v>
      </c>
      <c r="D51">
        <v>3100</v>
      </c>
      <c r="E51">
        <f t="shared" si="5"/>
        <v>77500</v>
      </c>
    </row>
    <row r="52" spans="1:5" x14ac:dyDescent="0.3">
      <c r="A52" t="s">
        <v>206</v>
      </c>
      <c r="C52">
        <v>10</v>
      </c>
      <c r="D52">
        <v>1140</v>
      </c>
      <c r="E52">
        <f t="shared" si="5"/>
        <v>11400</v>
      </c>
    </row>
    <row r="53" spans="1:5" x14ac:dyDescent="0.3">
      <c r="A53" t="s">
        <v>239</v>
      </c>
      <c r="C53">
        <v>5</v>
      </c>
      <c r="D53">
        <v>1140</v>
      </c>
      <c r="E53">
        <f t="shared" si="5"/>
        <v>5700</v>
      </c>
    </row>
    <row r="54" spans="1:5" x14ac:dyDescent="0.3">
      <c r="A54" t="s">
        <v>356</v>
      </c>
      <c r="C54">
        <v>9</v>
      </c>
      <c r="D54">
        <v>1000</v>
      </c>
      <c r="E54">
        <f t="shared" si="5"/>
        <v>9000</v>
      </c>
    </row>
    <row r="55" spans="1:5" x14ac:dyDescent="0.3">
      <c r="A55" t="s">
        <v>357</v>
      </c>
      <c r="C55">
        <v>10</v>
      </c>
      <c r="D55">
        <v>1000</v>
      </c>
      <c r="E55">
        <f t="shared" si="5"/>
        <v>10000</v>
      </c>
    </row>
    <row r="56" spans="1:5" x14ac:dyDescent="0.3">
      <c r="E56">
        <f>SUM(Table24[total])</f>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F13" sqref="F13"/>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hidden="1" x14ac:dyDescent="0.3">
      <c r="A5" s="93">
        <v>45885</v>
      </c>
      <c r="B5" s="93" t="s">
        <v>153</v>
      </c>
      <c r="C5" s="90" t="s">
        <v>88</v>
      </c>
      <c r="D5" s="90"/>
      <c r="E5" s="90"/>
      <c r="F5" s="90"/>
      <c r="G5" s="90">
        <f>SUMIFS(Table14[Debit], Table14[Date], Table2[[#This Row],[Date]], Table14[Party], Table2[[#This Row],[Party Name]])</f>
        <v>0</v>
      </c>
      <c r="H5" s="90">
        <v>95000</v>
      </c>
      <c r="J5" s="4" t="s">
        <v>153</v>
      </c>
      <c r="K5" s="119">
        <v>25000</v>
      </c>
      <c r="L5" s="119">
        <v>175000</v>
      </c>
      <c r="M5" s="119">
        <v>-55000</v>
      </c>
    </row>
    <row r="6" spans="1:13" hidden="1" x14ac:dyDescent="0.3">
      <c r="A6" s="1">
        <v>45885</v>
      </c>
      <c r="B6" s="1" t="s">
        <v>105</v>
      </c>
      <c r="C6" t="s">
        <v>63</v>
      </c>
      <c r="D6">
        <v>10</v>
      </c>
      <c r="F6">
        <v>69950</v>
      </c>
      <c r="G6">
        <v>69950</v>
      </c>
      <c r="H6">
        <f>Table2[[#This Row],[Price]]-Table2[[#This Row],[Paid]]</f>
        <v>0</v>
      </c>
      <c r="J6" s="4" t="s">
        <v>105</v>
      </c>
      <c r="K6" s="119">
        <v>123050</v>
      </c>
      <c r="L6" s="119">
        <v>123050</v>
      </c>
      <c r="M6" s="119">
        <v>0</v>
      </c>
    </row>
    <row r="7" spans="1:13" hidden="1" x14ac:dyDescent="0.3">
      <c r="A7" s="1">
        <v>45889</v>
      </c>
      <c r="B7" s="1" t="s">
        <v>153</v>
      </c>
      <c r="G7">
        <f>SUMIFS(Table14[Debit], Table14[Date], Table2[[#This Row],[Date]], Table14[Party], Table2[[#This Row],[Party Name]])</f>
        <v>60000</v>
      </c>
      <c r="H7">
        <f>Table2[[#This Row],[Price]]-Table2[[#This Row],[Paid]]</f>
        <v>-60000</v>
      </c>
      <c r="J7" s="4" t="s">
        <v>168</v>
      </c>
      <c r="K7" s="119">
        <v>735350</v>
      </c>
      <c r="L7" s="119">
        <v>424850</v>
      </c>
      <c r="M7" s="119">
        <v>310500</v>
      </c>
    </row>
    <row r="8" spans="1:13" hidden="1"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9">
        <v>883400</v>
      </c>
      <c r="L8" s="119">
        <v>722900</v>
      </c>
      <c r="M8" s="119">
        <v>255500</v>
      </c>
    </row>
    <row r="9" spans="1:13" hidden="1"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hidden="1"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45913</v>
      </c>
      <c r="B14" s="1" t="s">
        <v>168</v>
      </c>
      <c r="C14" t="s">
        <v>63</v>
      </c>
      <c r="D14">
        <v>45</v>
      </c>
      <c r="F14">
        <v>310500</v>
      </c>
      <c r="G14">
        <f>SUMIFS(Table14[Debit], Table14[Date], Table2[[#This Row],[Date]], Table14[Party], Table2[[#This Row],[Party Name]])</f>
        <v>0</v>
      </c>
      <c r="H14">
        <f>Table2[[#This Row],[Price]]-Table2[[#This Row],[Paid]]</f>
        <v>310500</v>
      </c>
    </row>
    <row r="15" spans="1:13" hidden="1" x14ac:dyDescent="0.3">
      <c r="A15" s="1">
        <v>45915</v>
      </c>
      <c r="B15" s="1" t="s">
        <v>153</v>
      </c>
      <c r="G15">
        <f>SUMIFS(Table14[Debit], Table14[Date], Table2[[#This Row],[Date]], Table14[Party], Table2[[#This Row],[Party Name]])</f>
        <v>115000</v>
      </c>
      <c r="H15">
        <f>Table2[[#This Row],[Price]]-Table2[[#This Row],[Paid]]</f>
        <v>-115000</v>
      </c>
    </row>
    <row r="16" spans="1:13" x14ac:dyDescent="0.3">
      <c r="A16" s="1"/>
      <c r="F16">
        <f>SUBTOTAL(109,Table2[Price])</f>
        <v>735350</v>
      </c>
      <c r="G16">
        <f>SUBTOTAL(109,Table2[Paid])</f>
        <v>424850</v>
      </c>
      <c r="H16">
        <f>SUBTOTAL(109,Table2[Balance])</f>
        <v>310500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9" zoomScale="118" workbookViewId="0">
      <selection activeCell="B22" sqref="B22"/>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78</v>
      </c>
      <c r="C2" t="s">
        <v>48</v>
      </c>
      <c r="D2" t="s">
        <v>68</v>
      </c>
      <c r="E2" t="s">
        <v>69</v>
      </c>
      <c r="H2" t="s">
        <v>78</v>
      </c>
      <c r="I2" t="s">
        <v>220</v>
      </c>
      <c r="J2" t="s">
        <v>221</v>
      </c>
    </row>
    <row r="3" spans="2:10" x14ac:dyDescent="0.3">
      <c r="B3" s="1">
        <v>45893</v>
      </c>
      <c r="C3" s="20">
        <f>SUMIFS(Table14[Debit], Table14[Date], Table11[[#This Row],[Date]], Table14[Party],"Salary ", Table14[Description],Table11[[#This Row],[Column1]])</f>
        <v>0</v>
      </c>
      <c r="H3" s="1">
        <v>45886</v>
      </c>
      <c r="I3">
        <v>4000</v>
      </c>
      <c r="J3" t="s">
        <v>173</v>
      </c>
    </row>
    <row r="4" spans="2:10"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row>
    <row r="5" spans="2:10"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row>
    <row r="6" spans="2:10" x14ac:dyDescent="0.3">
      <c r="B6" s="1">
        <v>45895</v>
      </c>
      <c r="C6" s="20">
        <f>SUMIFS(Table14[Debit], Table14[Date], Table11[[#This Row],[Date]], Table14[Party],"Salary ", Table14[Description],Table11[[#This Row],[Column1]])</f>
        <v>35000</v>
      </c>
      <c r="D6" t="s">
        <v>179</v>
      </c>
      <c r="H6" s="1">
        <v>45889</v>
      </c>
      <c r="I6">
        <f>SUMIFS(Table14[Debit], Table14[Date], Table16[[#This Row],[Date]], Table14[Party], "Advance Salary", Table14[Description], Table16[[#This Row],[Person]] )</f>
        <v>1000</v>
      </c>
      <c r="J6" t="s">
        <v>237</v>
      </c>
    </row>
    <row r="7" spans="2:10" x14ac:dyDescent="0.3">
      <c r="B7" s="1">
        <v>45897</v>
      </c>
      <c r="C7" s="20">
        <f>SUMIFS(Table14[Debit], Table14[Date], Table11[[#This Row],[Date]], Table14[Party],"Salary ", Table14[Description],Table11[[#This Row],[Column1]])</f>
        <v>0</v>
      </c>
      <c r="H7" s="1">
        <v>45890</v>
      </c>
      <c r="I7">
        <f>SUMIFS(Table14[Debit], Table14[Date], Table16[[#This Row],[Date]], Table14[Party], "Advance Salary", Table14[Description], Table16[[#This Row],[Person]] )</f>
        <v>5000</v>
      </c>
      <c r="J7" t="s">
        <v>157</v>
      </c>
    </row>
    <row r="8" spans="2:10" x14ac:dyDescent="0.3">
      <c r="B8" s="1">
        <v>45898</v>
      </c>
      <c r="C8" s="20">
        <f>SUMIFS(Table14[Debit], Table14[Date], Table11[[#This Row],[Date]], Table14[Party],"Salary ", Table14[Description],Table11[[#This Row],[Column1]])</f>
        <v>0</v>
      </c>
      <c r="H8" s="1">
        <v>45892</v>
      </c>
      <c r="I8">
        <f>SUMIFS(Table14[Debit], Table14[Date], Table16[[#This Row],[Date]], Table14[Party], "Advance Salary", Table14[Description], Table16[[#This Row],[Person]] )</f>
        <v>10000</v>
      </c>
      <c r="J8" t="s">
        <v>173</v>
      </c>
    </row>
    <row r="9" spans="2:10" x14ac:dyDescent="0.3">
      <c r="B9" s="1">
        <v>45899</v>
      </c>
      <c r="C9" s="20">
        <f>SUMIFS(Table14[Debit], Table14[Date], Table11[[#This Row],[Date]], Table14[Party],"Salary ", Table14[Description],Table11[[#This Row],[Column1]])</f>
        <v>13000</v>
      </c>
      <c r="D9" t="s">
        <v>252</v>
      </c>
      <c r="H9" s="1"/>
    </row>
    <row r="10" spans="2:10" x14ac:dyDescent="0.3">
      <c r="B10" s="1">
        <v>45900</v>
      </c>
      <c r="C10" s="20">
        <f>SUMIFS(Table14[Debit], Table14[Date], Table11[[#This Row],[Date]], Table14[Party],"Salary ", Table14[Description],Table11[[#This Row],[Column1]])</f>
        <v>100000</v>
      </c>
      <c r="D10" t="s">
        <v>125</v>
      </c>
      <c r="H10" s="1">
        <v>45892</v>
      </c>
      <c r="I10">
        <f>SUMIFS(Table14[Debit], Table14[Date], Table16[[#This Row],[Date]], Table14[Party], "Advance Salary", Table14[Description], Table16[[#This Row],[Person]] )</f>
        <v>1000</v>
      </c>
      <c r="J10" t="s">
        <v>176</v>
      </c>
    </row>
    <row r="11" spans="2:10" x14ac:dyDescent="0.3">
      <c r="B11" s="1">
        <v>45901</v>
      </c>
      <c r="C11" s="20">
        <f>SUMIFS(Table14[Debit], Table14[Date], Table11[[#This Row],[Date]], Table14[Party],"Salary ", Table14[Description],Table11[[#This Row],[Column1]])</f>
        <v>10400</v>
      </c>
      <c r="D11" t="s">
        <v>261</v>
      </c>
      <c r="E11" t="s">
        <v>262</v>
      </c>
      <c r="H11" s="1">
        <v>45893</v>
      </c>
      <c r="I11">
        <f>SUMIFS(Table14[Debit], Table14[Date], Table16[[#This Row],[Date]], Table14[Party], "Advance Salary", Table14[Description], Table16[[#This Row],[Person]] )</f>
        <v>30000</v>
      </c>
      <c r="J11" t="s">
        <v>179</v>
      </c>
    </row>
    <row r="12" spans="2:10" x14ac:dyDescent="0.3">
      <c r="B12" s="1">
        <v>45902</v>
      </c>
      <c r="C12" s="20">
        <f>SUMIFS(Table14[Debit], Table14[Date], Table11[[#This Row],[Date]], Table14[Party],"Salary ", Table14[Description],Table11[[#This Row],[Column1]])</f>
        <v>25000</v>
      </c>
      <c r="D12" t="s">
        <v>176</v>
      </c>
      <c r="E12" t="s">
        <v>275</v>
      </c>
      <c r="H12" s="1">
        <v>45895</v>
      </c>
      <c r="I12">
        <f>SUMIFS(Table14[Debit], Table14[Date], Table16[[#This Row],[Date]], Table14[Party], "Advance Salary", Table14[Description], Table16[[#This Row],[Person]] )</f>
        <v>38000</v>
      </c>
      <c r="J12" t="s">
        <v>173</v>
      </c>
    </row>
    <row r="13" spans="2:10" x14ac:dyDescent="0.3">
      <c r="B13" s="1">
        <v>45902</v>
      </c>
      <c r="C13" s="20">
        <f>SUMIFS(Table14[Debit], Table14[Date], Table11[[#This Row],[Date]], Table14[Party],"Salary ", Table14[Description],Table11[[#This Row],[Column1]])</f>
        <v>8400</v>
      </c>
      <c r="D13" t="s">
        <v>271</v>
      </c>
      <c r="H13" s="1"/>
    </row>
    <row r="14" spans="2:10" x14ac:dyDescent="0.3">
      <c r="B14" s="1">
        <v>45910</v>
      </c>
      <c r="C14" s="20">
        <f>SUMIFS(Table14[Debit], Table14[Date], Table11[[#This Row],[Date]], Table14[Party],"Salary ", Table14[Description],Table11[[#This Row],[Column1]])</f>
        <v>5000</v>
      </c>
      <c r="D14" t="s">
        <v>322</v>
      </c>
      <c r="H14" s="1">
        <v>45895</v>
      </c>
      <c r="I14">
        <f>SUMIFS(Table14[Debit], Table14[Date], Table16[[#This Row],[Date]], Table14[Party], "Advance Salary", Table14[Description], Table16[[#This Row],[Person]] )</f>
        <v>10000</v>
      </c>
      <c r="J14" t="s">
        <v>234</v>
      </c>
    </row>
    <row r="15" spans="2:10" x14ac:dyDescent="0.3">
      <c r="B15" s="1">
        <v>45910</v>
      </c>
      <c r="C15" s="20">
        <f>SUMIFS(Table14[Debit], Table14[Date], Table11[[#This Row],[Date]], Table14[Party],"Salary ", Table14[Description],Table11[[#This Row],[Column1]])</f>
        <v>2000</v>
      </c>
      <c r="D15" t="s">
        <v>320</v>
      </c>
      <c r="H15" s="1">
        <v>45895</v>
      </c>
      <c r="I15">
        <f>SUMIFS(Table14[Debit], Table14[Date], Table16[[#This Row],[Date]], Table14[Party], "Advance Salary", Table14[Description], Table16[[#This Row],[Person]] )</f>
        <v>5000</v>
      </c>
      <c r="J15" t="s">
        <v>237</v>
      </c>
    </row>
    <row r="16" spans="2:10" x14ac:dyDescent="0.3">
      <c r="B16" s="1">
        <v>45911</v>
      </c>
      <c r="C16" s="20">
        <f>SUMIFS(Table14[Debit], Table14[Date], Table11[[#This Row],[Date]], Table14[Party],"Salary ", Table14[Description],Table11[[#This Row],[Column1]])</f>
        <v>847000</v>
      </c>
      <c r="D16" t="s">
        <v>54</v>
      </c>
      <c r="H16" s="1">
        <v>45896</v>
      </c>
      <c r="I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f>SUMIFS(Table14[Debit], Table14[Date], Table16[[#This Row],[Date]], Table14[Party], "Advance Salary", Table14[Description], Table16[[#This Row],[Person]] )</f>
        <v>5000</v>
      </c>
      <c r="J20" t="s">
        <v>176</v>
      </c>
    </row>
    <row r="21" spans="2:10" x14ac:dyDescent="0.3">
      <c r="B21" s="1">
        <v>45916</v>
      </c>
      <c r="C21" s="20">
        <f>SUMIFS(Table14[Debit], Table14[Date], Table11[[#This Row],[Date]], Table14[Party],"Salary ", Table14[Description],Table11[[#This Row],[Column1]])</f>
        <v>40000</v>
      </c>
      <c r="D21" t="s">
        <v>179</v>
      </c>
      <c r="H21" s="1">
        <v>45904</v>
      </c>
      <c r="I21">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f>SUMIFS(Table14[Debit], Table14[Date], Table16[[#This Row],[Date]], Table14[Party], "Advance Salary", Table14[Description], Table16[[#This Row],[Person]] )</f>
        <v>10000</v>
      </c>
      <c r="J28" t="s">
        <v>241</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1382400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1446651</v>
      </c>
      <c r="C2" s="37">
        <f>GETPIVOTDATA("Sum of Tiyaar/gaz",$A$3)</f>
        <v>1475322</v>
      </c>
      <c r="D2" s="36">
        <f>((B2*48)+((C2/1.0936)*10))/C2</f>
        <v>56.211292458583479</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343</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t="s">
        <v>28</v>
      </c>
      <c r="B64" s="35">
        <v>167135</v>
      </c>
      <c r="C64" s="35">
        <v>1475322</v>
      </c>
      <c r="D64" s="33">
        <f t="shared" si="25"/>
        <v>14.581893588370743</v>
      </c>
      <c r="E64" s="11">
        <f t="shared" si="26"/>
        <v>182778.83599999998</v>
      </c>
      <c r="F64" s="11">
        <f t="shared" si="27"/>
        <v>1475322</v>
      </c>
      <c r="G64" s="86">
        <f t="shared" si="28"/>
        <v>-707.16237847143316</v>
      </c>
      <c r="H64" s="33">
        <f t="shared" si="29"/>
        <v>1349050.8412582299</v>
      </c>
      <c r="I64" s="33">
        <f t="shared" si="30"/>
        <v>14.581893588370743</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12980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2025-09-16T22:37:42Z</cp:lastPrinted>
  <dcterms:created xsi:type="dcterms:W3CDTF">2025-06-24T04:42:48Z</dcterms:created>
  <dcterms:modified xsi:type="dcterms:W3CDTF">2025-09-16T22:47:58Z</dcterms:modified>
  <cp:category/>
  <cp:contentStatus/>
</cp:coreProperties>
</file>