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072" documentId="8_{4224AC12-CADB-4490-A83D-F531F0CDC7D0}" xr6:coauthVersionLast="47" xr6:coauthVersionMax="47" xr10:uidLastSave="{1470F8FE-4919-4846-BB72-6C75F64E1C6D}"/>
  <bookViews>
    <workbookView xWindow="-108" yWindow="-108" windowWidth="23256" windowHeight="12456" firstSheet="2"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41" r:id="rId18"/>
    <pivotCache cacheId="145" r:id="rId19"/>
    <pivotCache cacheId="150" r:id="rId20"/>
    <pivotCache cacheId="156" r:id="rId21"/>
    <pivotCache cacheId="163" r:id="rId22"/>
    <pivotCache cacheId="16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5" i="1" l="1"/>
  <c r="J125" i="1" s="1" a="1"/>
  <c r="J125" i="1" s="1"/>
  <c r="I126" i="1"/>
  <c r="J126" i="1" s="1" a="1"/>
  <c r="J126" i="1" s="1"/>
  <c r="H4" i="6" l="1"/>
  <c r="H65" i="6" s="1"/>
  <c r="C6" i="8"/>
  <c r="O6" i="12"/>
  <c r="F15" i="15"/>
  <c r="D2" i="17"/>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s="1" a="1"/>
  <c r="J119" i="1" s="1"/>
  <c r="I120" i="1"/>
  <c r="J120" i="1" s="1" a="1"/>
  <c r="J120" i="1" s="1"/>
  <c r="I121" i="1"/>
  <c r="J121" i="1" s="1" a="1"/>
  <c r="J121" i="1" s="1"/>
  <c r="I122" i="1"/>
  <c r="J122" i="1" s="1" a="1"/>
  <c r="J122" i="1" s="1"/>
  <c r="I123" i="1"/>
  <c r="J123" i="1" s="1" a="1"/>
  <c r="J123" i="1" s="1"/>
  <c r="I124" i="1"/>
  <c r="J124" i="1" s="1" a="1"/>
  <c r="J124" i="1" s="1"/>
  <c r="G64" i="6"/>
  <c r="I64" i="6"/>
  <c r="G63" i="6"/>
  <c r="I63" i="6"/>
  <c r="G62" i="6"/>
  <c r="I62" i="6"/>
  <c r="H58" i="6"/>
  <c r="I58" i="6"/>
  <c r="H59" i="6"/>
  <c r="I59" i="6"/>
  <c r="G58" i="6"/>
  <c r="G59" i="6"/>
  <c r="G60" i="6"/>
  <c r="G61" i="6"/>
  <c r="I60" i="6"/>
  <c r="I61" i="6"/>
  <c r="G15" i="15"/>
  <c r="H15" i="15"/>
  <c r="C398" i="17"/>
  <c r="I111" i="1"/>
  <c r="J111" i="1" s="1" a="1"/>
  <c r="J111" i="1" s="1"/>
  <c r="I112" i="1"/>
  <c r="J112" i="1" s="1" a="1"/>
  <c r="J112" i="1" s="1"/>
  <c r="I113" i="1"/>
  <c r="J113" i="1" s="1" a="1"/>
  <c r="J113" i="1" s="1"/>
  <c r="I114" i="1"/>
  <c r="J114" i="1" s="1" a="1"/>
  <c r="J114" i="1" s="1"/>
  <c r="I115" i="1"/>
  <c r="J115" i="1" s="1" a="1"/>
  <c r="J115" i="1" s="1"/>
  <c r="I116" i="1"/>
  <c r="I117" i="1"/>
  <c r="J117" i="1" s="1" a="1"/>
  <c r="J117" i="1" s="1"/>
  <c r="I118" i="1"/>
  <c r="J118" i="1" s="1" a="1"/>
  <c r="J118" i="1" s="1"/>
  <c r="H116" i="1"/>
  <c r="I98" i="1"/>
  <c r="J98" i="1" s="1" a="1"/>
  <c r="J98" i="1" s="1"/>
  <c r="O5" i="9" a="1"/>
  <c r="A4" i="20" s="1"/>
  <c r="A14" i="20"/>
  <c r="E24" i="7"/>
  <c r="H24" i="7"/>
  <c r="E25" i="7"/>
  <c r="H25" i="7"/>
  <c r="E26" i="7"/>
  <c r="H26" i="7"/>
  <c r="E27" i="7"/>
  <c r="H27" i="7"/>
  <c r="E28" i="7"/>
  <c r="H28" i="7"/>
  <c r="E29" i="7"/>
  <c r="H29" i="7"/>
  <c r="E23" i="7"/>
  <c r="H23" i="7"/>
  <c r="H56" i="6"/>
  <c r="I56" i="6"/>
  <c r="H57" i="6"/>
  <c r="I57" i="6"/>
  <c r="G56" i="6"/>
  <c r="G57" i="6"/>
  <c r="F13" i="15"/>
  <c r="G13" i="15"/>
  <c r="H13" i="15"/>
  <c r="G14" i="15"/>
  <c r="H14" i="15"/>
  <c r="H22" i="7"/>
  <c r="C344" i="17"/>
  <c r="H55" i="6"/>
  <c r="I55" i="6"/>
  <c r="H54" i="6"/>
  <c r="I54" i="6"/>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E57" i="2"/>
  <c r="F57" i="2"/>
  <c r="H57" i="2" s="1"/>
  <c r="I57" i="2" s="1"/>
  <c r="D57" i="2" s="1"/>
  <c r="E58" i="2"/>
  <c r="F58" i="2"/>
  <c r="G58" i="2" s="1"/>
  <c r="H112" i="1" s="1"/>
  <c r="E59" i="2"/>
  <c r="F59" i="2"/>
  <c r="H59" i="2" s="1"/>
  <c r="I59" i="2" s="1"/>
  <c r="D59" i="2" s="1"/>
  <c r="E60" i="2"/>
  <c r="F60" i="2"/>
  <c r="E61" i="2"/>
  <c r="F61" i="2"/>
  <c r="G61" i="2" s="1"/>
  <c r="E62" i="2"/>
  <c r="F62" i="2"/>
  <c r="H62" i="2" s="1"/>
  <c r="I62" i="2" s="1"/>
  <c r="D62" i="2" s="1"/>
  <c r="E63" i="2"/>
  <c r="F63" i="2"/>
  <c r="H63" i="2" s="1"/>
  <c r="I63" i="2" s="1"/>
  <c r="D63" i="2" s="1"/>
  <c r="E64" i="2"/>
  <c r="F64" i="2"/>
  <c r="H64" i="2"/>
  <c r="I64" i="2"/>
  <c r="D64" i="2" s="1"/>
  <c r="E65" i="2"/>
  <c r="F65" i="2"/>
  <c r="G65" i="2" s="1"/>
  <c r="H65" i="2"/>
  <c r="I65" i="2" s="1"/>
  <c r="D65" i="2" s="1"/>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E47" i="2"/>
  <c r="F47" i="2"/>
  <c r="G47" i="2" s="1"/>
  <c r="E48" i="2"/>
  <c r="F48" i="2"/>
  <c r="H48" i="2" s="1"/>
  <c r="I48" i="2" s="1"/>
  <c r="D48" i="2" s="1"/>
  <c r="E49" i="2"/>
  <c r="F49" i="2"/>
  <c r="H49" i="2"/>
  <c r="I49" i="2" s="1"/>
  <c r="D49" i="2" s="1"/>
  <c r="E50" i="2"/>
  <c r="F50" i="2"/>
  <c r="H50" i="2" s="1"/>
  <c r="I50" i="2" s="1"/>
  <c r="D50" i="2" s="1"/>
  <c r="E51" i="2"/>
  <c r="F51" i="2"/>
  <c r="G51" i="2" s="1"/>
  <c r="H100" i="1" s="1"/>
  <c r="E52" i="2"/>
  <c r="F52" i="2"/>
  <c r="H52" i="2" s="1"/>
  <c r="I52" i="2" s="1"/>
  <c r="D52" i="2" s="1"/>
  <c r="E53" i="2"/>
  <c r="F53" i="2"/>
  <c r="H53" i="2"/>
  <c r="I53" i="2" s="1"/>
  <c r="D53" i="2" s="1"/>
  <c r="E54" i="2"/>
  <c r="F54" i="2"/>
  <c r="E55" i="2"/>
  <c r="F55" i="2"/>
  <c r="G55" i="2" s="1"/>
  <c r="H107" i="1" s="1"/>
  <c r="H48" i="6"/>
  <c r="I48" i="6"/>
  <c r="H49" i="6"/>
  <c r="I49" i="6"/>
  <c r="H50" i="6"/>
  <c r="I50" i="6"/>
  <c r="H51" i="6"/>
  <c r="I51" i="6"/>
  <c r="H52" i="6"/>
  <c r="I52" i="6"/>
  <c r="I53" i="6"/>
  <c r="G49" i="6"/>
  <c r="G50" i="6"/>
  <c r="G51" i="6"/>
  <c r="G52" i="6"/>
  <c r="G53" i="6"/>
  <c r="H21" i="7"/>
  <c r="C17" i="12"/>
  <c r="C18" i="12"/>
  <c r="H47" i="6"/>
  <c r="I47" i="6"/>
  <c r="G47" i="6"/>
  <c r="G48" i="6"/>
  <c r="G19" i="7"/>
  <c r="H19" i="7"/>
  <c r="H44" i="6"/>
  <c r="I44" i="6"/>
  <c r="H20" i="7"/>
  <c r="I88" i="1"/>
  <c r="J88" i="1" s="1" a="1"/>
  <c r="J88" i="1" s="1"/>
  <c r="I89" i="1"/>
  <c r="J89" i="1" s="1" a="1"/>
  <c r="J89" i="1" s="1"/>
  <c r="I90" i="1"/>
  <c r="J90" i="1" s="1" a="1"/>
  <c r="J90" i="1" s="1"/>
  <c r="H45" i="6"/>
  <c r="I45" i="6"/>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c r="H42" i="6"/>
  <c r="I42" i="6"/>
  <c r="H39" i="6"/>
  <c r="I39" i="6"/>
  <c r="G39" i="6"/>
  <c r="G40" i="6"/>
  <c r="G42" i="6"/>
  <c r="D311" i="17"/>
  <c r="C304" i="17"/>
  <c r="I72" i="1"/>
  <c r="J72" i="1" s="1" a="1"/>
  <c r="J72" i="1" s="1"/>
  <c r="G38" i="6"/>
  <c r="I37" i="6"/>
  <c r="H38" i="6"/>
  <c r="I38" i="6"/>
  <c r="G37" i="6"/>
  <c r="I69" i="1"/>
  <c r="J69" i="1" s="1" a="1"/>
  <c r="J69" i="1" s="1"/>
  <c r="I70" i="1"/>
  <c r="J70" i="1" s="1" a="1"/>
  <c r="J70" i="1" s="1"/>
  <c r="I71" i="1"/>
  <c r="J71" i="1" s="1" a="1"/>
  <c r="J71" i="1" s="1"/>
  <c r="H34" i="6"/>
  <c r="I34" i="6"/>
  <c r="H35" i="6"/>
  <c r="I35" i="6"/>
  <c r="H36" i="6"/>
  <c r="I36" i="6"/>
  <c r="G35" i="6"/>
  <c r="G36" i="6"/>
  <c r="H33" i="6"/>
  <c r="I33" i="6"/>
  <c r="G33" i="6"/>
  <c r="G34" i="6"/>
  <c r="H31" i="6"/>
  <c r="I31" i="6"/>
  <c r="H28" i="6"/>
  <c r="I28" i="6"/>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Q16" i="9" s="1" a="1"/>
  <c r="Q16" i="9" s="1"/>
  <c r="F57" i="1"/>
  <c r="F56" i="1"/>
  <c r="F29" i="1"/>
  <c r="F26" i="1"/>
  <c r="F19" i="1"/>
  <c r="F17" i="1"/>
  <c r="G11" i="15"/>
  <c r="H11" i="15"/>
  <c r="G12" i="15"/>
  <c r="H12" i="15"/>
  <c r="H27" i="6"/>
  <c r="I27" i="6"/>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c r="G25" i="6"/>
  <c r="H23" i="6"/>
  <c r="I23" i="6"/>
  <c r="H24" i="6"/>
  <c r="I24" i="6"/>
  <c r="G23" i="6"/>
  <c r="G24" i="6"/>
  <c r="D201" i="17"/>
  <c r="C186" i="17"/>
  <c r="H22" i="6"/>
  <c r="I22" i="6"/>
  <c r="H21" i="6"/>
  <c r="I21" i="6"/>
  <c r="G22" i="6"/>
  <c r="G10" i="15"/>
  <c r="H10" i="15"/>
  <c r="G9" i="15"/>
  <c r="H9" i="15"/>
  <c r="D3" i="17"/>
  <c r="E7" i="7"/>
  <c r="E30" i="7"/>
  <c r="E8" i="7"/>
  <c r="E9" i="7"/>
  <c r="H9" i="7"/>
  <c r="E10" i="7"/>
  <c r="H10" i="7"/>
  <c r="E11" i="7"/>
  <c r="H11" i="7"/>
  <c r="E12" i="7"/>
  <c r="H12" i="7"/>
  <c r="E13" i="7"/>
  <c r="H13" i="7"/>
  <c r="E14" i="7"/>
  <c r="H14" i="7"/>
  <c r="E15" i="7"/>
  <c r="H15" i="7"/>
  <c r="E17" i="7"/>
  <c r="H17" i="7"/>
  <c r="E18" i="7"/>
  <c r="H18" i="7"/>
  <c r="H15" i="6"/>
  <c r="I15" i="6"/>
  <c r="G15" i="6"/>
  <c r="H10" i="6"/>
  <c r="I10" i="6"/>
  <c r="G10" i="6"/>
  <c r="H7" i="6"/>
  <c r="I7" i="6"/>
  <c r="H19" i="6"/>
  <c r="I19" i="6"/>
  <c r="H18" i="6"/>
  <c r="I18" i="6"/>
  <c r="G19" i="6"/>
  <c r="G20" i="6"/>
  <c r="G21" i="6"/>
  <c r="I20" i="6"/>
  <c r="H16" i="6"/>
  <c r="I16" i="6"/>
  <c r="H13" i="6"/>
  <c r="I13" i="6"/>
  <c r="G16" i="6"/>
  <c r="G17" i="6"/>
  <c r="G18" i="6"/>
  <c r="I17" i="6"/>
  <c r="S12" i="17"/>
  <c r="G16" i="7"/>
  <c r="H16" i="7"/>
  <c r="G8" i="15"/>
  <c r="H8" i="15"/>
  <c r="G5" i="15"/>
  <c r="G7" i="15"/>
  <c r="H7" i="15"/>
  <c r="I14" i="6"/>
  <c r="G13" i="6"/>
  <c r="G14" i="6"/>
  <c r="C73" i="17"/>
  <c r="C72" i="17"/>
  <c r="D46" i="17"/>
  <c r="H11" i="6"/>
  <c r="I11" i="6"/>
  <c r="H12" i="6"/>
  <c r="I12" i="6"/>
  <c r="H8" i="6"/>
  <c r="I8" i="6"/>
  <c r="G9" i="6"/>
  <c r="G11" i="6"/>
  <c r="G12" i="6"/>
  <c r="I9" i="6"/>
  <c r="G6" i="7"/>
  <c r="H6" i="7"/>
  <c r="G5" i="7"/>
  <c r="H5" i="7"/>
  <c r="G4" i="7"/>
  <c r="H4" i="7"/>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c r="I34" i="2"/>
  <c r="D34" i="2" s="1"/>
  <c r="E35" i="2"/>
  <c r="F35" i="2"/>
  <c r="H35" i="2"/>
  <c r="I35" i="2" s="1"/>
  <c r="D35" i="2" s="1"/>
  <c r="E36" i="2"/>
  <c r="F36" i="2"/>
  <c r="G36" i="2" s="1"/>
  <c r="H75" i="1" s="1"/>
  <c r="H36" i="2"/>
  <c r="I36" i="2"/>
  <c r="D36" i="2" s="1"/>
  <c r="E37" i="2"/>
  <c r="F37" i="2"/>
  <c r="H37" i="2"/>
  <c r="I37" i="2"/>
  <c r="D37" i="2" s="1"/>
  <c r="H6" i="6"/>
  <c r="I6" i="6"/>
  <c r="G6" i="6"/>
  <c r="E39" i="2"/>
  <c r="F39" i="2"/>
  <c r="G39" i="2" s="1"/>
  <c r="H79" i="1" s="1"/>
  <c r="H39" i="2"/>
  <c r="I39" i="2" s="1"/>
  <c r="D39" i="2" s="1"/>
  <c r="E40" i="2"/>
  <c r="F40" i="2"/>
  <c r="G40" i="2" s="1"/>
  <c r="E41" i="2"/>
  <c r="F41" i="2"/>
  <c r="H41" i="2" s="1"/>
  <c r="I41" i="2" s="1"/>
  <c r="D41" i="2" s="1"/>
  <c r="E42" i="2"/>
  <c r="F42" i="2"/>
  <c r="H42" i="2" s="1"/>
  <c r="I42" i="2" s="1"/>
  <c r="D42" i="2" s="1"/>
  <c r="E43" i="2"/>
  <c r="F43" i="2"/>
  <c r="H43" i="2" s="1"/>
  <c r="I43" i="2" s="1"/>
  <c r="D43" i="2" s="1"/>
  <c r="E44" i="2"/>
  <c r="F44" i="2"/>
  <c r="H44" i="2" s="1"/>
  <c r="I44" i="2" s="1"/>
  <c r="D44" i="2" s="1"/>
  <c r="G44" i="2"/>
  <c r="H87" i="1" s="1"/>
  <c r="F38" i="2"/>
  <c r="E38" i="2"/>
  <c r="I11" i="12"/>
  <c r="H5" i="6"/>
  <c r="I5" i="6"/>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I65" i="6" s="1"/>
  <c r="G4" i="6"/>
  <c r="J4" i="19" a="1"/>
  <c r="J4" i="19" s="1"/>
  <c r="E8" i="18"/>
  <c r="E3" i="18"/>
  <c r="E35" i="18" s="1"/>
  <c r="F35" i="18" s="1"/>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F24" i="2"/>
  <c r="H24" i="2" s="1"/>
  <c r="I24" i="2" s="1"/>
  <c r="D24" i="2" s="1"/>
  <c r="F25" i="2"/>
  <c r="G25" i="2" s="1"/>
  <c r="H47" i="1" s="1"/>
  <c r="F26" i="2"/>
  <c r="H26" i="2" s="1"/>
  <c r="I26" i="2" s="1"/>
  <c r="D26" i="2" s="1"/>
  <c r="F27" i="2"/>
  <c r="H27" i="2" s="1"/>
  <c r="I27" i="2" s="1"/>
  <c r="D27" i="2" s="1"/>
  <c r="F28" i="2"/>
  <c r="F29" i="2"/>
  <c r="H29" i="2" s="1"/>
  <c r="I29" i="2" s="1"/>
  <c r="D29" i="2" s="1"/>
  <c r="F30" i="2"/>
  <c r="F31" i="2"/>
  <c r="H31" i="2"/>
  <c r="I31" i="2" s="1"/>
  <c r="D31" i="2" s="1"/>
  <c r="F32" i="2"/>
  <c r="H32" i="2" s="1"/>
  <c r="I32" i="2" s="1"/>
  <c r="D32" i="2" s="1"/>
  <c r="E22" i="2"/>
  <c r="G22" i="2" s="1"/>
  <c r="E23" i="2"/>
  <c r="E24" i="2"/>
  <c r="E25" i="2"/>
  <c r="E26" i="2"/>
  <c r="E27" i="2"/>
  <c r="G27" i="2" s="1"/>
  <c r="H49" i="1" s="1"/>
  <c r="E28" i="2"/>
  <c r="E29" i="2"/>
  <c r="G29" i="2" s="1"/>
  <c r="E30" i="2"/>
  <c r="E31" i="2"/>
  <c r="E32" i="2"/>
  <c r="E20" i="2"/>
  <c r="E21" i="2"/>
  <c r="R9" i="17"/>
  <c r="F20" i="2"/>
  <c r="E15" i="2"/>
  <c r="E16" i="2"/>
  <c r="G16" i="2" s="1"/>
  <c r="E17" i="2"/>
  <c r="E18" i="2"/>
  <c r="E19" i="2"/>
  <c r="E7" i="2"/>
  <c r="E8" i="2"/>
  <c r="E9" i="2"/>
  <c r="E10" i="2"/>
  <c r="E11" i="2"/>
  <c r="E12" i="2"/>
  <c r="E13" i="2"/>
  <c r="E14" i="2"/>
  <c r="E5" i="2"/>
  <c r="E6" i="2"/>
  <c r="E4" i="2"/>
  <c r="F13" i="2"/>
  <c r="G13" i="2" s="1"/>
  <c r="H18" i="1" s="1"/>
  <c r="H13" i="2"/>
  <c r="I13" i="2"/>
  <c r="D13" i="2" s="1"/>
  <c r="F14" i="2"/>
  <c r="F15" i="2"/>
  <c r="H15" i="2" s="1"/>
  <c r="I15" i="2" s="1"/>
  <c r="D15" i="2" s="1"/>
  <c r="F16" i="2"/>
  <c r="F17" i="2"/>
  <c r="H17" i="2"/>
  <c r="I17" i="2" s="1"/>
  <c r="D17" i="2" s="1"/>
  <c r="F18" i="2"/>
  <c r="H18" i="2" s="1"/>
  <c r="I18" i="2" s="1"/>
  <c r="D18" i="2" s="1"/>
  <c r="F19" i="2"/>
  <c r="C8" i="8"/>
  <c r="F11" i="2"/>
  <c r="H11" i="2"/>
  <c r="I11" i="2" s="1"/>
  <c r="F10" i="2"/>
  <c r="H10" i="2" s="1"/>
  <c r="I10" i="2" s="1"/>
  <c r="D10" i="2" s="1"/>
  <c r="F6" i="2"/>
  <c r="H6" i="2" s="1"/>
  <c r="I6" i="2" s="1"/>
  <c r="D6" i="2" s="1"/>
  <c r="F7" i="2"/>
  <c r="H7" i="2" s="1"/>
  <c r="I7" i="2" s="1"/>
  <c r="D7" i="2" s="1"/>
  <c r="F8" i="2"/>
  <c r="H8" i="2" s="1"/>
  <c r="I8" i="2" s="1"/>
  <c r="D8" i="2" s="1"/>
  <c r="F9" i="2"/>
  <c r="G9" i="2" s="1"/>
  <c r="H13" i="1" s="1"/>
  <c r="H9" i="2"/>
  <c r="I9" i="2"/>
  <c r="D9" i="2" s="1"/>
  <c r="N3" i="7"/>
  <c r="N5" i="7"/>
  <c r="E6" i="11"/>
  <c r="D6" i="11"/>
  <c r="F12" i="2"/>
  <c r="H12" i="2" s="1"/>
  <c r="I12" i="2" s="1"/>
  <c r="D12" i="2" s="1"/>
  <c r="F5" i="2"/>
  <c r="H5" i="2"/>
  <c r="I5" i="2" s="1"/>
  <c r="D5" i="2" s="1"/>
  <c r="F3" i="2"/>
  <c r="F4" i="2"/>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8" i="1"/>
  <c r="H2" i="1"/>
  <c r="H9" i="1"/>
  <c r="H3" i="1"/>
  <c r="H10" i="1"/>
  <c r="H4" i="1"/>
  <c r="H6" i="1"/>
  <c r="H7" i="1"/>
  <c r="H5" i="1"/>
  <c r="H97" i="1"/>
  <c r="Q17" i="9" a="1"/>
  <c r="Q17" i="9" s="1"/>
  <c r="G38" i="9" a="1"/>
  <c r="G38" i="9" s="1"/>
  <c r="H38" i="9" a="1"/>
  <c r="H38" i="9" s="1"/>
  <c r="W17" i="9"/>
  <c r="B14" i="20" s="1"/>
  <c r="J38" i="9"/>
  <c r="P17" i="9" a="1"/>
  <c r="P17" i="9" s="1"/>
  <c r="R17" i="9" a="1"/>
  <c r="R17" i="9" s="1"/>
  <c r="C7" i="8"/>
  <c r="U17" i="9" a="1"/>
  <c r="U17" i="9" s="1"/>
  <c r="S17" i="9" a="1"/>
  <c r="S17" i="9" s="1"/>
  <c r="T17" i="9" a="1"/>
  <c r="T17" i="9" s="1"/>
  <c r="H8" i="7"/>
  <c r="C16" i="12"/>
  <c r="H54" i="2"/>
  <c r="I54" i="2" s="1"/>
  <c r="D54" i="2" s="1"/>
  <c r="J15" i="14"/>
  <c r="C406" i="17"/>
  <c r="K4" i="17"/>
  <c r="R10" i="17"/>
  <c r="C16" i="10"/>
  <c r="H60" i="2"/>
  <c r="I60" i="2" s="1"/>
  <c r="D60" i="2" s="1"/>
  <c r="H58" i="2"/>
  <c r="I58" i="2" s="1"/>
  <c r="D58" i="2" s="1"/>
  <c r="G59" i="2"/>
  <c r="H113" i="1" s="1"/>
  <c r="H28" i="2"/>
  <c r="I28" i="2" s="1"/>
  <c r="D28" i="2" s="1"/>
  <c r="H7" i="7"/>
  <c r="C5" i="8"/>
  <c r="G53" i="2"/>
  <c r="H109" i="1" s="1"/>
  <c r="H104" i="1"/>
  <c r="H16" i="2"/>
  <c r="I16" i="2" s="1"/>
  <c r="D16" i="2" s="1"/>
  <c r="G41" i="2"/>
  <c r="H83" i="1" s="1"/>
  <c r="G64" i="2"/>
  <c r="H125" i="1" s="1"/>
  <c r="G34" i="2"/>
  <c r="H81" i="1" s="1"/>
  <c r="G35" i="2"/>
  <c r="H73" i="1" s="1"/>
  <c r="H4" i="2"/>
  <c r="I4" i="2" s="1"/>
  <c r="D4" i="2" s="1"/>
  <c r="G50" i="2"/>
  <c r="H96" i="1"/>
  <c r="G11" i="2"/>
  <c r="H16" i="1" s="1"/>
  <c r="C37" i="12"/>
  <c r="D35" i="18"/>
  <c r="C11" i="8"/>
  <c r="R11" i="17"/>
  <c r="H30" i="7"/>
  <c r="D35" i="14"/>
  <c r="C10" i="8"/>
  <c r="J35" i="14"/>
  <c r="C12" i="8"/>
  <c r="I35" i="12"/>
  <c r="C9" i="8"/>
  <c r="N14" i="6"/>
  <c r="G65" i="6"/>
  <c r="H16" i="15"/>
  <c r="G16" i="15"/>
  <c r="D406" i="17"/>
  <c r="F406" i="17"/>
  <c r="C12" i="10"/>
  <c r="K5" i="17"/>
  <c r="K6" i="17" s="1"/>
  <c r="H74" i="1"/>
  <c r="C14" i="8"/>
  <c r="C4" i="10"/>
  <c r="C15" i="10"/>
  <c r="C17" i="10"/>
  <c r="R12" i="17"/>
  <c r="C19" i="10" s="1"/>
  <c r="P7" i="17"/>
  <c r="C2" i="2"/>
  <c r="G6" i="2" l="1"/>
  <c r="G12" i="2"/>
  <c r="H56" i="1" s="1"/>
  <c r="G20" i="2"/>
  <c r="H25" i="2"/>
  <c r="I25" i="2" s="1"/>
  <c r="D25" i="2" s="1"/>
  <c r="H40" i="2"/>
  <c r="I40" i="2" s="1"/>
  <c r="D40" i="2" s="1"/>
  <c r="G60" i="2"/>
  <c r="H115" i="1" s="1"/>
  <c r="H71" i="1"/>
  <c r="H55" i="2"/>
  <c r="I55" i="2" s="1"/>
  <c r="D55" i="2" s="1"/>
  <c r="H51" i="2"/>
  <c r="I51" i="2" s="1"/>
  <c r="D51" i="2" s="1"/>
  <c r="G24" i="2"/>
  <c r="H41" i="1" s="1"/>
  <c r="G21" i="2"/>
  <c r="H39" i="1" s="1"/>
  <c r="G54" i="2"/>
  <c r="H110" i="1" s="1"/>
  <c r="H126" i="1"/>
  <c r="G23" i="2"/>
  <c r="H45" i="1" s="1"/>
  <c r="G45" i="2"/>
  <c r="G38" i="2"/>
  <c r="H78" i="1" s="1"/>
  <c r="G17" i="2"/>
  <c r="H28" i="1" s="1"/>
  <c r="G49" i="2"/>
  <c r="H123" i="1" s="1"/>
  <c r="H32" i="9" a="1"/>
  <c r="H32" i="9" s="1"/>
  <c r="G28" i="9" a="1"/>
  <c r="G28" i="9" s="1"/>
  <c r="B11" i="9"/>
  <c r="D52" i="9"/>
  <c r="Q13" i="9" s="1" a="1"/>
  <c r="Q13" i="9" s="1"/>
  <c r="H33" i="9" a="1"/>
  <c r="H33" i="9" s="1"/>
  <c r="B5" i="9"/>
  <c r="C5" i="9" s="1"/>
  <c r="G36" i="9" a="1"/>
  <c r="G36" i="9" s="1"/>
  <c r="C50" i="9"/>
  <c r="P11" i="9" s="1" a="1"/>
  <c r="P11" i="9" s="1"/>
  <c r="J45" i="9"/>
  <c r="W6" i="9" s="1"/>
  <c r="B3" i="20" s="1"/>
  <c r="Q15" i="9" a="1"/>
  <c r="Q15" i="9" s="1"/>
  <c r="P14" i="9" a="1"/>
  <c r="P14" i="9" s="1"/>
  <c r="J36" i="9"/>
  <c r="D51" i="9"/>
  <c r="H34" i="9" a="1"/>
  <c r="H34" i="9" s="1"/>
  <c r="H27" i="9" a="1"/>
  <c r="H27" i="9" s="1"/>
  <c r="J46" i="9"/>
  <c r="W7" i="9" s="1"/>
  <c r="B4" i="20" s="1"/>
  <c r="H37" i="9" a="1"/>
  <c r="H37" i="9" s="1"/>
  <c r="J35" i="9"/>
  <c r="H35" i="9" a="1"/>
  <c r="H35" i="9" s="1"/>
  <c r="G32" i="9" a="1"/>
  <c r="G32" i="9" s="1"/>
  <c r="G29" i="9" a="1"/>
  <c r="G29" i="9" s="1"/>
  <c r="J47" i="9"/>
  <c r="G30" i="9" a="1"/>
  <c r="G30" i="9" s="1"/>
  <c r="E45" i="9"/>
  <c r="R6" i="9" s="1" a="1"/>
  <c r="R6" i="9" s="1"/>
  <c r="D48" i="9"/>
  <c r="Q9" i="9" s="1" a="1"/>
  <c r="Q9" i="9" s="1"/>
  <c r="E49" i="9"/>
  <c r="R10" i="9" s="1" a="1"/>
  <c r="R10" i="9" s="1"/>
  <c r="D47" i="9"/>
  <c r="Q8" i="9" s="1" a="1"/>
  <c r="Q8" i="9" s="1"/>
  <c r="J30" i="9"/>
  <c r="K127" i="1"/>
  <c r="G35" i="9" a="1"/>
  <c r="G35" i="9" s="1"/>
  <c r="I35" i="9" s="1"/>
  <c r="K35" i="9" s="1"/>
  <c r="E51" i="9"/>
  <c r="R12" i="9" s="1" a="1"/>
  <c r="R12" i="9" s="1"/>
  <c r="J32" i="9"/>
  <c r="H30" i="9" a="1"/>
  <c r="H30" i="9" s="1"/>
  <c r="J33" i="9"/>
  <c r="P15" i="9" a="1"/>
  <c r="P15" i="9" s="1"/>
  <c r="J31" i="9"/>
  <c r="D45" i="9"/>
  <c r="Q6" i="9" s="1" a="1"/>
  <c r="Q6" i="9" s="1"/>
  <c r="B9" i="9"/>
  <c r="E9" i="9" s="1" a="1"/>
  <c r="E9" i="9" s="1"/>
  <c r="D49" i="9"/>
  <c r="Q10" i="9" s="1" a="1"/>
  <c r="Q10" i="9" s="1"/>
  <c r="B12" i="9"/>
  <c r="J49" i="9"/>
  <c r="W10" i="9" s="1"/>
  <c r="B7" i="20" s="1"/>
  <c r="Q12" i="9" a="1"/>
  <c r="Q12" i="9" s="1"/>
  <c r="P16" i="9" a="1"/>
  <c r="P16" i="9" s="1"/>
  <c r="H29" i="9" a="1"/>
  <c r="H29" i="9" s="1"/>
  <c r="I29" i="9" s="1"/>
  <c r="K29" i="9" s="1"/>
  <c r="E47" i="9"/>
  <c r="R8" i="9" s="1" a="1"/>
  <c r="R8" i="9" s="1"/>
  <c r="J50" i="9"/>
  <c r="W11" i="9" s="1"/>
  <c r="B8" i="20" s="1"/>
  <c r="J52" i="9"/>
  <c r="W13" i="9" s="1"/>
  <c r="B10" i="20" s="1"/>
  <c r="B6" i="9"/>
  <c r="C6" i="9" s="1"/>
  <c r="E52" i="9"/>
  <c r="R13" i="9" s="1" a="1"/>
  <c r="R13" i="9" s="1"/>
  <c r="D50" i="9"/>
  <c r="Q11" i="9" s="1" a="1"/>
  <c r="Q11" i="9" s="1"/>
  <c r="J27" i="9"/>
  <c r="R14" i="9" a="1"/>
  <c r="R14" i="9" s="1"/>
  <c r="C49" i="9"/>
  <c r="P10" i="9" s="1" a="1"/>
  <c r="P10" i="9" s="1"/>
  <c r="J28" i="9"/>
  <c r="E46" i="9"/>
  <c r="R7" i="9" s="1" a="1"/>
  <c r="R7" i="9" s="1"/>
  <c r="B14" i="9"/>
  <c r="C14" i="9" s="1"/>
  <c r="G33" i="9" a="1"/>
  <c r="G33" i="9" s="1"/>
  <c r="C48" i="9"/>
  <c r="P9" i="9" s="1" a="1"/>
  <c r="P9" i="9" s="1"/>
  <c r="D46" i="9"/>
  <c r="Q7" i="9" s="1" a="1"/>
  <c r="Q7" i="9" s="1"/>
  <c r="R16" i="9" a="1"/>
  <c r="R16" i="9" s="1"/>
  <c r="B7" i="9"/>
  <c r="E7" i="9" s="1"/>
  <c r="J48" i="9"/>
  <c r="J51" i="9"/>
  <c r="W12" i="9" s="1"/>
  <c r="B9" i="20" s="1"/>
  <c r="B13" i="9"/>
  <c r="C13" i="9" s="1"/>
  <c r="J34" i="9"/>
  <c r="E48" i="9"/>
  <c r="R9" i="9" s="1" a="1"/>
  <c r="R9" i="9" s="1"/>
  <c r="R15" i="9" a="1"/>
  <c r="R15" i="9" s="1"/>
  <c r="H31" i="9" a="1"/>
  <c r="H31" i="9" s="1"/>
  <c r="B8" i="9"/>
  <c r="B15" i="9"/>
  <c r="C15" i="9" s="1"/>
  <c r="J37" i="9"/>
  <c r="Q14" i="9" a="1"/>
  <c r="Q14" i="9" s="1"/>
  <c r="J29" i="9"/>
  <c r="C45" i="9"/>
  <c r="P6" i="9" s="1" a="1"/>
  <c r="P6" i="9" s="1"/>
  <c r="G34" i="9" a="1"/>
  <c r="G34" i="9" s="1"/>
  <c r="I34" i="9" s="1"/>
  <c r="B10" i="9"/>
  <c r="C10" i="9" s="1"/>
  <c r="C52" i="9"/>
  <c r="P13" i="9" s="1" a="1"/>
  <c r="P13" i="9" s="1"/>
  <c r="B26" i="9"/>
  <c r="E26" i="9" s="1" a="1"/>
  <c r="E26" i="9" s="1"/>
  <c r="H28" i="9" a="1"/>
  <c r="H28" i="9" s="1"/>
  <c r="C51" i="9"/>
  <c r="P12" i="9" s="1" a="1"/>
  <c r="P12" i="9" s="1"/>
  <c r="G31" i="9" a="1"/>
  <c r="G31" i="9" s="1"/>
  <c r="E50" i="9"/>
  <c r="R11" i="9" s="1" a="1"/>
  <c r="R11" i="9" s="1"/>
  <c r="H36" i="9" a="1"/>
  <c r="H36" i="9" s="1"/>
  <c r="I36" i="9" s="1"/>
  <c r="G37" i="9" a="1"/>
  <c r="G37" i="9" s="1"/>
  <c r="G27" i="9" a="1"/>
  <c r="G27" i="9" s="1"/>
  <c r="C47" i="9"/>
  <c r="P8" i="9" s="1" a="1"/>
  <c r="P8" i="9" s="1"/>
  <c r="C46" i="9"/>
  <c r="P7" i="9" s="1" a="1"/>
  <c r="P7" i="9" s="1"/>
  <c r="H99" i="1"/>
  <c r="H82" i="1"/>
  <c r="H117" i="1"/>
  <c r="H118" i="1"/>
  <c r="H61" i="2"/>
  <c r="I61" i="2" s="1"/>
  <c r="D61" i="2" s="1"/>
  <c r="G26" i="2"/>
  <c r="H48" i="1" s="1"/>
  <c r="G7" i="2"/>
  <c r="G18" i="2"/>
  <c r="H30" i="1" s="1"/>
  <c r="G56" i="2"/>
  <c r="H120" i="1" s="1"/>
  <c r="G15" i="2"/>
  <c r="H46" i="1" s="1"/>
  <c r="G46" i="2"/>
  <c r="H92" i="1" s="1"/>
  <c r="G4" i="2"/>
  <c r="H76" i="1" s="1"/>
  <c r="G14" i="2"/>
  <c r="H20" i="1" s="1"/>
  <c r="G28" i="2"/>
  <c r="H52" i="1" s="1"/>
  <c r="G52" i="2"/>
  <c r="H101" i="1" s="1"/>
  <c r="G30" i="2"/>
  <c r="H58" i="1" s="1"/>
  <c r="G19" i="2"/>
  <c r="G32" i="2"/>
  <c r="H62" i="1" s="1"/>
  <c r="G37" i="2"/>
  <c r="H77" i="1" s="1"/>
  <c r="G63" i="2"/>
  <c r="H124" i="1" s="1"/>
  <c r="G5" i="2"/>
  <c r="H106" i="1" s="1"/>
  <c r="G31" i="2"/>
  <c r="H59" i="1" s="1"/>
  <c r="G57" i="2"/>
  <c r="H111" i="1" s="1"/>
  <c r="E6" i="9"/>
  <c r="C7" i="9"/>
  <c r="H93" i="1"/>
  <c r="H98" i="1"/>
  <c r="H63" i="1"/>
  <c r="H64" i="1"/>
  <c r="H72" i="1"/>
  <c r="H68" i="1"/>
  <c r="H43" i="1"/>
  <c r="H69" i="1"/>
  <c r="H51" i="1"/>
  <c r="H80" i="1"/>
  <c r="H37" i="1"/>
  <c r="H42" i="1"/>
  <c r="H55" i="1"/>
  <c r="H34" i="1"/>
  <c r="H23" i="1"/>
  <c r="H32" i="1"/>
  <c r="H33" i="1"/>
  <c r="H54" i="1"/>
  <c r="H53" i="1"/>
  <c r="H38" i="1"/>
  <c r="H35" i="1"/>
  <c r="H27" i="1"/>
  <c r="H36" i="1"/>
  <c r="H114" i="1"/>
  <c r="H44" i="1"/>
  <c r="H40" i="1"/>
  <c r="H29" i="1"/>
  <c r="G42" i="2"/>
  <c r="H84" i="1" s="1"/>
  <c r="H50" i="1"/>
  <c r="G10" i="2"/>
  <c r="H30" i="2"/>
  <c r="I30" i="2" s="1"/>
  <c r="D30" i="2" s="1"/>
  <c r="H38" i="2"/>
  <c r="I38" i="2" s="1"/>
  <c r="D38" i="2" s="1"/>
  <c r="H47" i="2"/>
  <c r="I47" i="2" s="1"/>
  <c r="D47" i="2" s="1"/>
  <c r="H70" i="1"/>
  <c r="H19" i="2"/>
  <c r="I19" i="2" s="1"/>
  <c r="D19" i="2" s="1"/>
  <c r="G62" i="2"/>
  <c r="H119" i="1" s="1"/>
  <c r="H86" i="1"/>
  <c r="G43" i="2"/>
  <c r="H85" i="1" s="1"/>
  <c r="H90" i="1"/>
  <c r="H17" i="1"/>
  <c r="H103" i="1"/>
  <c r="H14" i="2"/>
  <c r="I14" i="2" s="1"/>
  <c r="D14" i="2" s="1"/>
  <c r="H46" i="2"/>
  <c r="I46" i="2" s="1"/>
  <c r="D46" i="2" s="1"/>
  <c r="H102" i="1"/>
  <c r="G48" i="2"/>
  <c r="H19" i="1"/>
  <c r="H61" i="1"/>
  <c r="H20" i="2"/>
  <c r="I20" i="2" s="1"/>
  <c r="D20" i="2" s="1"/>
  <c r="H23" i="2"/>
  <c r="I23" i="2" s="1"/>
  <c r="D23" i="2" s="1"/>
  <c r="H33" i="2"/>
  <c r="I33" i="2" s="1"/>
  <c r="D33" i="2" s="1"/>
  <c r="H66" i="1"/>
  <c r="H108" i="1"/>
  <c r="H57" i="1"/>
  <c r="G8" i="2"/>
  <c r="H26" i="1"/>
  <c r="W8" i="9"/>
  <c r="B5" i="20" s="1"/>
  <c r="A10" i="20"/>
  <c r="W16" i="9"/>
  <c r="B13" i="20" s="1"/>
  <c r="W15" i="9"/>
  <c r="B12" i="20" s="1"/>
  <c r="W9" i="9"/>
  <c r="B6" i="20" s="1"/>
  <c r="A12" i="20"/>
  <c r="A9" i="20"/>
  <c r="V19" i="9"/>
  <c r="X19" i="9" s="1"/>
  <c r="V17" i="9"/>
  <c r="X17" i="9" s="1"/>
  <c r="A11" i="20"/>
  <c r="A7" i="20"/>
  <c r="A3" i="20"/>
  <c r="A8" i="20"/>
  <c r="W14" i="9"/>
  <c r="B11" i="20" s="1"/>
  <c r="A13" i="20"/>
  <c r="A5" i="20"/>
  <c r="O5" i="9"/>
  <c r="A6" i="20"/>
  <c r="I38" i="9"/>
  <c r="K38" i="9" s="1"/>
  <c r="V18" i="9"/>
  <c r="X18" i="9" s="1"/>
  <c r="J127" i="1" a="1"/>
  <c r="J127" i="1" s="1"/>
  <c r="I127" i="1" a="1"/>
  <c r="I127" i="1" s="1"/>
  <c r="D2" i="2"/>
  <c r="I30" i="9" l="1"/>
  <c r="H26" i="9" a="1"/>
  <c r="H26" i="9" s="1"/>
  <c r="C9" i="9"/>
  <c r="I32" i="9"/>
  <c r="F26" i="9" a="1"/>
  <c r="F26" i="9" s="1"/>
  <c r="I27" i="9"/>
  <c r="K27" i="9" s="1"/>
  <c r="J26" i="9"/>
  <c r="K36" i="9"/>
  <c r="J44" i="9"/>
  <c r="W5" i="9" s="1"/>
  <c r="E5" i="9"/>
  <c r="C26" i="9" a="1"/>
  <c r="C26" i="9" s="1"/>
  <c r="D44" i="9"/>
  <c r="Q5" i="9" s="1" a="1"/>
  <c r="Q5" i="9" s="1"/>
  <c r="D10" i="19" s="1" a="1"/>
  <c r="D10" i="19" s="1"/>
  <c r="C14" i="19" a="1"/>
  <c r="C14" i="19" s="1"/>
  <c r="K30" i="9"/>
  <c r="E13" i="9"/>
  <c r="D26" i="9" a="1"/>
  <c r="D26" i="9" s="1"/>
  <c r="I31" i="9"/>
  <c r="K31" i="9" s="1"/>
  <c r="K34" i="9"/>
  <c r="I37" i="9"/>
  <c r="K37" i="9" s="1"/>
  <c r="E10" i="9"/>
  <c r="G26" i="9" a="1"/>
  <c r="G26" i="9" s="1"/>
  <c r="I26" i="9" s="1"/>
  <c r="K26" i="9" s="1"/>
  <c r="I28" i="9"/>
  <c r="K28" i="9" s="1"/>
  <c r="H60" i="1"/>
  <c r="H65" i="1"/>
  <c r="H22" i="1"/>
  <c r="H105" i="1"/>
  <c r="H95" i="1"/>
  <c r="I33" i="9"/>
  <c r="K33" i="9" s="1"/>
  <c r="H88" i="1"/>
  <c r="H89" i="1"/>
  <c r="K32" i="9"/>
  <c r="E14" i="9"/>
  <c r="G44" i="9" a="1"/>
  <c r="T8" i="9" s="1" a="1"/>
  <c r="T8" i="9" s="1"/>
  <c r="E15" i="9"/>
  <c r="C8" i="9"/>
  <c r="E8" i="9"/>
  <c r="E44" i="9"/>
  <c r="R5" i="9" s="1" a="1"/>
  <c r="R5" i="9" s="1"/>
  <c r="C12" i="19" a="1"/>
  <c r="C12" i="19" s="1"/>
  <c r="C44" i="9"/>
  <c r="P5" i="9" s="1" a="1"/>
  <c r="P5" i="9" s="1"/>
  <c r="H44" i="9" a="1"/>
  <c r="F44" i="9" a="1"/>
  <c r="B4" i="9"/>
  <c r="E12" i="9"/>
  <c r="C12" i="9"/>
  <c r="E11" i="9"/>
  <c r="C11" i="9"/>
  <c r="H91" i="1"/>
  <c r="H121" i="1"/>
  <c r="A2" i="20"/>
  <c r="H94" i="1"/>
  <c r="H122" i="1"/>
  <c r="H11" i="1"/>
  <c r="H24" i="1"/>
  <c r="H67" i="1"/>
  <c r="H31" i="1"/>
  <c r="H14" i="1"/>
  <c r="H25" i="1"/>
  <c r="H21" i="1"/>
  <c r="H15" i="1"/>
  <c r="T12" i="9" l="1" a="1"/>
  <c r="T12" i="9" s="1"/>
  <c r="T6" i="9" a="1"/>
  <c r="T6" i="9" s="1"/>
  <c r="T7" i="9" a="1"/>
  <c r="T7" i="9" s="1"/>
  <c r="G44" i="9"/>
  <c r="T5" i="9" s="1" a="1"/>
  <c r="T5" i="9" s="1"/>
  <c r="T10" i="9" a="1"/>
  <c r="T10" i="9" s="1"/>
  <c r="D12" i="19" a="1"/>
  <c r="D12" i="19" s="1"/>
  <c r="T9" i="9" a="1"/>
  <c r="T9" i="9" s="1"/>
  <c r="I48" i="9"/>
  <c r="K48" i="9" s="1"/>
  <c r="T16" i="9" a="1"/>
  <c r="T16" i="9" s="1"/>
  <c r="C16" i="9"/>
  <c r="I51" i="9"/>
  <c r="K51" i="9" s="1"/>
  <c r="E12" i="19"/>
  <c r="I49" i="9"/>
  <c r="K49" i="9" s="1"/>
  <c r="I50" i="9"/>
  <c r="K50" i="9" s="1"/>
  <c r="T13" i="9" a="1"/>
  <c r="T13" i="9" s="1"/>
  <c r="T15" i="9" a="1"/>
  <c r="T15" i="9" s="1"/>
  <c r="T14" i="9" a="1"/>
  <c r="T14" i="9" s="1"/>
  <c r="I46" i="9"/>
  <c r="K46" i="9" s="1"/>
  <c r="I47" i="9"/>
  <c r="K47" i="9" s="1"/>
  <c r="C4" i="9"/>
  <c r="E4" i="9"/>
  <c r="S9" i="9" a="1"/>
  <c r="S9" i="9" s="1"/>
  <c r="S6" i="9" a="1"/>
  <c r="S6" i="9" s="1"/>
  <c r="S13" i="9" a="1"/>
  <c r="S13" i="9" s="1"/>
  <c r="S14" i="9" a="1"/>
  <c r="S14" i="9" s="1"/>
  <c r="S15" i="9" a="1"/>
  <c r="S15" i="9" s="1"/>
  <c r="S8" i="9" a="1"/>
  <c r="S8" i="9" s="1"/>
  <c r="S16" i="9" a="1"/>
  <c r="S16" i="9" s="1"/>
  <c r="S10" i="9" a="1"/>
  <c r="S10" i="9" s="1"/>
  <c r="S7" i="9" a="1"/>
  <c r="S7" i="9" s="1"/>
  <c r="F44" i="9"/>
  <c r="S5" i="9" s="1" a="1"/>
  <c r="S5" i="9" s="1"/>
  <c r="S12" i="9" a="1"/>
  <c r="S12" i="9" s="1"/>
  <c r="S11" i="9" a="1"/>
  <c r="S11" i="9" s="1"/>
  <c r="U12" i="9" a="1"/>
  <c r="U12" i="9" s="1"/>
  <c r="U6" i="9" a="1"/>
  <c r="U6" i="9" s="1"/>
  <c r="U14" i="9" a="1"/>
  <c r="U14" i="9" s="1"/>
  <c r="U10" i="9" a="1"/>
  <c r="U10" i="9" s="1"/>
  <c r="U16" i="9" a="1"/>
  <c r="U16" i="9" s="1"/>
  <c r="U15" i="9" a="1"/>
  <c r="U15" i="9" s="1"/>
  <c r="U8" i="9" a="1"/>
  <c r="U8" i="9" s="1"/>
  <c r="H44" i="9"/>
  <c r="U5" i="9" s="1" a="1"/>
  <c r="U5" i="9" s="1"/>
  <c r="U9" i="9" a="1"/>
  <c r="U9" i="9" s="1"/>
  <c r="U13" i="9" a="1"/>
  <c r="U13" i="9" s="1"/>
  <c r="U7" i="9" a="1"/>
  <c r="U7" i="9" s="1"/>
  <c r="U11" i="9" a="1"/>
  <c r="U11" i="9" s="1"/>
  <c r="D8" i="19" a="1"/>
  <c r="D8" i="19" s="1"/>
  <c r="I45" i="9"/>
  <c r="K45" i="9" s="1"/>
  <c r="T11" i="9" a="1"/>
  <c r="T11" i="9" s="1"/>
  <c r="E18" i="19" a="1"/>
  <c r="E18" i="19" s="1"/>
  <c r="B2" i="20"/>
  <c r="V16" i="9" l="1"/>
  <c r="X16" i="9" s="1"/>
  <c r="V8" i="9"/>
  <c r="X8" i="9" s="1"/>
  <c r="V15" i="9"/>
  <c r="X15" i="9" s="1"/>
  <c r="V13" i="9"/>
  <c r="X13" i="9" s="1"/>
  <c r="V9" i="9"/>
  <c r="X9" i="9" s="1"/>
  <c r="V5" i="9"/>
  <c r="X5" i="9" s="1"/>
  <c r="E20" i="19" s="1" a="1"/>
  <c r="E20" i="19" s="1"/>
  <c r="V11" i="9"/>
  <c r="X11" i="9" s="1"/>
  <c r="V10" i="9"/>
  <c r="X10" i="9" s="1"/>
  <c r="V14" i="9"/>
  <c r="X14" i="9" s="1"/>
  <c r="D14" i="19" a="1"/>
  <c r="D14" i="19" s="1"/>
  <c r="E14" i="19" s="1"/>
  <c r="E16" i="19" s="1"/>
  <c r="V6" i="9"/>
  <c r="X6" i="9" s="1"/>
  <c r="V12" i="9"/>
  <c r="X12" i="9" s="1"/>
  <c r="I44" i="9"/>
  <c r="V7" i="9"/>
  <c r="X7" i="9" s="1"/>
  <c r="K44" i="9" l="1"/>
  <c r="C18"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<sst xmlns="http://schemas.openxmlformats.org/spreadsheetml/2006/main" count="1954" uniqueCount="362">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</sst>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0" borderId="0" xfId="0" applyNumberFormat="1"/>
  </cellXfs>
  <cellStyles count="2">
    <cellStyle name="Comma" xfId="1" builtinId="3"/>
    <cellStyle name="Normal" xfId="0" builtinId="0"/>
  </cellStyles>
  <dxfs count="159">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fill>
        <patternFill patternType="solid">
          <fgColor indexed="64"/>
          <bgColor theme="7" tint="0.59999389629810485"/>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210</xdr:row>
      <xdr:rowOff>57693</xdr:rowOff>
    </xdr:from>
    <xdr:to>
      <xdr:col>5</xdr:col>
      <xdr:colOff>1130980</xdr:colOff>
      <xdr:row>217</xdr:row>
      <xdr:rowOff>144509</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210</xdr:row>
      <xdr:rowOff>69425</xdr:rowOff>
    </xdr:from>
    <xdr:to>
      <xdr:col>1</xdr:col>
      <xdr:colOff>829928</xdr:colOff>
      <xdr:row>218</xdr:row>
      <xdr:rowOff>127824</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4560187"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5138888"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09864.66715435265"/>
    </cacheField>
    <cacheField name="Rate" numFmtId="0">
      <sharedItems containsString="0" containsBlank="1" containsNumber="1" minValue="10" maxValue="10.5"/>
    </cacheField>
    <cacheField name="Total" numFmtId="164">
      <sharedItems containsSemiMixedTypes="0" containsString="0" containsNumber="1" minValue="0" maxValue="6058374.17702999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5370372"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560185"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5833334" createdVersion="8" refreshedVersion="8" minRefreshableVersion="3" recordCount="125" xr:uid="{46CBB50D-3613-4E5B-8212-DD0313DCD05A}">
  <cacheSource type="worksheet">
    <worksheetSource name="Table1"/>
  </cacheSource>
  <cacheFields count="14">
    <cacheField name="Date" numFmtId="14">
      <sharedItems containsSemiMixedTypes="0" containsNonDate="0" containsDate="1" containsString="0" minDate="2025-07-25T00:00:00" maxDate="2025-09-19T00:00:00" count="44">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45" count="227">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94.673167207554783"/>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9.104746874997"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09864.66715435265"/>
    <n v="10"/>
    <n v="6058374.1770299934"/>
  </r>
  <r>
    <x v="1"/>
    <n v="24754.937820043895"/>
    <n v="10"/>
    <n v="247549.37820043895"/>
  </r>
  <r>
    <x v="2"/>
    <n v="55363.935625457212"/>
    <n v="10"/>
    <n v="553639.35625457217"/>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94.673167207554783"/>
    <n v="844.9158741770301"/>
    <n v="8449.1587417703013"/>
    <m/>
  </r>
  <r>
    <x v="27"/>
    <x v="0"/>
    <x v="116"/>
    <s v="Chamki"/>
    <x v="60"/>
    <n v="80183"/>
    <n v="3747"/>
    <n v="94.673167207554783"/>
    <n v="3426.2984637893201"/>
    <n v="34262.984637893198"/>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58">
      <pivotArea field="0" grandRow="1" outline="0" collapsedLevelsAreSubtotals="1" axis="axisRow" fieldPosition="0">
        <references count="1">
          <reference field="4294967294" count="1" selected="0">
            <x v="1"/>
          </reference>
        </references>
      </pivotArea>
    </format>
    <format dxfId="157">
      <pivotArea field="0" grandRow="1" outline="0" collapsedLevelsAreSubtotals="1" axis="axisRow" fieldPosition="0">
        <references count="1">
          <reference field="4294967294" count="1" selected="0">
            <x v="0"/>
          </reference>
        </references>
      </pivotArea>
    </format>
    <format dxfId="156">
      <pivotArea collapsedLevelsAreSubtotals="1" fieldPosition="0">
        <references count="2">
          <reference field="4294967294" count="1" selected="0">
            <x v="1"/>
          </reference>
          <reference field="0" count="0"/>
        </references>
      </pivotArea>
    </format>
    <format dxfId="155">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5:K174" firstHeaderRow="0" firstDataRow="1" firstDataCol="1"/>
  <pivotFields count="14">
    <pivotField axis="axisRow" numFmtId="14" showAll="0">
      <items count="45">
        <item m="1" x="28"/>
        <item m="1" x="29"/>
        <item m="1" x="30"/>
        <item m="1" x="31"/>
        <item m="1" x="32"/>
        <item m="1" x="33"/>
        <item m="1" x="43"/>
        <item m="1" x="34"/>
        <item m="1" x="35"/>
        <item m="1" x="36"/>
        <item m="1" x="37"/>
        <item m="1" x="38"/>
        <item m="1" x="39"/>
        <item m="1" x="40"/>
        <item m="1" x="41"/>
        <item m="1" x="42"/>
        <item x="2"/>
        <item x="0"/>
        <item x="1"/>
        <item x="3"/>
        <item x="4"/>
        <item x="5"/>
        <item x="6"/>
        <item x="7"/>
        <item x="8"/>
        <item x="9"/>
        <item x="10"/>
        <item x="11"/>
        <item x="12"/>
        <item x="13"/>
        <item x="14"/>
        <item x="15"/>
        <item x="16"/>
        <item x="17"/>
        <item x="18"/>
        <item x="19"/>
        <item x="20"/>
        <item x="21"/>
        <item x="22"/>
        <item x="23"/>
        <item x="24"/>
        <item x="25"/>
        <item x="26"/>
        <item x="2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9">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5:G263" firstHeaderRow="0" firstDataRow="1" firstDataCol="1" rowPageCount="3" colPageCount="1"/>
  <pivotFields count="14">
    <pivotField axis="axisPage" showAll="0">
      <items count="45">
        <item m="1" x="28"/>
        <item m="1" x="29"/>
        <item m="1" x="30"/>
        <item m="1" x="31"/>
        <item m="1" x="32"/>
        <item m="1" x="33"/>
        <item m="1" x="43"/>
        <item m="1" x="34"/>
        <item m="1" x="35"/>
        <item m="1" x="36"/>
        <item m="1" x="37"/>
        <item m="1" x="38"/>
        <item m="1" x="39"/>
        <item m="1" x="40"/>
        <item m="1" x="41"/>
        <item m="1" x="42"/>
        <item x="2"/>
        <item x="0"/>
        <item x="1"/>
        <item x="3"/>
        <item x="4"/>
        <item x="5"/>
        <item x="6"/>
        <item x="7"/>
        <item x="8"/>
        <item x="9"/>
        <item x="10"/>
        <item x="11"/>
        <item x="12"/>
        <item x="13"/>
        <item x="14"/>
        <item x="15"/>
        <item x="16"/>
        <item x="17"/>
        <item x="18"/>
        <item x="19"/>
        <item x="20"/>
        <item x="21"/>
        <item x="22"/>
        <item x="23"/>
        <item x="24"/>
        <item x="25"/>
        <item x="26"/>
        <item x="27"/>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2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117"/>
        <item m="1" x="118"/>
        <item m="1" x="119"/>
        <item m="1" x="120"/>
        <item m="1" x="121"/>
        <item m="1" x="122"/>
        <item m="1" x="123"/>
        <item m="1" x="124"/>
        <item m="1" x="125"/>
        <item m="1" x="126"/>
        <item m="1" x="127"/>
        <item m="1" x="128"/>
        <item m="1" x="129"/>
        <item m="1" x="130"/>
        <item m="1" x="131"/>
        <item m="1" x="132"/>
        <item m="1" x="133"/>
        <item m="1" x="134"/>
        <item m="1" x="163"/>
        <item m="1" x="135"/>
        <item m="1" x="136"/>
        <item m="1" x="137"/>
        <item m="1" x="138"/>
        <item m="1" x="139"/>
        <item m="1" x="140"/>
        <item m="1" x="152"/>
        <item m="1" x="141"/>
        <item m="1" x="142"/>
        <item m="1" x="143"/>
        <item m="1" x="144"/>
        <item m="1" x="145"/>
        <item m="1" x="146"/>
        <item m="1" x="147"/>
        <item m="1" x="148"/>
        <item m="1" x="149"/>
        <item m="1" x="150"/>
        <item m="1" x="151"/>
        <item m="1" x="153"/>
        <item m="1" x="154"/>
        <item m="1" x="155"/>
        <item m="1" x="156"/>
        <item m="1" x="157"/>
        <item m="1" x="158"/>
        <item m="1" x="159"/>
        <item m="1" x="160"/>
        <item m="1" x="161"/>
        <item m="1" x="162"/>
        <item m="1" x="164"/>
        <item m="1" x="165"/>
        <item m="1" x="166"/>
        <item m="1" x="167"/>
        <item m="1" x="168"/>
        <item m="1" x="169"/>
        <item m="1" x="170"/>
        <item m="1" x="171"/>
        <item m="1" x="172"/>
        <item m="1" x="173"/>
        <item m="1" x="174"/>
        <item m="1" x="175"/>
        <item m="1" x="176"/>
        <item m="1" x="177"/>
        <item m="1" x="178"/>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8">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0">
      <pivotArea dataOnly="0" labelOnly="1" outline="0" fieldPosition="0">
        <references count="1">
          <reference field="1" count="1">
            <x v="1"/>
          </reference>
        </references>
      </pivotArea>
    </format>
    <format dxfId="11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10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62">
      <pivotArea type="all" dataOnly="0" outline="0" fieldPosition="0"/>
    </format>
    <format dxfId="61">
      <pivotArea outline="0" collapsedLevelsAreSubtotals="1" fieldPosition="0"/>
    </format>
    <format dxfId="60">
      <pivotArea field="4" type="button" dataOnly="0" labelOnly="1" outline="0" axis="axisRow" fieldPosition="0"/>
    </format>
    <format dxfId="59">
      <pivotArea dataOnly="0" labelOnly="1" fieldPosition="0">
        <references count="1">
          <reference field="4" count="0"/>
        </references>
      </pivotArea>
    </format>
    <format dxfId="58">
      <pivotArea dataOnly="0" labelOnly="1" grandRow="1" outline="0" fieldPosition="0"/>
    </format>
    <format dxfId="57">
      <pivotArea dataOnly="0" labelOnly="1" outline="0" fieldPosition="0">
        <references count="1">
          <reference field="4294967294" count="2">
            <x v="0"/>
            <x v="1"/>
          </reference>
        </references>
      </pivotArea>
    </format>
    <format dxfId="56">
      <pivotArea grandRow="1" outline="0" collapsedLevelsAreSubtotals="1" fieldPosition="0"/>
    </format>
    <format dxfId="55">
      <pivotArea field="4" type="button" dataOnly="0" labelOnly="1" outline="0" axis="axisRow" fieldPosition="0"/>
    </format>
    <format dxfId="5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4">
      <calculatedColumnFormula>B26</calculatedColumnFormula>
    </tableColumn>
    <tableColumn id="2" xr3:uid="{7EDCC2ED-0339-42B3-9633-FFEA7A3DD9F3}" name="Tiyaar" dataDxfId="153">
      <calculatedColumnFormula>SUMIFS(ledger!G:G, ledger!B:B, B4, ledger!E:E, "&lt;&gt;*RD*") / 1.0936</calculatedColumnFormula>
    </tableColumn>
    <tableColumn id="3" xr3:uid="{CC1535DD-3FE7-4F55-8040-E7643388A78E}" name="Rate"/>
    <tableColumn id="4" xr3:uid="{059CB70B-ADAD-4985-84AA-0D530BAC5567}" name="Total" dataDxfId="15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1" dataDxfId="150">
  <autoFilter ref="B7:E20" xr:uid="{449E5D32-DF9C-4018-96AB-CA98E118D910}"/>
  <tableColumns count="4">
    <tableColumn id="1" xr3:uid="{F663704C-91DD-4BB9-B7EB-EEB0C5EDED6C}" name="Description" dataDxfId="149"/>
    <tableColumn id="2" xr3:uid="{6D94D495-CD0B-4FD3-9771-81D731982A97}" name="Rate" dataDxfId="148" dataCellStyle="Comma"/>
    <tableColumn id="3" xr3:uid="{2D14CEAD-3602-40E7-A488-3584EBC9141E}" name="gazana" dataDxfId="147" dataCellStyle="Comma"/>
    <tableColumn id="4" xr3:uid="{06FEE63C-6480-4079-8426-51BC26B38B34}" name="sum" dataDxfId="146"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5" totalsRowDxfId="14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3" dataDxfId="142" headerRowCellStyle="Comma" dataCellStyle="Comma">
  <autoFilter ref="B2:C5" xr:uid="{136E8F7F-D03F-4198-8335-91A003EA9E45}"/>
  <tableColumns count="2">
    <tableColumn id="1" xr3:uid="{279FA697-9952-479A-AC05-0D4992B41374}" name="Column1" dataDxfId="141" dataCellStyle="Comma"/>
    <tableColumn id="2" xr3:uid="{8A64998B-65EF-41CD-BCB0-3DDB7B359C54}" name="Column2" dataDxfId="140"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39"/>
    <tableColumn id="2" xr3:uid="{51D27FA2-8DDF-4369-BAF7-7D1FE90E16A0}" name="Column2" dataDxfId="13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7" totalsRowDxfId="136"/>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5">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7" totalsRowCount="1" headerRowDxfId="133" dataDxfId="132" headerRowCellStyle="Comma" dataCellStyle="Comma">
  <autoFilter ref="A1:K126" xr:uid="{11DACEC6-751B-4B1D-817F-5C5BCD38EF6D}">
    <filterColumn colId="1">
      <filters>
        <filter val="BSC"/>
      </filters>
    </filterColumn>
    <filterColumn colId="3">
      <filters>
        <filter val="Chamki"/>
        <filter val="Crinkle"/>
      </filters>
    </filterColumn>
  </autoFilter>
  <tableColumns count="11">
    <tableColumn id="1" xr3:uid="{2FCE3FA8-A48C-4685-8919-AE44C6C71FD9}" name="Date" dataDxfId="131" dataCellStyle="Comma"/>
    <tableColumn id="2" xr3:uid="{5780FD5F-0890-44E6-B59C-8E37A559FE36}" name="Party Name" dataDxfId="130" dataCellStyle="Comma"/>
    <tableColumn id="3" xr3:uid="{5B3ECD85-9174-40AC-BFBD-49CAC97A83D3}" name="Bill Number" dataDxfId="129" dataCellStyle="Comma"/>
    <tableColumn id="4" xr3:uid="{11B50761-04B6-4262-AD4D-7182450037D1}" name="Quality" dataDxfId="128" dataCellStyle="Comma"/>
    <tableColumn id="5" xr3:uid="{2C556969-B713-4967-BD24-466AACCBE5F5}" name="Shipment Number" dataDxfId="127" totalsRowDxfId="23" dataCellStyle="Comma"/>
    <tableColumn id="6" xr3:uid="{F4E1FD2B-9017-4DEB-B772-BF447ECE56F7}" name="Kora/metre" dataDxfId="126" totalsRowDxfId="22" dataCellStyle="Comma"/>
    <tableColumn id="7" xr3:uid="{52ACC1DA-7A76-4A90-B809-3A1AE728E7EA}" name="Tiyaar/gaz" dataDxfId="125" totalsRowDxfId="21" dataCellStyle="Comma"/>
    <tableColumn id="8" xr3:uid="{31A0FF5E-56F0-44D1-9865-73256B964660}" name="shortage %" dataDxfId="124" totalsRowDxfId="20" dataCellStyle="Comma">
      <calculatedColumnFormula>_xlfn.XLOOKUP(Table1[[#This Row],[Shipment Number]], 'pivot '!A:A,'pivot '!G:G, "NF")</calculatedColumnFormula>
    </tableColumn>
    <tableColumn id="9" xr3:uid="{F99075E0-AC8E-094D-BB85-272AD2C6C568}" name="tiyar/meters" totalsRowFunction="custom" dataDxfId="123" totalsRowDxfId="19"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22" totalsRowDxfId="18"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21" totalsRowDxfId="17"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118" headerRowBorderDxfId="117" tableBorderDxfId="116">
  <autoFilter ref="A1:I64" xr:uid="{F8E8C957-ABE7-4E4F-8D4E-7D44E26B334F}"/>
  <tableColumns count="9">
    <tableColumn id="1" xr3:uid="{C2E817D6-AB98-4DDD-8890-736B27F261CD}" name="Date" totalsRowLabel="." dataDxfId="115" totalsRowDxfId="47"/>
    <tableColumn id="2" xr3:uid="{CFB51890-CCDC-463C-81C9-3F8BD7469CB9}" name="Party Name"/>
    <tableColumn id="3" xr3:uid="{A113D971-1C9D-4733-99C4-BD0CC4333209}" name="Vehicle Number"/>
    <tableColumn id="4" xr3:uid="{49780304-3DD1-4AE9-98EE-2BC7EB8F3B57}" name="Weight" dataDxfId="114" totalsRowDxfId="46" dataCellStyle="Comma"/>
    <tableColumn id="5" xr3:uid="{FCAF1BC6-1D8C-42AD-8BBC-F924BF2DC7FE}" name="Rate" dataDxfId="113" totalsRowDxfId="45" dataCellStyle="Comma"/>
    <tableColumn id="6" xr3:uid="{8C70A624-4134-410C-9C45-9FDEB51D51BF}" name="Rent" dataDxfId="112" totalsRowDxfId="44" dataCellStyle="Comma"/>
    <tableColumn id="7" xr3:uid="{EBCE10AE-9634-4982-9C95-37ABC8A7078C}" name="Total" totalsRowFunction="sum" dataDxfId="111" totalsRowDxfId="43" dataCellStyle="Comma">
      <calculatedColumnFormula>D2*E2</calculatedColumnFormula>
    </tableColumn>
    <tableColumn id="9" xr3:uid="{D4788559-C94A-44D9-B9AE-E72B214355AC}" name="Paid" totalsRowFunction="sum" dataDxfId="110" totalsRowDxfId="42" dataCellStyle="Comma"/>
    <tableColumn id="8" xr3:uid="{E26F5BF0-1875-4FC6-994D-49F202ED562B}" name="balance" totalsRowFunction="sum" dataDxfId="109" totalsRowDxfId="4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6" totalsRowCount="1">
  <autoFilter ref="A1:G405" xr:uid="{CB032221-B416-47A8-9A76-693DE76CFD04}"/>
  <tableColumns count="7">
    <tableColumn id="1" xr3:uid="{554B1EED-65B6-4E9A-B646-82727FAC40DE}" name="Date" dataDxfId="107" totalsRowDxfId="106"/>
    <tableColumn id="2" xr3:uid="{32259059-42CF-4947-83DE-115AA430BE2B}" name="Party"/>
    <tableColumn id="3" xr3:uid="{A1320223-D55D-483C-91C3-AB19B95CC9D8}" name="Debit" totalsRowFunction="sum" dataDxfId="105" totalsRowDxfId="104" dataCellStyle="Comma"/>
    <tableColumn id="4" xr3:uid="{E9745767-9FF0-4B1C-9052-FF335D1D7588}" name="Credit" totalsRowFunction="sum" dataDxfId="103" totalsRowDxfId="102" dataCellStyle="Comma"/>
    <tableColumn id="5" xr3:uid="{5C88A48E-2467-4E6D-B626-2442B7FD0BE4}" name="Description"/>
    <tableColumn id="6" xr3:uid="{63CA4666-144E-4BE6-8B7C-7CB992BD3041}" name="Mode" totalsRowFunction="custom" dataDxfId="101" totalsRowDxfId="10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9" tableBorderDxfId="98" totalsRowBorderDxfId="97">
  <autoFilter ref="J3:K6" xr:uid="{DCE01694-23ED-48BF-8B92-4186B9ED10A8}"/>
  <tableColumns count="2">
    <tableColumn id="1" xr3:uid="{C8484DAF-2989-4C2F-9AEC-A6917E1C57F6}" name="Type" dataDxfId="96"/>
    <tableColumn id="2" xr3:uid="{B07B7A2A-4D4E-4654-BED6-FE2F0A7BEC34}" name="Amount" dataDxfId="9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94" headerRowBorderDxfId="93" tableBorderDxfId="92" totalsRowBorderDxfId="91">
  <autoFilter ref="Q8:S11" xr:uid="{D166BDD1-ACD7-45D7-8AE9-7350373F8CEB}"/>
  <tableColumns count="3">
    <tableColumn id="1" xr3:uid="{64F0205E-DEA7-4571-BA86-E4374A5FEE28}" name="Type" totalsRowLabel="Total" dataDxfId="90" totalsRowDxfId="89"/>
    <tableColumn id="2" xr3:uid="{15FA05F9-789C-4459-9BE0-5C1EC84D3365}" name="amount" totalsRowFunction="custom" dataDxfId="88" totalsRowDxfId="87">
      <totalsRowFormula>SUM(R10:R11)</totalsRowFormula>
    </tableColumn>
    <tableColumn id="3" xr3:uid="{3681D409-90C6-44D0-BDE2-4B5943A516F0}" name="Actual" totalsRowFunction="custom" totalsRowDxfId="86">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85" totalsRowDxfId="84"/>
    <tableColumn id="2" xr3:uid="{5B9D0FEE-4304-4C5C-A05C-5B27CF7841D3}" name="Type"/>
    <tableColumn id="3" xr3:uid="{6A91CA0D-C802-4C6F-9F39-CA53687E8EDE}" name="Description"/>
    <tableColumn id="4" xr3:uid="{A251D40C-AB87-4BB4-85F8-444B20E32FDF}" name="Total" totalsRowFunction="custom" dataDxfId="83" totalsRowDxfId="8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81" headerRowBorderDxfId="80">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7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77" headerRowBorderDxfId="76">
  <autoFilter ref="A4:H15" xr:uid="{A4C80688-A8BA-4BA7-90B4-791CD99446B4}"/>
  <sortState xmlns:xlrd2="http://schemas.microsoft.com/office/spreadsheetml/2017/richdata2" ref="A5:H5">
    <sortCondition ref="A4:A5"/>
  </sortState>
  <tableColumns count="8">
    <tableColumn id="1" xr3:uid="{4A818912-918E-4111-ACFC-BC93FEF7C1AD}" name="Date" dataDxfId="75" totalsRowDxfId="74"/>
    <tableColumn id="8" xr3:uid="{477ACFD5-62AF-4F69-974B-E9B974C11D7D}" name="Party Name" dataDxfId="7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72">
      <calculatedColumnFormula>SUMIFS(Table14[Debit], Table14[Date], Table2[[#This Row],[Date]], Table14[Party], Table2[[#This Row],[Party Name]])</calculatedColumnFormula>
    </tableColumn>
    <tableColumn id="7" xr3:uid="{BB689DF2-5D1E-436D-84C4-9745D88E8F3D}" name="Balance" totalsRowFunction="sum" dataDxfId="7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0" totalsRowDxfId="6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8" totalsRowDxfId="67"/>
    <tableColumn id="2" xr3:uid="{053BFC14-4828-417C-9F9F-95B6E232A945}" name="Amount" totalsRowFunction="custom" dataDxfId="66" totalsRowDxfId="6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64" totalsRowDxfId="6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3" totalsRowDxfId="5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51" totalsRowDxfId="5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49">
      <calculatedColumnFormula>Billing!O5</calculatedColumnFormula>
    </tableColumn>
    <tableColumn id="2" xr3:uid="{7093A59E-B58F-487D-888A-9AA8156B5F9A}" name="Amount Paid" dataDxfId="48">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609864.66715435265</v>
      </c>
      <c r="D4">
        <v>10</v>
      </c>
      <c r="E4" s="14">
        <f>(SUMIFS(ledger!G:G, ledger!B:B, B4, ledger!E:E, "&lt;&gt;*RD*",ledger!D:D, "Silky") / 1.0936)*12 + (SUMIFS(ledger!G:G, ledger!B:B, B4, ledger!E:E, "&lt;&gt;*RD*",ledger!D:D, "Chamki") / 1.0936)*10</f>
        <v>6058374.1770299934</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609864.66715435265</v>
      </c>
      <c r="K5" s="18">
        <v>6058374.1770299934</v>
      </c>
      <c r="O5" s="25" t="str" cm="1">
        <f t="array" ref="O5:O16">_xlfn.UNIQUE(Table1[Party Name])</f>
        <v>BSC</v>
      </c>
      <c r="P5" s="23" cm="1">
        <f t="array" ref="P5">_xlfn.BYROW(B26,_xlfn.LAMBDA(_xlpm.party,SUMIFS(ledger!G:G,ledger!B:B,_xlpm.party,ledger!E:E,"&lt;&gt;*RD*")))+_xlfn.IFNA(C44,0)</f>
        <v>1119991</v>
      </c>
      <c r="Q5" s="23" cm="1">
        <f t="array" ref="Q5">_xlfn.BYROW(B26, _xlfn.LAMBDA(_xlpm.party, SUMIFS(ledger!G:G, ledger!B:B, _xlpm.party, ledger!E:E, "&lt;&gt;*RD*") / 1.0936 ))+_xlfn.IFNA(D44,0)</f>
        <v>1024132.2238478421</v>
      </c>
      <c r="R5" s="23" cm="1">
        <f t="array" ref="R5">(_xlfn.BYROW(B26,_xlfn.LAMBDA(_xlpm.party,SUMIFS(ledger!G:G,ledger!B:B,_xlpm.party,ledger!E:E,"&lt;&gt;*RD*",ledger!D:D,"Chamki")+SUMIFS(ledger!G:G, ledger!B:B, _xlpm.party, ledger!E:E, "&lt;&gt;*RD*", ledger!D:D, "Crinkle")))/1.0936)+_xlfn.IFNA(E44,0)</f>
        <v>1009580.2852962693</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10095802.852962693</v>
      </c>
      <c r="U5" s="23" cm="1">
        <f t="array" ref="U5">(_xlfn.BYROW(B26,_xlfn.LAMBDA(_xlpm.party,SUMIFS(ledger!G:G,ledger!B:B,_xlpm.party,ledger!E:E,"&lt;&gt;*RD*",ledger!D:D, "Silky")/1.0936))* 12)+_xlfn.IFNA(H44,0)</f>
        <v>174623.26261887344</v>
      </c>
      <c r="V5" s="44">
        <f>T5+U5</f>
        <v>10270426.115581566</v>
      </c>
      <c r="W5" s="23">
        <f>(SUMIF(Table14[Party],O5,Table14[Credit]))+_xlfn.IFNA(J44,0)</f>
        <v>7158783</v>
      </c>
      <c r="X5" s="98">
        <f>V5-W5</f>
        <v>3111643.1155815665</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13734855.523043161</v>
      </c>
      <c r="D16" t="s">
        <v>30</v>
      </c>
      <c r="I16" s="4" t="s">
        <v>28</v>
      </c>
      <c r="J16" s="14">
        <v>1349432.1506949523</v>
      </c>
      <c r="K16" s="14">
        <v>13622858.449158741</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13734855.523043161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666948</v>
      </c>
      <c r="D26" s="23" cm="1">
        <f t="array" ref="D26:D37">_xlfn.BYROW(_xlfn.ANCHORARRAY(B26), _xlfn.LAMBDA(_xlpm.party, SUMIFS(ledger!G:G, ledger!B:B, _xlpm.party, ledger!E:E, "&lt;&gt;*RD*") / 1.0936 ))</f>
        <v>609864.66715435265</v>
      </c>
      <c r="E26" s="71" cm="1">
        <f t="array" ref="E26:E37">(_xlfn.BYROW(_xlfn.ANCHORARRAY(B26),_xlfn.LAMBDA(_xlpm.party,SUMIFS(ledger!G:G,ledger!B:B,_xlpm.party,ledger!E:E,"&lt;&gt;*RD*",ledger!D:D,"Chamki")+SUMIFS(ledger!G:G, ledger!B:B, _xlpm.party, ledger!E:E, "&lt;&gt;*RD*", ledger!D:D, "Crinkle")))/1.0936)</f>
        <v>595312.72860277991</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5953127.2860277994</v>
      </c>
      <c r="H26" s="23" cm="1">
        <f t="array" ref="H26">(_xlfn.BYROW(B26,_xlfn.LAMBDA(_xlpm.party,SUMIFS(ledger!G:G,ledger!B:B,_xlpm.party,ledger!E:E,"&lt;&gt;*RD*",ledger!D:D, "Silky")/1.0936))* M26)</f>
        <v>174623.26261887344</v>
      </c>
      <c r="I26" s="44">
        <f t="shared" ref="I26:I34" si="7">G26+H26</f>
        <v>6127750.5486466726</v>
      </c>
      <c r="J26" s="23">
        <f>(SUMIF(Table14[Party],B26,Table14[Credit]))</f>
        <v>3329945</v>
      </c>
      <c r="K26" s="42">
        <f>I26-J26</f>
        <v>2797805.5486466726</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1119991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1024132.2238478421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1009580.2852962693</v>
      </c>
      <c r="E12" s="103">
        <f ca="1">Table21[[#This Row],[gazana]]*Table21[[#This Row],[Rate]]</f>
        <v>10095802.852962693</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10270426.115581566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3111643.1155815665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3" sqref="E13"/>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SUM(Table2[Price])-(6900*33)-(0.8*25000)</f>
        <v>685700</v>
      </c>
      <c r="D6" t="s">
        <v>361</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11080887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4" sqref="E1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13734855.523043161</v>
      </c>
      <c r="D3" t="s">
        <v>70</v>
      </c>
    </row>
    <row r="4" spans="1:4" x14ac:dyDescent="0.3">
      <c r="B4" s="11" t="s">
        <v>46</v>
      </c>
      <c r="C4" s="11">
        <f>Table12[[#Totals],[Amount]]</f>
        <v>11080887</v>
      </c>
    </row>
    <row r="5" spans="1:4" x14ac:dyDescent="0.3">
      <c r="A5" s="6"/>
      <c r="B5" s="15" t="s">
        <v>71</v>
      </c>
      <c r="C5" s="15">
        <f ca="1">C3-C4</f>
        <v>2653968.5230431613</v>
      </c>
    </row>
    <row r="10" spans="1:4" ht="15" thickBot="1" x14ac:dyDescent="0.35">
      <c r="B10" t="s">
        <v>68</v>
      </c>
      <c r="C10" s="14" t="s">
        <v>69</v>
      </c>
    </row>
    <row r="11" spans="1:4" x14ac:dyDescent="0.3">
      <c r="B11" s="64" t="s">
        <v>0</v>
      </c>
      <c r="C11" s="65">
        <f ca="1">C3</f>
        <v>13734855.523043161</v>
      </c>
    </row>
    <row r="12" spans="1:4" x14ac:dyDescent="0.3">
      <c r="B12" s="66" t="s">
        <v>72</v>
      </c>
      <c r="C12" s="67">
        <f>SUM(Table14[Credit])</f>
        <v>11324846</v>
      </c>
    </row>
    <row r="13" spans="1:4" ht="15" thickBot="1" x14ac:dyDescent="0.35">
      <c r="B13" s="82" t="s">
        <v>101</v>
      </c>
      <c r="C13" s="81">
        <f ca="1">(C11-C12)</f>
        <v>2410009.5230431613</v>
      </c>
    </row>
    <row r="14" spans="1:4" ht="15" thickBot="1" x14ac:dyDescent="0.35">
      <c r="B14" s="66"/>
      <c r="C14" s="67"/>
    </row>
    <row r="15" spans="1:4" x14ac:dyDescent="0.3">
      <c r="B15" s="64" t="s">
        <v>46</v>
      </c>
      <c r="C15" s="65">
        <f>C4</f>
        <v>11080887</v>
      </c>
    </row>
    <row r="16" spans="1:4" x14ac:dyDescent="0.3">
      <c r="B16" s="66" t="s">
        <v>73</v>
      </c>
      <c r="C16" s="67">
        <f>SUM(Table14[Debit])</f>
        <v>11353933</v>
      </c>
    </row>
    <row r="17" spans="2:6" ht="15" thickBot="1" x14ac:dyDescent="0.35">
      <c r="B17" s="82" t="s">
        <v>74</v>
      </c>
      <c r="C17" s="81">
        <f>C15-C16</f>
        <v>-273046</v>
      </c>
    </row>
    <row r="18" spans="2:6" ht="15" thickBot="1" x14ac:dyDescent="0.35">
      <c r="B18" s="66"/>
      <c r="C18" s="67"/>
    </row>
    <row r="19" spans="2:6" ht="15" thickBot="1" x14ac:dyDescent="0.35">
      <c r="B19" s="83" t="s">
        <v>75</v>
      </c>
      <c r="C19" s="84">
        <f>Table18[[#Totals],[amount]]</f>
        <v>-29087</v>
      </c>
    </row>
    <row r="20" spans="2:6" ht="15" thickBot="1" x14ac:dyDescent="0.35">
      <c r="B20" s="79"/>
      <c r="C20" s="80"/>
    </row>
    <row r="21" spans="2:6" ht="15" thickBot="1" x14ac:dyDescent="0.35">
      <c r="B21" s="68" t="s">
        <v>76</v>
      </c>
      <c r="C21" s="69">
        <f ca="1">(C13-C17)+C19</f>
        <v>2653968.5230431613</v>
      </c>
      <c r="E21" s="87" t="s">
        <v>77</v>
      </c>
      <c r="F21" s="88">
        <f ca="1">C5*0.05</f>
        <v>132698.42615215806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4"/>
  <sheetViews>
    <sheetView tabSelected="1" topLeftCell="A108" zoomScale="104" workbookViewId="0">
      <selection activeCell="K132" sqref="K13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hidden="1"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hidden="1"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hidden="1"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hidden="1"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hidden="1"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hidden="1"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hidden="1"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hidden="1"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hidden="1"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hidden="1"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hidden="1"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hidden="1"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hidden="1"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hidden="1"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hidden="1"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hidden="1"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hidden="1"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hidden="1"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hidden="1"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hidden="1"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hidden="1" x14ac:dyDescent="0.3">
      <c r="A94" s="28">
        <v>45911</v>
      </c>
      <c r="B94" s="29" t="s">
        <v>24</v>
      </c>
      <c r="C94" s="29">
        <v>804</v>
      </c>
      <c r="D94" s="29" t="s">
        <v>89</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hidden="1" x14ac:dyDescent="0.3">
      <c r="A95" s="28">
        <v>45911</v>
      </c>
      <c r="B95" s="29" t="s">
        <v>24</v>
      </c>
      <c r="C95" s="29">
        <v>805</v>
      </c>
      <c r="D95" s="29" t="s">
        <v>89</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hidden="1"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hidden="1"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hidden="1"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hidden="1"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hidden="1"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hidden="1"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hidden="1"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hidden="1"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hidden="1"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hidden="1"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hidden="1"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hidden="1"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hidden="1"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hidden="1"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hidden="1"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hidden="1"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hidden="1"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89</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89</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89</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hidden="1" x14ac:dyDescent="0.3">
      <c r="A122" s="28">
        <v>45916</v>
      </c>
      <c r="B122" s="29" t="s">
        <v>24</v>
      </c>
      <c r="C122" s="29">
        <v>832</v>
      </c>
      <c r="D122" s="29" t="s">
        <v>89</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hidden="1" x14ac:dyDescent="0.3">
      <c r="A123" s="28">
        <v>45916</v>
      </c>
      <c r="B123" s="29" t="s">
        <v>24</v>
      </c>
      <c r="C123" s="29">
        <v>833</v>
      </c>
      <c r="D123" s="29" t="s">
        <v>89</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89</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89</v>
      </c>
      <c r="E125" s="11">
        <v>1716</v>
      </c>
      <c r="F125" s="11">
        <v>80183</v>
      </c>
      <c r="G125" s="11">
        <v>924</v>
      </c>
      <c r="H125" s="32">
        <f>_xlfn.XLOOKUP(Table1[[#This Row],[Shipment Number]], 'pivot '!A:A,'pivot '!G:G, "NF")</f>
        <v>94.673167207554783</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89</v>
      </c>
      <c r="E126" s="11">
        <v>1716</v>
      </c>
      <c r="F126" s="11">
        <v>80183</v>
      </c>
      <c r="G126" s="11">
        <v>3747</v>
      </c>
      <c r="H126" s="32">
        <f>_xlfn.XLOOKUP(Table1[[#This Row],[Shipment Number]], 'pivot '!A:A,'pivot '!G:G, "NF")</f>
        <v>94.673167207554783</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x14ac:dyDescent="0.3">
      <c r="A127"/>
      <c r="B127"/>
      <c r="C127"/>
      <c r="D127"/>
      <c r="E127" s="14"/>
      <c r="F127" s="14"/>
      <c r="G127" s="14"/>
      <c r="H127" s="50"/>
      <c r="I127" s="50" cm="1">
        <f t="array" aca="1" ref="I127" ca="1">SUMPRODUCT( SUBTOTAL(109, OFFSET(Table1[tiyar/meters], ROW(Table1[tiyar/meters])-MIN(ROW(Table1[tiyar/meters])), 0, 1)), --(Table1[Bill Number]&lt;&gt;"July Closing CF") )</f>
        <v>595312.72860278003</v>
      </c>
      <c r="J127" s="50" cm="1">
        <f t="array" aca="1" ref="J127" ca="1">SUMPRODUCT( SUBTOTAL(109, OFFSET(Table1[billing], ROW(Table1[billing])-MIN(ROW(Table1[billing])), 0, 1)), --(Table1[Bill Number]&lt;&gt;"July Closing CF") )</f>
        <v>5953127.2860277975</v>
      </c>
      <c r="K127" s="115">
        <f>SUMIFS(Table1[billing], Table1[Bill Number], "&lt;&gt;July Closing CF")</f>
        <v>13734855.523043159</v>
      </c>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41" spans="4:14" x14ac:dyDescent="0.3">
      <c r="D141" s="3" t="s">
        <v>2</v>
      </c>
      <c r="E141" t="s">
        <v>93</v>
      </c>
    </row>
    <row r="142" spans="4:14" x14ac:dyDescent="0.3">
      <c r="D142" s="3" t="s">
        <v>78</v>
      </c>
      <c r="E142" t="s">
        <v>93</v>
      </c>
    </row>
    <row r="143" spans="4:14" x14ac:dyDescent="0.3">
      <c r="D143" s="3" t="s">
        <v>82</v>
      </c>
      <c r="E143" t="s">
        <v>93</v>
      </c>
    </row>
    <row r="145" spans="4:11" x14ac:dyDescent="0.3">
      <c r="D145" s="3" t="s">
        <v>6</v>
      </c>
      <c r="E145" t="s">
        <v>94</v>
      </c>
      <c r="F145" t="s">
        <v>95</v>
      </c>
      <c r="G145" t="s">
        <v>96</v>
      </c>
      <c r="I145" s="3" t="s">
        <v>6</v>
      </c>
      <c r="J145" t="s">
        <v>95</v>
      </c>
      <c r="K145" t="s">
        <v>96</v>
      </c>
    </row>
    <row r="146" spans="4:11" x14ac:dyDescent="0.3">
      <c r="D146" s="16" t="s">
        <v>88</v>
      </c>
      <c r="E146" s="118"/>
      <c r="F146" s="33">
        <v>972869.42209217278</v>
      </c>
      <c r="G146" s="118">
        <v>9667907.8714703731</v>
      </c>
      <c r="I146" s="27">
        <v>45885</v>
      </c>
      <c r="J146" s="50">
        <v>2050.1097293343087</v>
      </c>
      <c r="K146" s="14">
        <v>20501.097293343086</v>
      </c>
    </row>
    <row r="147" spans="4:11" x14ac:dyDescent="0.3">
      <c r="D147" s="16">
        <v>716</v>
      </c>
      <c r="E147" s="118">
        <v>43689</v>
      </c>
      <c r="F147" s="33">
        <v>39949.70738844185</v>
      </c>
      <c r="G147" s="118">
        <v>399497.07388441847</v>
      </c>
      <c r="I147" s="27">
        <v>45886</v>
      </c>
      <c r="J147" s="50">
        <v>972869.42209217278</v>
      </c>
      <c r="K147" s="14">
        <v>9667907.8714703731</v>
      </c>
    </row>
    <row r="148" spans="4:11" x14ac:dyDescent="0.3">
      <c r="D148" s="16">
        <v>722</v>
      </c>
      <c r="E148" s="118">
        <v>25952</v>
      </c>
      <c r="F148" s="33">
        <v>23730.797366495979</v>
      </c>
      <c r="G148" s="118">
        <v>237307.97366495978</v>
      </c>
      <c r="I148" s="27">
        <v>45888</v>
      </c>
      <c r="J148" s="50">
        <v>71674.286759327006</v>
      </c>
      <c r="K148" s="14">
        <v>716742.86759327003</v>
      </c>
    </row>
    <row r="149" spans="4:11" x14ac:dyDescent="0.3">
      <c r="D149" s="16">
        <v>723</v>
      </c>
      <c r="E149" s="118">
        <v>8742</v>
      </c>
      <c r="F149" s="33">
        <v>7993.7820043891743</v>
      </c>
      <c r="G149" s="118">
        <v>79937.820043891741</v>
      </c>
      <c r="I149" s="27">
        <v>45890</v>
      </c>
      <c r="J149" s="50">
        <v>50132.589612289696</v>
      </c>
      <c r="K149" s="14">
        <v>501325.89612289687</v>
      </c>
    </row>
    <row r="150" spans="4:11" x14ac:dyDescent="0.3">
      <c r="D150" s="16">
        <v>724</v>
      </c>
      <c r="E150" s="118">
        <v>48705</v>
      </c>
      <c r="F150" s="33">
        <v>44536.393562545723</v>
      </c>
      <c r="G150" s="118">
        <v>445363.9356254572</v>
      </c>
      <c r="I150" s="27">
        <v>45891</v>
      </c>
      <c r="J150" s="50">
        <v>37560.351133869786</v>
      </c>
      <c r="K150" s="14">
        <v>375603.51133869792</v>
      </c>
    </row>
    <row r="151" spans="4:11" x14ac:dyDescent="0.3">
      <c r="D151" s="16">
        <v>725</v>
      </c>
      <c r="E151" s="118">
        <v>4140</v>
      </c>
      <c r="F151" s="33">
        <v>3785.6620336503297</v>
      </c>
      <c r="G151" s="118">
        <v>37856.6203365033</v>
      </c>
      <c r="I151" s="27">
        <v>45892</v>
      </c>
      <c r="J151" s="50">
        <v>76884.601316752029</v>
      </c>
      <c r="K151" s="14">
        <v>764915.87417703005</v>
      </c>
    </row>
    <row r="152" spans="4:11" x14ac:dyDescent="0.3">
      <c r="D152" s="16">
        <v>726</v>
      </c>
      <c r="E152" s="118">
        <v>1980</v>
      </c>
      <c r="F152" s="33">
        <v>1810.534016093636</v>
      </c>
      <c r="G152" s="118">
        <v>18105.340160936361</v>
      </c>
      <c r="I152" s="27">
        <v>45894</v>
      </c>
      <c r="J152" s="50">
        <v>81706.291148500371</v>
      </c>
      <c r="K152" s="14">
        <v>806219.82443306514</v>
      </c>
    </row>
    <row r="153" spans="4:11" x14ac:dyDescent="0.3">
      <c r="D153" s="16">
        <v>727</v>
      </c>
      <c r="E153" s="118">
        <v>21621</v>
      </c>
      <c r="F153" s="33">
        <v>19770.48280907096</v>
      </c>
      <c r="G153" s="118">
        <v>197704.82809070961</v>
      </c>
      <c r="I153" s="27">
        <v>45895</v>
      </c>
      <c r="J153" s="50">
        <v>17298.829553767377</v>
      </c>
      <c r="K153" s="14">
        <v>155689.46598390638</v>
      </c>
    </row>
    <row r="154" spans="4:11" x14ac:dyDescent="0.3">
      <c r="D154" s="16">
        <v>728</v>
      </c>
      <c r="E154" s="118">
        <v>6406</v>
      </c>
      <c r="F154" s="33">
        <v>5857.7176298463792</v>
      </c>
      <c r="G154" s="118">
        <v>58577.17629846379</v>
      </c>
      <c r="I154" s="27">
        <v>45896</v>
      </c>
      <c r="J154" s="50">
        <v>59752.194586686186</v>
      </c>
      <c r="K154" s="14">
        <v>555856.80321872712</v>
      </c>
    </row>
    <row r="155" spans="4:11" x14ac:dyDescent="0.3">
      <c r="D155" s="16">
        <v>729</v>
      </c>
      <c r="E155" s="118">
        <v>7452</v>
      </c>
      <c r="F155" s="33">
        <v>6814.1916605705928</v>
      </c>
      <c r="G155" s="118">
        <v>68141.916605705934</v>
      </c>
      <c r="I155" s="27">
        <v>45897</v>
      </c>
      <c r="J155" s="50">
        <v>41335.040234089247</v>
      </c>
      <c r="K155" s="14">
        <v>413350.40234089253</v>
      </c>
    </row>
    <row r="156" spans="4:11" x14ac:dyDescent="0.3">
      <c r="D156" s="16">
        <v>731</v>
      </c>
      <c r="E156" s="118">
        <v>5597</v>
      </c>
      <c r="F156" s="33">
        <v>5117.9590343818581</v>
      </c>
      <c r="G156" s="118">
        <v>51179.590343818578</v>
      </c>
      <c r="I156" s="27">
        <v>45898</v>
      </c>
      <c r="J156" s="50">
        <v>40317.300658376014</v>
      </c>
      <c r="K156" s="14">
        <v>393712.50914411119</v>
      </c>
    </row>
    <row r="157" spans="4:11" x14ac:dyDescent="0.3">
      <c r="D157" s="16">
        <v>732</v>
      </c>
      <c r="E157" s="118">
        <v>21167</v>
      </c>
      <c r="F157" s="33">
        <v>19355.340160936357</v>
      </c>
      <c r="G157" s="118">
        <v>193553.40160936356</v>
      </c>
      <c r="I157" s="27">
        <v>45899</v>
      </c>
      <c r="J157" s="50">
        <v>53495.793708851503</v>
      </c>
      <c r="K157" s="14">
        <v>624926.84711046098</v>
      </c>
    </row>
    <row r="158" spans="4:11" x14ac:dyDescent="0.3">
      <c r="D158" s="16">
        <v>733</v>
      </c>
      <c r="E158" s="118">
        <v>2010</v>
      </c>
      <c r="F158" s="33">
        <v>0</v>
      </c>
      <c r="G158" s="118">
        <v>0</v>
      </c>
      <c r="I158" s="27">
        <v>45900</v>
      </c>
      <c r="J158" s="50">
        <v>112115.94732991954</v>
      </c>
      <c r="K158" s="14">
        <v>1113504.0234089247</v>
      </c>
    </row>
    <row r="159" spans="4:11" x14ac:dyDescent="0.3">
      <c r="D159" s="16">
        <v>734</v>
      </c>
      <c r="E159" s="118">
        <v>16253</v>
      </c>
      <c r="F159" s="33">
        <v>14861.923920994881</v>
      </c>
      <c r="G159" s="118">
        <v>148619.23920994881</v>
      </c>
      <c r="I159" s="27">
        <v>45901</v>
      </c>
      <c r="J159" s="50">
        <v>33280.907095830291</v>
      </c>
      <c r="K159" s="14">
        <v>332430.50475493784</v>
      </c>
    </row>
    <row r="160" spans="4:11" x14ac:dyDescent="0.3">
      <c r="D160" s="16">
        <v>735</v>
      </c>
      <c r="E160" s="118">
        <v>33788</v>
      </c>
      <c r="F160" s="33">
        <v>30896.122896854427</v>
      </c>
      <c r="G160" s="118">
        <v>308961.22896854428</v>
      </c>
      <c r="I160" s="27">
        <v>45902</v>
      </c>
      <c r="J160" s="50">
        <v>39340.709583028533</v>
      </c>
      <c r="K160" s="14">
        <v>447311.63130943681</v>
      </c>
    </row>
    <row r="161" spans="4:11" x14ac:dyDescent="0.3">
      <c r="D161" s="16">
        <v>736</v>
      </c>
      <c r="E161" s="118">
        <v>8575</v>
      </c>
      <c r="F161" s="33">
        <v>7841.0753474762259</v>
      </c>
      <c r="G161" s="118">
        <v>78410.753474762256</v>
      </c>
      <c r="I161" s="27">
        <v>45903</v>
      </c>
      <c r="J161" s="50">
        <v>45768.105340160946</v>
      </c>
      <c r="K161" s="14">
        <v>457681.05340160942</v>
      </c>
    </row>
    <row r="162" spans="4:11" x14ac:dyDescent="0.3">
      <c r="D162" s="16">
        <v>737</v>
      </c>
      <c r="E162" s="118">
        <v>4298</v>
      </c>
      <c r="F162" s="33">
        <v>3930.1389904901248</v>
      </c>
      <c r="G162" s="118">
        <v>35371.250914411125</v>
      </c>
      <c r="I162" s="27">
        <v>45905</v>
      </c>
      <c r="J162" s="50">
        <v>42745.062179956112</v>
      </c>
      <c r="K162" s="14">
        <v>427450.62179956108</v>
      </c>
    </row>
    <row r="163" spans="4:11" x14ac:dyDescent="0.3">
      <c r="D163" s="16">
        <v>738</v>
      </c>
      <c r="E163" s="118">
        <v>22478</v>
      </c>
      <c r="F163" s="33">
        <v>20554.133138258963</v>
      </c>
      <c r="G163" s="118">
        <v>205541.33138258965</v>
      </c>
      <c r="I163" s="27">
        <v>45907</v>
      </c>
      <c r="J163" s="50">
        <v>86068.946598390641</v>
      </c>
      <c r="K163" s="14">
        <v>917897.76883686916</v>
      </c>
    </row>
    <row r="164" spans="4:11" x14ac:dyDescent="0.3">
      <c r="D164" s="16">
        <v>739</v>
      </c>
      <c r="E164" s="118">
        <v>8540</v>
      </c>
      <c r="F164" s="33">
        <v>7809.0709583028538</v>
      </c>
      <c r="G164" s="118">
        <v>78090.70958302854</v>
      </c>
      <c r="I164" s="27">
        <v>45908</v>
      </c>
      <c r="J164" s="50">
        <v>63158.376005852238</v>
      </c>
      <c r="K164" s="14">
        <v>584409.29041697143</v>
      </c>
    </row>
    <row r="165" spans="4:11" x14ac:dyDescent="0.3">
      <c r="D165" s="16">
        <v>740</v>
      </c>
      <c r="E165" s="118">
        <v>7214</v>
      </c>
      <c r="F165" s="33">
        <v>6596.5618141916611</v>
      </c>
      <c r="G165" s="118">
        <v>65965.61814191661</v>
      </c>
      <c r="I165" s="27">
        <v>45909</v>
      </c>
      <c r="J165" s="50">
        <v>52877.651792245801</v>
      </c>
      <c r="K165" s="14">
        <v>514436.72275054874</v>
      </c>
    </row>
    <row r="166" spans="4:11" x14ac:dyDescent="0.3">
      <c r="D166" s="16">
        <v>741</v>
      </c>
      <c r="E166" s="118">
        <v>6688</v>
      </c>
      <c r="F166" s="33">
        <v>6115.5815654718363</v>
      </c>
      <c r="G166" s="118">
        <v>61155.815654718361</v>
      </c>
      <c r="I166" s="27">
        <v>45910</v>
      </c>
      <c r="J166" s="50">
        <v>41004.937820043895</v>
      </c>
      <c r="K166" s="14">
        <v>410049.37820043898</v>
      </c>
    </row>
    <row r="167" spans="4:11" x14ac:dyDescent="0.3">
      <c r="D167" s="16">
        <v>742</v>
      </c>
      <c r="E167" s="118">
        <v>1914</v>
      </c>
      <c r="F167" s="33">
        <v>1750.1828822238481</v>
      </c>
      <c r="G167" s="118">
        <v>17501.82882223848</v>
      </c>
      <c r="I167" s="27">
        <v>45911</v>
      </c>
      <c r="J167" s="50">
        <v>43537.856620336512</v>
      </c>
      <c r="K167" s="14">
        <v>431282.91880029265</v>
      </c>
    </row>
    <row r="168" spans="4:11" x14ac:dyDescent="0.3">
      <c r="D168" s="16">
        <v>743</v>
      </c>
      <c r="E168" s="118">
        <v>9214</v>
      </c>
      <c r="F168" s="33">
        <v>8425.3840526700806</v>
      </c>
      <c r="G168" s="118">
        <v>84253.840526700806</v>
      </c>
      <c r="I168" s="27">
        <v>45912</v>
      </c>
      <c r="J168" s="50">
        <v>68853.328456474032</v>
      </c>
      <c r="K168" s="14">
        <v>776234.45501097292</v>
      </c>
    </row>
    <row r="169" spans="4:11" x14ac:dyDescent="0.3">
      <c r="D169" s="16">
        <v>744</v>
      </c>
      <c r="E169" s="118">
        <v>21448</v>
      </c>
      <c r="F169" s="33">
        <v>19612.289685442578</v>
      </c>
      <c r="G169" s="118">
        <v>196122.89685442578</v>
      </c>
      <c r="I169" s="27">
        <v>45913</v>
      </c>
      <c r="J169" s="50">
        <v>46665.142648134613</v>
      </c>
      <c r="K169" s="14">
        <v>466651.42648134608</v>
      </c>
    </row>
    <row r="170" spans="4:11" x14ac:dyDescent="0.3">
      <c r="D170" s="16">
        <v>745</v>
      </c>
      <c r="E170" s="118">
        <v>11858</v>
      </c>
      <c r="F170" s="33">
        <v>10843.087051938552</v>
      </c>
      <c r="G170" s="118">
        <v>97587.783467446963</v>
      </c>
      <c r="I170" s="27">
        <v>45915</v>
      </c>
      <c r="J170" s="50">
        <v>63266.276517922459</v>
      </c>
      <c r="K170" s="14">
        <v>759195.31821506959</v>
      </c>
    </row>
    <row r="171" spans="4:11" x14ac:dyDescent="0.3">
      <c r="D171" s="16">
        <v>746</v>
      </c>
      <c r="E171" s="118">
        <v>18918</v>
      </c>
      <c r="F171" s="33">
        <v>17298.829553767377</v>
      </c>
      <c r="G171" s="118">
        <v>155689.46598390638</v>
      </c>
      <c r="I171" s="27">
        <v>45916</v>
      </c>
      <c r="J171" s="50">
        <v>74270.299926847132</v>
      </c>
      <c r="K171" s="14">
        <v>724763.16752011713</v>
      </c>
    </row>
    <row r="172" spans="4:11" x14ac:dyDescent="0.3">
      <c r="D172" s="16">
        <v>747</v>
      </c>
      <c r="E172" s="118">
        <v>19780</v>
      </c>
      <c r="F172" s="33">
        <v>18087.051938551573</v>
      </c>
      <c r="G172" s="118">
        <v>180870.51938551571</v>
      </c>
      <c r="I172" s="27">
        <v>45917</v>
      </c>
      <c r="J172" s="50">
        <v>844.9158741770301</v>
      </c>
      <c r="K172" s="14">
        <v>8449.1587417703013</v>
      </c>
    </row>
    <row r="173" spans="4:11" x14ac:dyDescent="0.3">
      <c r="D173" s="16">
        <v>748</v>
      </c>
      <c r="E173" s="118">
        <v>4342</v>
      </c>
      <c r="F173" s="33">
        <v>3970.3730797366497</v>
      </c>
      <c r="G173" s="118">
        <v>35733.35771762985</v>
      </c>
      <c r="I173" s="27">
        <v>45918</v>
      </c>
      <c r="J173" s="50">
        <v>3426.2984637893201</v>
      </c>
      <c r="K173" s="14">
        <v>34262.984637893198</v>
      </c>
    </row>
    <row r="174" spans="4:11" x14ac:dyDescent="0.3">
      <c r="D174" s="16">
        <v>749</v>
      </c>
      <c r="E174" s="118">
        <v>28098</v>
      </c>
      <c r="F174" s="33">
        <v>25693.123628383324</v>
      </c>
      <c r="G174" s="118">
        <v>231238.11265544992</v>
      </c>
      <c r="I174" s="27" t="s">
        <v>28</v>
      </c>
      <c r="J174" s="50">
        <v>2322301.5727871251</v>
      </c>
      <c r="K174" s="14">
        <v>23402763.394513536</v>
      </c>
    </row>
    <row r="175" spans="4:11" x14ac:dyDescent="0.3">
      <c r="D175" s="16">
        <v>750</v>
      </c>
      <c r="E175" s="118">
        <v>13125</v>
      </c>
      <c r="F175" s="33">
        <v>12001.645940014632</v>
      </c>
      <c r="G175" s="118">
        <v>108014.81346013169</v>
      </c>
      <c r="I175"/>
      <c r="J175"/>
      <c r="K175"/>
    </row>
    <row r="176" spans="4:11" x14ac:dyDescent="0.3">
      <c r="D176" s="16">
        <v>721</v>
      </c>
      <c r="E176" s="118">
        <v>2242</v>
      </c>
      <c r="F176" s="33">
        <v>2050.1097293343087</v>
      </c>
      <c r="G176" s="118">
        <v>20501.097293343086</v>
      </c>
    </row>
    <row r="177" spans="4:7" x14ac:dyDescent="0.3">
      <c r="D177" s="16">
        <v>751</v>
      </c>
      <c r="E177" s="118">
        <v>33502</v>
      </c>
      <c r="F177" s="33">
        <v>30634.601316752014</v>
      </c>
      <c r="G177" s="118">
        <v>306346.01316752017</v>
      </c>
    </row>
    <row r="178" spans="4:7" x14ac:dyDescent="0.3">
      <c r="D178" s="16">
        <v>752</v>
      </c>
      <c r="E178" s="118">
        <v>11702</v>
      </c>
      <c r="F178" s="33">
        <v>10700.438917337236</v>
      </c>
      <c r="G178" s="118">
        <v>107004.38917337236</v>
      </c>
    </row>
    <row r="179" spans="4:7" x14ac:dyDescent="0.3">
      <c r="D179" s="16">
        <v>753</v>
      </c>
      <c r="E179" s="118">
        <v>26158</v>
      </c>
      <c r="F179" s="33">
        <v>23919.166057059258</v>
      </c>
      <c r="G179" s="118">
        <v>239191.66057059256</v>
      </c>
    </row>
    <row r="180" spans="4:7" x14ac:dyDescent="0.3">
      <c r="D180" s="16">
        <v>754</v>
      </c>
      <c r="E180" s="118">
        <v>10346</v>
      </c>
      <c r="F180" s="33">
        <v>9460.4974396488669</v>
      </c>
      <c r="G180" s="118">
        <v>85144.476956839804</v>
      </c>
    </row>
    <row r="181" spans="4:7" x14ac:dyDescent="0.3">
      <c r="D181" s="16">
        <v>755</v>
      </c>
      <c r="E181" s="118">
        <v>7587</v>
      </c>
      <c r="F181" s="33">
        <v>6937.6371616678862</v>
      </c>
      <c r="G181" s="118">
        <v>69376.371616678865</v>
      </c>
    </row>
    <row r="182" spans="4:7" x14ac:dyDescent="0.3">
      <c r="D182" s="16">
        <v>756</v>
      </c>
      <c r="E182" s="118">
        <v>2244</v>
      </c>
      <c r="F182" s="33">
        <v>0</v>
      </c>
      <c r="G182" s="118">
        <v>0</v>
      </c>
    </row>
    <row r="183" spans="4:7" x14ac:dyDescent="0.3">
      <c r="D183" s="16">
        <v>757</v>
      </c>
      <c r="E183" s="118">
        <v>14872</v>
      </c>
      <c r="F183" s="33">
        <v>13599.122165325531</v>
      </c>
      <c r="G183" s="118">
        <v>163189.46598390635</v>
      </c>
    </row>
    <row r="184" spans="4:7" x14ac:dyDescent="0.3">
      <c r="D184" s="16">
        <v>758</v>
      </c>
      <c r="E184" s="118">
        <v>11018</v>
      </c>
      <c r="F184" s="33">
        <v>10074.981711777617</v>
      </c>
      <c r="G184" s="118">
        <v>120899.78054133139</v>
      </c>
    </row>
    <row r="185" spans="4:7" x14ac:dyDescent="0.3">
      <c r="D185" s="16">
        <v>759</v>
      </c>
      <c r="E185" s="118">
        <v>23305</v>
      </c>
      <c r="F185" s="33">
        <v>21310.35113386979</v>
      </c>
      <c r="G185" s="118">
        <v>255724.21360643749</v>
      </c>
    </row>
    <row r="186" spans="4:7" x14ac:dyDescent="0.3">
      <c r="D186" s="16">
        <v>760</v>
      </c>
      <c r="E186" s="118">
        <v>9308</v>
      </c>
      <c r="F186" s="33">
        <v>8511.3386978785675</v>
      </c>
      <c r="G186" s="118">
        <v>85113.386978785682</v>
      </c>
    </row>
    <row r="187" spans="4:7" x14ac:dyDescent="0.3">
      <c r="D187" s="16">
        <v>761</v>
      </c>
      <c r="E187" s="118">
        <v>20380</v>
      </c>
      <c r="F187" s="33">
        <v>18635.6986100951</v>
      </c>
      <c r="G187" s="118">
        <v>186356.98610095101</v>
      </c>
    </row>
    <row r="188" spans="4:7" x14ac:dyDescent="0.3">
      <c r="D188" s="16">
        <v>762</v>
      </c>
      <c r="E188" s="118">
        <v>7020</v>
      </c>
      <c r="F188" s="33">
        <v>6419.1660570592539</v>
      </c>
      <c r="G188" s="118">
        <v>77029.992684711047</v>
      </c>
    </row>
    <row r="189" spans="4:7" x14ac:dyDescent="0.3">
      <c r="D189" s="16">
        <v>763</v>
      </c>
      <c r="E189" s="118">
        <v>2776</v>
      </c>
      <c r="F189" s="33">
        <v>2538.4052670080468</v>
      </c>
      <c r="G189" s="118">
        <v>25384.052670080469</v>
      </c>
    </row>
    <row r="190" spans="4:7" x14ac:dyDescent="0.3">
      <c r="D190" s="16">
        <v>764</v>
      </c>
      <c r="E190" s="118">
        <v>25394</v>
      </c>
      <c r="F190" s="33">
        <v>23220.555961960501</v>
      </c>
      <c r="G190" s="118">
        <v>232205.55961960502</v>
      </c>
    </row>
    <row r="191" spans="4:7" x14ac:dyDescent="0.3">
      <c r="D191" s="16">
        <v>765</v>
      </c>
      <c r="E191" s="118">
        <v>10496</v>
      </c>
      <c r="F191" s="33">
        <v>9597.6591075347478</v>
      </c>
      <c r="G191" s="118">
        <v>95976.591075347475</v>
      </c>
    </row>
    <row r="192" spans="4:7" x14ac:dyDescent="0.3">
      <c r="D192" s="16">
        <v>766</v>
      </c>
      <c r="E192" s="118">
        <v>9552</v>
      </c>
      <c r="F192" s="33">
        <v>8734.4550109729335</v>
      </c>
      <c r="G192" s="118">
        <v>87344.550109729331</v>
      </c>
    </row>
    <row r="193" spans="4:7" x14ac:dyDescent="0.3">
      <c r="D193" s="16">
        <v>767</v>
      </c>
      <c r="E193" s="118">
        <v>13908</v>
      </c>
      <c r="F193" s="33">
        <v>12717.629846378934</v>
      </c>
      <c r="G193" s="118">
        <v>127176.29846378934</v>
      </c>
    </row>
    <row r="194" spans="4:7" x14ac:dyDescent="0.3">
      <c r="D194" s="16">
        <v>768</v>
      </c>
      <c r="E194" s="118">
        <v>10672</v>
      </c>
      <c r="F194" s="33">
        <v>9758.5954645208494</v>
      </c>
      <c r="G194" s="118">
        <v>97585.954645208491</v>
      </c>
    </row>
    <row r="195" spans="4:7" x14ac:dyDescent="0.3">
      <c r="D195" s="16">
        <v>769</v>
      </c>
      <c r="E195" s="118">
        <v>15800</v>
      </c>
      <c r="F195" s="33">
        <v>14447.695683979518</v>
      </c>
      <c r="G195" s="118">
        <v>130029.26115581566</v>
      </c>
    </row>
    <row r="196" spans="4:7" x14ac:dyDescent="0.3">
      <c r="D196" s="16">
        <v>770</v>
      </c>
      <c r="E196" s="118">
        <v>6612</v>
      </c>
      <c r="F196" s="33">
        <v>6046.0863204096568</v>
      </c>
      <c r="G196" s="118">
        <v>54414.776883686907</v>
      </c>
    </row>
    <row r="197" spans="4:7" x14ac:dyDescent="0.3">
      <c r="D197" s="16">
        <v>771</v>
      </c>
      <c r="E197" s="118">
        <v>10650</v>
      </c>
      <c r="F197" s="33">
        <v>9738.4784198975867</v>
      </c>
      <c r="G197" s="118">
        <v>97384.78419897586</v>
      </c>
    </row>
    <row r="198" spans="4:7" x14ac:dyDescent="0.3">
      <c r="D198" s="16">
        <v>772</v>
      </c>
      <c r="E198" s="118">
        <v>17302</v>
      </c>
      <c r="F198" s="33">
        <v>15821.141185076813</v>
      </c>
      <c r="G198" s="118">
        <v>142390.27066569132</v>
      </c>
    </row>
    <row r="199" spans="4:7" x14ac:dyDescent="0.3">
      <c r="D199" s="16">
        <v>773</v>
      </c>
      <c r="E199" s="118">
        <v>8444</v>
      </c>
      <c r="F199" s="33">
        <v>7721.2874908558897</v>
      </c>
      <c r="G199" s="118">
        <v>92655.449890270684</v>
      </c>
    </row>
    <row r="200" spans="4:7" x14ac:dyDescent="0.3">
      <c r="D200" s="16">
        <v>774</v>
      </c>
      <c r="E200" s="118">
        <v>24391</v>
      </c>
      <c r="F200" s="33">
        <v>22303.401609363573</v>
      </c>
      <c r="G200" s="118">
        <v>267640.81931236287</v>
      </c>
    </row>
    <row r="201" spans="4:7" x14ac:dyDescent="0.3">
      <c r="D201" s="16">
        <v>775</v>
      </c>
      <c r="E201" s="118">
        <v>5084</v>
      </c>
      <c r="F201" s="33">
        <v>4648.8661302121436</v>
      </c>
      <c r="G201" s="118">
        <v>55786.393562545723</v>
      </c>
    </row>
    <row r="202" spans="4:7" x14ac:dyDescent="0.3">
      <c r="D202" s="16">
        <v>776</v>
      </c>
      <c r="E202" s="118">
        <v>4760</v>
      </c>
      <c r="F202" s="33">
        <v>4352.5969275786401</v>
      </c>
      <c r="G202" s="118">
        <v>43525.969275786403</v>
      </c>
    </row>
    <row r="203" spans="4:7" x14ac:dyDescent="0.3">
      <c r="D203" s="16">
        <v>777</v>
      </c>
      <c r="E203" s="118">
        <v>888</v>
      </c>
      <c r="F203" s="33">
        <v>811.99707388441846</v>
      </c>
      <c r="G203" s="118">
        <v>8119.9707388441848</v>
      </c>
    </row>
    <row r="204" spans="4:7" x14ac:dyDescent="0.3">
      <c r="D204" s="16">
        <v>778</v>
      </c>
      <c r="E204" s="118">
        <v>7900</v>
      </c>
      <c r="F204" s="33">
        <v>7223.8478419897592</v>
      </c>
      <c r="G204" s="118">
        <v>72238.478419897598</v>
      </c>
    </row>
    <row r="205" spans="4:7" x14ac:dyDescent="0.3">
      <c r="D205" s="16">
        <v>779</v>
      </c>
      <c r="E205" s="118">
        <v>17788</v>
      </c>
      <c r="F205" s="33">
        <v>16265.544989027068</v>
      </c>
      <c r="G205" s="118">
        <v>162655.44989027068</v>
      </c>
    </row>
    <row r="206" spans="4:7" x14ac:dyDescent="0.3">
      <c r="D206" s="16">
        <v>780</v>
      </c>
      <c r="E206" s="118">
        <v>19577</v>
      </c>
      <c r="F206" s="33">
        <v>17901.426481346014</v>
      </c>
      <c r="G206" s="118">
        <v>179014.26481346015</v>
      </c>
    </row>
    <row r="207" spans="4:7" x14ac:dyDescent="0.3">
      <c r="D207" s="16">
        <v>781</v>
      </c>
      <c r="E207" s="118">
        <v>12687</v>
      </c>
      <c r="F207" s="33">
        <v>11601.133869787858</v>
      </c>
      <c r="G207" s="118">
        <v>116011.33869787859</v>
      </c>
    </row>
    <row r="208" spans="4:7" x14ac:dyDescent="0.3">
      <c r="D208" s="16">
        <v>782</v>
      </c>
      <c r="E208" s="118">
        <v>14207</v>
      </c>
      <c r="F208" s="33">
        <v>12991.038771031457</v>
      </c>
      <c r="G208" s="118">
        <v>129910.38771031456</v>
      </c>
    </row>
    <row r="209" spans="4:7" x14ac:dyDescent="0.3">
      <c r="D209" s="16">
        <v>783</v>
      </c>
      <c r="E209" s="118">
        <v>19240</v>
      </c>
      <c r="F209" s="33">
        <v>17593.269934162399</v>
      </c>
      <c r="G209" s="118">
        <v>175932.69934162399</v>
      </c>
    </row>
    <row r="210" spans="4:7" x14ac:dyDescent="0.3">
      <c r="D210" s="16">
        <v>784</v>
      </c>
      <c r="E210" s="118">
        <v>13299</v>
      </c>
      <c r="F210" s="33">
        <v>12160.753474762254</v>
      </c>
      <c r="G210" s="118">
        <v>121607.53474762254</v>
      </c>
    </row>
    <row r="211" spans="4:7" x14ac:dyDescent="0.3">
      <c r="D211" s="16">
        <v>785</v>
      </c>
      <c r="E211" s="118">
        <v>7664</v>
      </c>
      <c r="F211" s="33">
        <v>7008.0468178493056</v>
      </c>
      <c r="G211" s="118">
        <v>84096.561814191664</v>
      </c>
    </row>
    <row r="212" spans="4:7" x14ac:dyDescent="0.3">
      <c r="D212" s="16">
        <v>786</v>
      </c>
      <c r="E212" s="118">
        <v>5132</v>
      </c>
      <c r="F212" s="33">
        <v>4692.7578639356261</v>
      </c>
      <c r="G212" s="118">
        <v>56313.094367227517</v>
      </c>
    </row>
    <row r="213" spans="4:7" x14ac:dyDescent="0.3">
      <c r="D213" s="16">
        <v>787</v>
      </c>
      <c r="E213" s="118">
        <v>18066</v>
      </c>
      <c r="F213" s="33">
        <v>16519.751280175569</v>
      </c>
      <c r="G213" s="118">
        <v>198237.01536210685</v>
      </c>
    </row>
    <row r="214" spans="4:7" x14ac:dyDescent="0.3">
      <c r="D214" s="16">
        <v>788</v>
      </c>
      <c r="E214" s="118">
        <v>12318</v>
      </c>
      <c r="F214" s="33">
        <v>11263.716166788588</v>
      </c>
      <c r="G214" s="118">
        <v>135164.59400146306</v>
      </c>
    </row>
    <row r="215" spans="4:7" x14ac:dyDescent="0.3">
      <c r="D215" s="16">
        <v>789</v>
      </c>
      <c r="E215" s="118">
        <v>23797</v>
      </c>
      <c r="F215" s="33">
        <v>21760.241404535482</v>
      </c>
      <c r="G215" s="118">
        <v>195842.17264081934</v>
      </c>
    </row>
    <row r="216" spans="4:7" x14ac:dyDescent="0.3">
      <c r="D216" s="16">
        <v>790</v>
      </c>
      <c r="E216" s="118">
        <v>27148</v>
      </c>
      <c r="F216" s="33">
        <v>24824.433065106074</v>
      </c>
      <c r="G216" s="118">
        <v>248244.33065106074</v>
      </c>
    </row>
    <row r="217" spans="4:7" x14ac:dyDescent="0.3">
      <c r="D217" s="16">
        <v>791</v>
      </c>
      <c r="E217" s="118">
        <v>17480</v>
      </c>
      <c r="F217" s="33">
        <v>15983.906364301391</v>
      </c>
      <c r="G217" s="118">
        <v>159839.06364301391</v>
      </c>
    </row>
    <row r="218" spans="4:7" x14ac:dyDescent="0.3">
      <c r="D218" s="16">
        <v>792</v>
      </c>
      <c r="E218" s="118">
        <v>22158</v>
      </c>
      <c r="F218" s="33">
        <v>20261.521580102417</v>
      </c>
      <c r="G218" s="118">
        <v>182353.69422092175</v>
      </c>
    </row>
    <row r="219" spans="4:7" x14ac:dyDescent="0.3">
      <c r="D219" s="16">
        <v>793</v>
      </c>
      <c r="E219" s="118">
        <v>11184</v>
      </c>
      <c r="F219" s="33">
        <v>10226.773957571326</v>
      </c>
      <c r="G219" s="118">
        <v>92040.965618141927</v>
      </c>
    </row>
    <row r="220" spans="4:7" x14ac:dyDescent="0.3">
      <c r="D220" s="16">
        <v>794</v>
      </c>
      <c r="E220" s="118">
        <v>14474</v>
      </c>
      <c r="F220" s="33">
        <v>13235.186539868326</v>
      </c>
      <c r="G220" s="118">
        <v>119116.67885881494</v>
      </c>
    </row>
    <row r="221" spans="4:7" x14ac:dyDescent="0.3">
      <c r="D221" s="16">
        <v>795</v>
      </c>
      <c r="E221" s="118">
        <v>3774</v>
      </c>
      <c r="F221" s="33">
        <v>3450.9875640087785</v>
      </c>
      <c r="G221" s="118">
        <v>31058.888076079005</v>
      </c>
    </row>
    <row r="222" spans="4:7" x14ac:dyDescent="0.3">
      <c r="D222" s="16">
        <v>796</v>
      </c>
      <c r="E222" s="118">
        <v>8892</v>
      </c>
      <c r="F222" s="33">
        <v>8130.9436722750552</v>
      </c>
      <c r="G222" s="118">
        <v>81309.436722750557</v>
      </c>
    </row>
    <row r="223" spans="4:7" x14ac:dyDescent="0.3">
      <c r="D223" s="16">
        <v>797</v>
      </c>
      <c r="E223" s="118">
        <v>4334</v>
      </c>
      <c r="F223" s="33">
        <v>3963.0577907827364</v>
      </c>
      <c r="G223" s="118">
        <v>35667.520117044631</v>
      </c>
    </row>
    <row r="224" spans="4:7" x14ac:dyDescent="0.3">
      <c r="D224" s="16">
        <v>798</v>
      </c>
      <c r="E224" s="118">
        <v>13135</v>
      </c>
      <c r="F224" s="33">
        <v>12010.790051207025</v>
      </c>
      <c r="G224" s="118">
        <v>120107.90051207025</v>
      </c>
    </row>
    <row r="225" spans="4:7" x14ac:dyDescent="0.3">
      <c r="D225" s="16">
        <v>799</v>
      </c>
      <c r="E225" s="118">
        <v>13937</v>
      </c>
      <c r="F225" s="33">
        <v>12744.14776883687</v>
      </c>
      <c r="G225" s="118">
        <v>127441.4776883687</v>
      </c>
    </row>
    <row r="226" spans="4:7" x14ac:dyDescent="0.3">
      <c r="D226" s="16">
        <v>800</v>
      </c>
      <c r="E226" s="118">
        <v>11348</v>
      </c>
      <c r="F226" s="33">
        <v>10376.737381126555</v>
      </c>
      <c r="G226" s="118">
        <v>93390.636430138999</v>
      </c>
    </row>
    <row r="227" spans="4:7" x14ac:dyDescent="0.3">
      <c r="D227" s="16">
        <v>801</v>
      </c>
      <c r="E227" s="118">
        <v>6181</v>
      </c>
      <c r="F227" s="33">
        <v>5651.9751280175569</v>
      </c>
      <c r="G227" s="118">
        <v>56519.751280175566</v>
      </c>
    </row>
    <row r="228" spans="4:7" x14ac:dyDescent="0.3">
      <c r="D228" s="16">
        <v>802</v>
      </c>
      <c r="E228" s="118">
        <v>20149</v>
      </c>
      <c r="F228" s="33">
        <v>18424.469641550844</v>
      </c>
      <c r="G228" s="118">
        <v>184244.69641550846</v>
      </c>
    </row>
    <row r="229" spans="4:7" x14ac:dyDescent="0.3">
      <c r="D229" s="16">
        <v>803</v>
      </c>
      <c r="E229" s="118">
        <v>24694</v>
      </c>
      <c r="F229" s="33">
        <v>22580.468178493051</v>
      </c>
      <c r="G229" s="118">
        <v>225804.68178493052</v>
      </c>
    </row>
    <row r="230" spans="4:7" x14ac:dyDescent="0.3">
      <c r="D230" s="16">
        <v>804</v>
      </c>
      <c r="E230" s="118">
        <v>8999</v>
      </c>
      <c r="F230" s="33">
        <v>8228.7856620336515</v>
      </c>
      <c r="G230" s="118">
        <v>74059.070958302866</v>
      </c>
    </row>
    <row r="231" spans="4:7" x14ac:dyDescent="0.3">
      <c r="D231" s="16">
        <v>805</v>
      </c>
      <c r="E231" s="118">
        <v>9858</v>
      </c>
      <c r="F231" s="33">
        <v>9014.2648134601332</v>
      </c>
      <c r="G231" s="118">
        <v>81128.383321141198</v>
      </c>
    </row>
    <row r="232" spans="4:7" x14ac:dyDescent="0.3">
      <c r="D232" s="16">
        <v>806</v>
      </c>
      <c r="E232" s="118">
        <v>28756</v>
      </c>
      <c r="F232" s="33">
        <v>26294.806144842725</v>
      </c>
      <c r="G232" s="118">
        <v>276095.46452084859</v>
      </c>
    </row>
    <row r="233" spans="4:7" x14ac:dyDescent="0.3">
      <c r="D233" s="16">
        <v>807</v>
      </c>
      <c r="E233" s="118"/>
      <c r="F233" s="33">
        <v>0</v>
      </c>
      <c r="G233" s="118"/>
    </row>
    <row r="234" spans="4:7" x14ac:dyDescent="0.3">
      <c r="D234" s="16">
        <v>808</v>
      </c>
      <c r="E234" s="118">
        <v>3855</v>
      </c>
      <c r="F234" s="33">
        <v>3525.0548646671546</v>
      </c>
      <c r="G234" s="118">
        <v>35250.548646671545</v>
      </c>
    </row>
    <row r="235" spans="4:7" x14ac:dyDescent="0.3">
      <c r="D235" s="16">
        <v>809</v>
      </c>
      <c r="E235" s="118">
        <v>2228</v>
      </c>
      <c r="F235" s="33">
        <v>2037.3079736649599</v>
      </c>
      <c r="G235" s="118">
        <v>18335.771762984641</v>
      </c>
    </row>
    <row r="236" spans="4:7" x14ac:dyDescent="0.3">
      <c r="D236" s="16">
        <v>810</v>
      </c>
      <c r="E236" s="118">
        <v>19760</v>
      </c>
      <c r="F236" s="33">
        <v>18068.763716166792</v>
      </c>
      <c r="G236" s="118">
        <v>216825.16459400149</v>
      </c>
    </row>
    <row r="237" spans="4:7" x14ac:dyDescent="0.3">
      <c r="D237" s="16">
        <v>811</v>
      </c>
      <c r="E237" s="118">
        <v>14695</v>
      </c>
      <c r="F237" s="33">
        <v>13437.271397220191</v>
      </c>
      <c r="G237" s="118">
        <v>161247.2567666423</v>
      </c>
    </row>
    <row r="238" spans="4:7" x14ac:dyDescent="0.3">
      <c r="D238" s="16">
        <v>812</v>
      </c>
      <c r="E238" s="118">
        <v>6490</v>
      </c>
      <c r="F238" s="33">
        <v>5934.5281638624729</v>
      </c>
      <c r="G238" s="118">
        <v>71214.337966349674</v>
      </c>
    </row>
    <row r="239" spans="4:7" x14ac:dyDescent="0.3">
      <c r="D239" s="16">
        <v>813</v>
      </c>
      <c r="E239" s="118">
        <v>6448</v>
      </c>
      <c r="F239" s="33">
        <v>5896.1228968544265</v>
      </c>
      <c r="G239" s="118">
        <v>70753.474762253114</v>
      </c>
    </row>
    <row r="240" spans="4:7" x14ac:dyDescent="0.3">
      <c r="D240" s="16">
        <v>814</v>
      </c>
      <c r="E240" s="118">
        <v>13600</v>
      </c>
      <c r="F240" s="33">
        <v>12435.991221653256</v>
      </c>
      <c r="G240" s="118">
        <v>124359.91221653255</v>
      </c>
    </row>
    <row r="241" spans="4:7" x14ac:dyDescent="0.3">
      <c r="D241" s="16">
        <v>815</v>
      </c>
      <c r="E241" s="118">
        <v>4344</v>
      </c>
      <c r="F241" s="33">
        <v>3972.2019019751283</v>
      </c>
      <c r="G241" s="118">
        <v>39722.019019751286</v>
      </c>
    </row>
    <row r="242" spans="4:7" x14ac:dyDescent="0.3">
      <c r="D242" s="16">
        <v>816</v>
      </c>
      <c r="E242" s="118">
        <v>2202</v>
      </c>
      <c r="F242" s="33">
        <v>2013.5332845647404</v>
      </c>
      <c r="G242" s="118">
        <v>20135.332845647405</v>
      </c>
    </row>
    <row r="243" spans="4:7" x14ac:dyDescent="0.3">
      <c r="D243" s="16">
        <v>817</v>
      </c>
      <c r="E243" s="118">
        <v>1676</v>
      </c>
      <c r="F243" s="33">
        <v>1532.5530358449159</v>
      </c>
      <c r="G243" s="118">
        <v>18390.636430138991</v>
      </c>
    </row>
    <row r="244" spans="4:7" x14ac:dyDescent="0.3">
      <c r="D244" s="16">
        <v>819</v>
      </c>
      <c r="E244" s="118">
        <v>11388</v>
      </c>
      <c r="F244" s="33">
        <v>10413.313825896124</v>
      </c>
      <c r="G244" s="118">
        <v>104133.13825896125</v>
      </c>
    </row>
    <row r="245" spans="4:7" x14ac:dyDescent="0.3">
      <c r="D245" s="16">
        <v>820</v>
      </c>
      <c r="E245" s="118">
        <v>24722</v>
      </c>
      <c r="F245" s="33">
        <v>22606.071689831751</v>
      </c>
      <c r="G245" s="118">
        <v>226060.71689831751</v>
      </c>
    </row>
    <row r="246" spans="4:7" x14ac:dyDescent="0.3">
      <c r="D246" s="16">
        <v>821</v>
      </c>
      <c r="E246" s="118">
        <v>5368</v>
      </c>
      <c r="F246" s="33">
        <v>4908.5588880760797</v>
      </c>
      <c r="G246" s="118">
        <v>58902.706656912953</v>
      </c>
    </row>
    <row r="247" spans="4:7" x14ac:dyDescent="0.3">
      <c r="D247" s="16">
        <v>818</v>
      </c>
      <c r="E247" s="118">
        <v>14923</v>
      </c>
      <c r="F247" s="33">
        <v>13645.757132406732</v>
      </c>
      <c r="G247" s="118">
        <v>136457.57132406731</v>
      </c>
    </row>
    <row r="248" spans="4:7" x14ac:dyDescent="0.3">
      <c r="D248" s="16">
        <v>822</v>
      </c>
      <c r="E248" s="118">
        <v>4290</v>
      </c>
      <c r="F248" s="33">
        <v>3922.823701536211</v>
      </c>
      <c r="G248" s="118">
        <v>47073.884418434536</v>
      </c>
    </row>
    <row r="249" spans="4:7" x14ac:dyDescent="0.3">
      <c r="D249" s="16">
        <v>823</v>
      </c>
      <c r="E249" s="118">
        <v>13282</v>
      </c>
      <c r="F249" s="33">
        <v>12145.208485735187</v>
      </c>
      <c r="G249" s="118">
        <v>145742.50182882225</v>
      </c>
    </row>
    <row r="250" spans="4:7" x14ac:dyDescent="0.3">
      <c r="D250" s="16">
        <v>824</v>
      </c>
      <c r="E250" s="118">
        <v>26000</v>
      </c>
      <c r="F250" s="33">
        <v>23774.689100219461</v>
      </c>
      <c r="G250" s="118">
        <v>285296.26920263353</v>
      </c>
    </row>
    <row r="251" spans="4:7" x14ac:dyDescent="0.3">
      <c r="D251" s="16">
        <v>825</v>
      </c>
      <c r="E251" s="118">
        <v>6010</v>
      </c>
      <c r="F251" s="33">
        <v>5495.6108266276524</v>
      </c>
      <c r="G251" s="118">
        <v>65947.329919531825</v>
      </c>
    </row>
    <row r="252" spans="4:7" x14ac:dyDescent="0.3">
      <c r="D252" s="16">
        <v>826</v>
      </c>
      <c r="E252" s="118"/>
      <c r="F252" s="33">
        <v>0</v>
      </c>
      <c r="G252" s="118"/>
    </row>
    <row r="253" spans="4:7" x14ac:dyDescent="0.3">
      <c r="D253" s="16">
        <v>827</v>
      </c>
      <c r="E253" s="118">
        <v>5756</v>
      </c>
      <c r="F253" s="33">
        <v>5263.3504023408932</v>
      </c>
      <c r="G253" s="118">
        <v>63160.204828090718</v>
      </c>
    </row>
    <row r="254" spans="4:7" x14ac:dyDescent="0.3">
      <c r="D254" s="16">
        <v>828</v>
      </c>
      <c r="E254" s="118">
        <v>8482</v>
      </c>
      <c r="F254" s="33">
        <v>7756.0351133869799</v>
      </c>
      <c r="G254" s="118">
        <v>93072.421360643755</v>
      </c>
    </row>
    <row r="255" spans="4:7" x14ac:dyDescent="0.3">
      <c r="D255" s="16">
        <v>829</v>
      </c>
      <c r="E255" s="118">
        <v>28055</v>
      </c>
      <c r="F255" s="33">
        <v>25653.803950256039</v>
      </c>
      <c r="G255" s="118">
        <v>256538.03950256039</v>
      </c>
    </row>
    <row r="256" spans="4:7" x14ac:dyDescent="0.3">
      <c r="D256" s="16">
        <v>830</v>
      </c>
      <c r="E256" s="118">
        <v>17655</v>
      </c>
      <c r="F256" s="33">
        <v>16143.928310168252</v>
      </c>
      <c r="G256" s="118">
        <v>161439.28310168252</v>
      </c>
    </row>
    <row r="257" spans="4:7" x14ac:dyDescent="0.3">
      <c r="D257" s="16">
        <v>831</v>
      </c>
      <c r="E257" s="118">
        <v>4700</v>
      </c>
      <c r="F257" s="33">
        <v>4297.7322604242872</v>
      </c>
      <c r="G257" s="118">
        <v>42977.322604242872</v>
      </c>
    </row>
    <row r="258" spans="4:7" x14ac:dyDescent="0.3">
      <c r="D258" s="16">
        <v>832</v>
      </c>
      <c r="E258" s="118">
        <v>15076</v>
      </c>
      <c r="F258" s="33">
        <v>13785.662033650331</v>
      </c>
      <c r="G258" s="118">
        <v>124070.95830285297</v>
      </c>
    </row>
    <row r="259" spans="4:7" x14ac:dyDescent="0.3">
      <c r="D259" s="16">
        <v>833</v>
      </c>
      <c r="E259" s="118">
        <v>4543</v>
      </c>
      <c r="F259" s="33">
        <v>4154.1697147037312</v>
      </c>
      <c r="G259" s="118">
        <v>37387.527432333583</v>
      </c>
    </row>
    <row r="260" spans="4:7" x14ac:dyDescent="0.3">
      <c r="D260" s="16">
        <v>834</v>
      </c>
      <c r="E260" s="118">
        <v>11193</v>
      </c>
      <c r="F260" s="33">
        <v>10235.003657644478</v>
      </c>
      <c r="G260" s="118">
        <v>102350.03657644478</v>
      </c>
    </row>
    <row r="261" spans="4:7" x14ac:dyDescent="0.3">
      <c r="D261" s="16">
        <v>842</v>
      </c>
      <c r="E261" s="118">
        <v>924</v>
      </c>
      <c r="F261" s="33">
        <v>844.9158741770301</v>
      </c>
      <c r="G261" s="118">
        <v>8449.1587417703013</v>
      </c>
    </row>
    <row r="262" spans="4:7" x14ac:dyDescent="0.3">
      <c r="D262" s="16">
        <v>845</v>
      </c>
      <c r="E262" s="118">
        <v>3747</v>
      </c>
      <c r="F262" s="33">
        <v>3426.2984637893201</v>
      </c>
      <c r="G262" s="118">
        <v>34262.984637893198</v>
      </c>
    </row>
    <row r="263" spans="4:7" x14ac:dyDescent="0.3">
      <c r="D263" s="16" t="s">
        <v>28</v>
      </c>
      <c r="E263" s="118">
        <v>1479993</v>
      </c>
      <c r="F263" s="33">
        <v>2322301.5727871251</v>
      </c>
      <c r="G263" s="118">
        <v>23402763.394513547</v>
      </c>
    </row>
    <row r="264" spans="4:7" x14ac:dyDescent="0.3">
      <c r="D264"/>
      <c r="E264"/>
      <c r="F264"/>
      <c r="G264"/>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H5" sqref="H5"/>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6"/>
  <sheetViews>
    <sheetView topLeftCell="A3" zoomScale="132" workbookViewId="0">
      <selection activeCell="D3" sqref="D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x14ac:dyDescent="0.3">
      <c r="A2" s="94">
        <v>45886</v>
      </c>
      <c r="B2" s="89" t="s">
        <v>122</v>
      </c>
      <c r="C2" s="11"/>
      <c r="D2" s="95">
        <f>[1]Cashbook!$R$10</f>
        <v>-145318</v>
      </c>
      <c r="E2" s="89"/>
      <c r="F2" s="96" t="s">
        <v>117</v>
      </c>
    </row>
    <row r="3" spans="1:19" x14ac:dyDescent="0.3">
      <c r="A3" s="94">
        <v>45886</v>
      </c>
      <c r="B3" s="89" t="s">
        <v>122</v>
      </c>
      <c r="C3" s="11"/>
      <c r="D3" s="95">
        <f>[1]Cashbook!$R$11</f>
        <v>-716401</v>
      </c>
      <c r="E3" s="89"/>
      <c r="F3" s="96" t="s">
        <v>118</v>
      </c>
      <c r="J3" s="55" t="s">
        <v>47</v>
      </c>
      <c r="K3" s="40" t="s">
        <v>48</v>
      </c>
      <c r="P3" t="s">
        <v>115</v>
      </c>
    </row>
    <row r="4" spans="1:19" x14ac:dyDescent="0.3">
      <c r="A4" s="1">
        <v>45886</v>
      </c>
      <c r="B4" t="s">
        <v>21</v>
      </c>
      <c r="C4" s="11"/>
      <c r="D4" s="11">
        <v>26650</v>
      </c>
      <c r="E4" t="s">
        <v>123</v>
      </c>
      <c r="F4" s="52" t="s">
        <v>117</v>
      </c>
      <c r="J4" s="53" t="s">
        <v>73</v>
      </c>
      <c r="K4" s="54">
        <f>Table14[[#Totals],[Debit]]</f>
        <v>11353933</v>
      </c>
    </row>
    <row r="5" spans="1:19" x14ac:dyDescent="0.3">
      <c r="A5" s="43">
        <v>45886</v>
      </c>
      <c r="B5" t="s">
        <v>102</v>
      </c>
      <c r="C5" s="47">
        <v>26650</v>
      </c>
      <c r="D5" s="47"/>
      <c r="E5" t="s">
        <v>124</v>
      </c>
      <c r="F5" s="52" t="s">
        <v>117</v>
      </c>
      <c r="J5" s="53" t="s">
        <v>72</v>
      </c>
      <c r="K5" s="54">
        <f>Table14[[#Totals],[Credit]]</f>
        <v>11324846</v>
      </c>
    </row>
    <row r="6" spans="1:19" x14ac:dyDescent="0.3">
      <c r="A6" s="97">
        <v>45887</v>
      </c>
      <c r="B6" t="s">
        <v>125</v>
      </c>
      <c r="C6" s="11"/>
      <c r="D6" s="11">
        <v>17500</v>
      </c>
      <c r="E6" t="s">
        <v>126</v>
      </c>
      <c r="F6" s="52" t="s">
        <v>117</v>
      </c>
      <c r="J6" s="60" t="s">
        <v>45</v>
      </c>
      <c r="K6" s="61">
        <f>(K5-K4)</f>
        <v>-29087</v>
      </c>
    </row>
    <row r="7" spans="1:19" x14ac:dyDescent="0.3">
      <c r="A7" s="97">
        <v>45887</v>
      </c>
      <c r="B7" t="s">
        <v>57</v>
      </c>
      <c r="C7" s="11">
        <v>4500</v>
      </c>
      <c r="D7" s="11"/>
      <c r="E7" t="s">
        <v>127</v>
      </c>
      <c r="F7" s="52" t="s">
        <v>117</v>
      </c>
      <c r="P7" s="14">
        <f>Table18[[#Totals],[amount]]-Table18[[#Totals],[Actual]]</f>
        <v>-30927</v>
      </c>
    </row>
    <row r="8" spans="1:19" x14ac:dyDescent="0.3">
      <c r="A8" s="97">
        <v>45887</v>
      </c>
      <c r="B8" t="s">
        <v>21</v>
      </c>
      <c r="C8" s="11"/>
      <c r="D8" s="11">
        <v>400000</v>
      </c>
      <c r="E8" t="s">
        <v>87</v>
      </c>
      <c r="F8" s="52" t="s">
        <v>117</v>
      </c>
      <c r="Q8" s="55" t="s">
        <v>47</v>
      </c>
      <c r="R8" s="58" t="s">
        <v>113</v>
      </c>
      <c r="S8" s="99" t="s">
        <v>114</v>
      </c>
    </row>
    <row r="9" spans="1:19" x14ac:dyDescent="0.3">
      <c r="A9" s="97">
        <v>45887</v>
      </c>
      <c r="B9" t="s">
        <v>102</v>
      </c>
      <c r="C9" s="11">
        <v>300000</v>
      </c>
      <c r="D9" s="11"/>
      <c r="E9" t="s">
        <v>128</v>
      </c>
      <c r="F9" s="52" t="s">
        <v>117</v>
      </c>
      <c r="Q9" s="53" t="s">
        <v>116</v>
      </c>
      <c r="R9" s="59">
        <f>SUMIFS(Table14[Withdrawal],Table14[Party],"Cash",Table14[Mode],"Transfer")</f>
        <v>570000</v>
      </c>
    </row>
    <row r="10" spans="1:19"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12665</v>
      </c>
      <c r="S11">
        <v>1520</v>
      </c>
    </row>
    <row r="12" spans="1:19" x14ac:dyDescent="0.3">
      <c r="A12" s="97">
        <v>45887</v>
      </c>
      <c r="B12" t="s">
        <v>52</v>
      </c>
      <c r="C12" s="11">
        <v>260</v>
      </c>
      <c r="D12" s="11"/>
      <c r="E12" t="s">
        <v>131</v>
      </c>
      <c r="F12" s="52" t="s">
        <v>118</v>
      </c>
      <c r="Q12" s="56" t="s">
        <v>5</v>
      </c>
      <c r="R12" s="57">
        <f>SUM(R10:R11)</f>
        <v>-29087</v>
      </c>
      <c r="S12" s="100">
        <f>SUM(S10,S11)</f>
        <v>1840</v>
      </c>
    </row>
    <row r="13" spans="1:19" x14ac:dyDescent="0.3">
      <c r="A13" s="97">
        <v>45887</v>
      </c>
      <c r="B13" t="s">
        <v>56</v>
      </c>
      <c r="C13" s="47">
        <v>4869</v>
      </c>
      <c r="D13" s="47"/>
      <c r="E13" t="s">
        <v>132</v>
      </c>
      <c r="F13" s="52" t="s">
        <v>117</v>
      </c>
    </row>
    <row r="14" spans="1:19" x14ac:dyDescent="0.3">
      <c r="A14" s="43">
        <v>45887</v>
      </c>
      <c r="B14" t="s">
        <v>25</v>
      </c>
      <c r="C14" s="47"/>
      <c r="D14" s="47">
        <v>100000</v>
      </c>
      <c r="E14" t="s">
        <v>133</v>
      </c>
      <c r="F14" s="52" t="s">
        <v>117</v>
      </c>
    </row>
    <row r="15" spans="1:19" x14ac:dyDescent="0.3">
      <c r="A15" s="97">
        <v>45887</v>
      </c>
      <c r="B15" t="s">
        <v>25</v>
      </c>
      <c r="C15" s="47"/>
      <c r="D15" s="47">
        <v>140000</v>
      </c>
      <c r="E15" t="s">
        <v>87</v>
      </c>
      <c r="F15" s="52" t="s">
        <v>117</v>
      </c>
    </row>
    <row r="16" spans="1:19"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186000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1382400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11324846</v>
      </c>
      <c r="L196" s="14">
        <v>11353933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6" x14ac:dyDescent="0.3">
      <c r="A401" s="97">
        <v>45915</v>
      </c>
      <c r="B401" t="s">
        <v>153</v>
      </c>
      <c r="C401" s="11">
        <v>115000</v>
      </c>
      <c r="D401" s="11"/>
      <c r="F401" s="52" t="s">
        <v>117</v>
      </c>
    </row>
    <row r="402" spans="1:6" x14ac:dyDescent="0.3">
      <c r="A402" s="43">
        <v>45915</v>
      </c>
      <c r="B402" t="s">
        <v>21</v>
      </c>
      <c r="C402" s="11"/>
      <c r="D402" s="11">
        <v>11000</v>
      </c>
      <c r="E402" t="s">
        <v>104</v>
      </c>
      <c r="F402" s="52" t="s">
        <v>117</v>
      </c>
    </row>
    <row r="403" spans="1:6" x14ac:dyDescent="0.3">
      <c r="A403" s="97">
        <v>45915</v>
      </c>
      <c r="B403" t="s">
        <v>104</v>
      </c>
      <c r="C403" s="11">
        <v>11000</v>
      </c>
      <c r="D403" s="11"/>
      <c r="F403" s="52" t="s">
        <v>117</v>
      </c>
    </row>
    <row r="404" spans="1:6" x14ac:dyDescent="0.3">
      <c r="A404" s="97">
        <v>45916</v>
      </c>
      <c r="B404" t="s">
        <v>194</v>
      </c>
      <c r="C404" s="11">
        <v>40000</v>
      </c>
      <c r="D404" s="11"/>
      <c r="E404" t="s">
        <v>179</v>
      </c>
      <c r="F404" s="52" t="s">
        <v>117</v>
      </c>
    </row>
    <row r="405" spans="1:6" x14ac:dyDescent="0.3">
      <c r="A405" s="43">
        <v>45916</v>
      </c>
      <c r="B405" t="s">
        <v>152</v>
      </c>
      <c r="C405" s="47">
        <v>10000</v>
      </c>
      <c r="D405" s="47"/>
      <c r="E405" t="s">
        <v>241</v>
      </c>
      <c r="F405" s="52" t="s">
        <v>117</v>
      </c>
    </row>
    <row r="406" spans="1:6" x14ac:dyDescent="0.3">
      <c r="A406" s="43"/>
      <c r="C406" s="14">
        <f>SUBTOTAL(109,Table14[Debit])</f>
        <v>11353933</v>
      </c>
      <c r="D406" s="14">
        <f>SUBTOTAL(109,Table14[Credit])</f>
        <v>11324846</v>
      </c>
      <c r="F406" s="62">
        <f>(Table14[[#Totals],[Credit]]-Table14[[#Totals],[Debit]])</f>
        <v>-29087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8"/>
      <c r="M10" s="118">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8">
        <v>659500</v>
      </c>
      <c r="M11" s="118">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8">
        <v>154500</v>
      </c>
      <c r="M12" s="118">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8"/>
      <c r="M13" s="118">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8"/>
      <c r="M14" s="118">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8">
        <v>394000</v>
      </c>
      <c r="M15" s="118">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8">
        <v>1208000</v>
      </c>
      <c r="M16" s="118">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M17" sqref="M1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8">
        <v>75000</v>
      </c>
      <c r="L5" s="118">
        <v>175000</v>
      </c>
      <c r="M5" s="118">
        <v>-5000</v>
      </c>
    </row>
    <row r="6" spans="1:13" x14ac:dyDescent="0.3">
      <c r="A6" s="1">
        <v>45885</v>
      </c>
      <c r="B6" s="1" t="s">
        <v>105</v>
      </c>
      <c r="C6" t="s">
        <v>63</v>
      </c>
      <c r="D6">
        <v>10</v>
      </c>
      <c r="F6">
        <v>69950</v>
      </c>
      <c r="G6">
        <v>69950</v>
      </c>
      <c r="H6">
        <f>Table2[[#This Row],[Price]]-Table2[[#This Row],[Paid]]</f>
        <v>0</v>
      </c>
      <c r="J6" s="4" t="s">
        <v>105</v>
      </c>
      <c r="K6" s="118">
        <v>123050</v>
      </c>
      <c r="L6" s="118">
        <v>123050</v>
      </c>
      <c r="M6" s="118">
        <v>0</v>
      </c>
    </row>
    <row r="7" spans="1:13" x14ac:dyDescent="0.3">
      <c r="A7" s="1">
        <v>45889</v>
      </c>
      <c r="B7" s="1" t="s">
        <v>153</v>
      </c>
      <c r="G7">
        <f>SUMIFS(Table14[Debit], Table14[Date], Table2[[#This Row],[Date]], Table14[Party], Table2[[#This Row],[Party Name]])</f>
        <v>60000</v>
      </c>
      <c r="H7">
        <f>Table2[[#This Row],[Price]]-Table2[[#This Row],[Paid]]</f>
        <v>-60000</v>
      </c>
      <c r="J7" s="4" t="s">
        <v>168</v>
      </c>
      <c r="K7" s="118">
        <v>735350</v>
      </c>
      <c r="L7" s="118">
        <v>424850</v>
      </c>
      <c r="M7" s="118">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8">
        <v>933400</v>
      </c>
      <c r="L8" s="118">
        <v>722900</v>
      </c>
      <c r="M8" s="118">
        <v>305500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C15" t="s">
        <v>154</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B1" zoomScale="118" workbookViewId="0">
      <selection activeCell="O7" sqref="O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78</v>
      </c>
      <c r="C2" t="s">
        <v>48</v>
      </c>
      <c r="D2" t="s">
        <v>68</v>
      </c>
      <c r="E2" t="s">
        <v>69</v>
      </c>
      <c r="H2" t="s">
        <v>78</v>
      </c>
      <c r="I2" t="s">
        <v>220</v>
      </c>
      <c r="J2" t="s">
        <v>221</v>
      </c>
      <c r="N2" t="s">
        <v>360</v>
      </c>
    </row>
    <row r="3" spans="2:15" x14ac:dyDescent="0.3">
      <c r="B3" s="1">
        <v>45893</v>
      </c>
      <c r="C3" s="20">
        <f>SUMIFS(Table14[Debit], Table14[Date], Table11[[#This Row],[Date]], Table14[Party],"Salary ", Table14[Description],Table11[[#This Row],[Column1]])</f>
        <v>0</v>
      </c>
      <c r="H3" s="1">
        <v>45886</v>
      </c>
      <c r="I3" s="106">
        <v>4000</v>
      </c>
      <c r="J3" t="s">
        <v>173</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173</v>
      </c>
      <c r="O4" s="117">
        <v>70000</v>
      </c>
    </row>
    <row r="5" spans="2:15"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c r="N5" s="22" t="s">
        <v>179</v>
      </c>
      <c r="O5" s="117">
        <v>20000</v>
      </c>
    </row>
    <row r="6" spans="2:15" x14ac:dyDescent="0.3">
      <c r="B6" s="1">
        <v>45895</v>
      </c>
      <c r="C6" s="20">
        <f>SUMIFS(Table14[Debit], Table14[Date], Table11[[#This Row],[Date]], Table14[Party],"Salary ", Table14[Description],Table11[[#This Row],[Column1]])</f>
        <v>35000</v>
      </c>
      <c r="D6" t="s">
        <v>179</v>
      </c>
      <c r="H6" s="1">
        <v>45889</v>
      </c>
      <c r="I6" s="116">
        <f>SUMIFS(Table14[Debit], Table14[Date], Table16[[#This Row],[Date]], Table14[Party], "Advance Salary", Table14[Description], Table16[[#This Row],[Person]] )</f>
        <v>1000</v>
      </c>
      <c r="J6" t="s">
        <v>237</v>
      </c>
      <c r="N6" s="22" t="s">
        <v>176</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157</v>
      </c>
      <c r="N7" t="s">
        <v>241</v>
      </c>
      <c r="O7" s="106">
        <v>10000</v>
      </c>
    </row>
    <row r="8" spans="2:15" x14ac:dyDescent="0.3">
      <c r="B8" s="1">
        <v>45898</v>
      </c>
      <c r="C8" s="20">
        <f>SUMIFS(Table14[Debit], Table14[Date], Table11[[#This Row],[Date]], Table14[Party],"Salary ", Table14[Description],Table11[[#This Row],[Column1]])</f>
        <v>0</v>
      </c>
      <c r="H8" s="1">
        <v>45892</v>
      </c>
      <c r="I8" s="106">
        <f>SUMIFS(Table14[Debit], Table14[Date], Table16[[#This Row],[Date]], Table14[Party], "Advance Salary", Table14[Description], Table16[[#This Row],[Person]] )</f>
        <v>10000</v>
      </c>
      <c r="J8" t="s">
        <v>173</v>
      </c>
    </row>
    <row r="9" spans="2:15" x14ac:dyDescent="0.3">
      <c r="B9" s="1">
        <v>45899</v>
      </c>
      <c r="C9" s="20">
        <f>SUMIFS(Table14[Debit], Table14[Date], Table11[[#This Row],[Date]], Table14[Party],"Salary ", Table14[Description],Table11[[#This Row],[Column1]])</f>
        <v>13000</v>
      </c>
      <c r="D9" t="s">
        <v>252</v>
      </c>
      <c r="H9" s="1"/>
    </row>
    <row r="10" spans="2:15" x14ac:dyDescent="0.3">
      <c r="B10" s="1">
        <v>45900</v>
      </c>
      <c r="C10" s="20">
        <f>SUMIFS(Table14[Debit], Table14[Date], Table11[[#This Row],[Date]], Table14[Party],"Salary ", Table14[Description],Table11[[#This Row],[Column1]])</f>
        <v>100000</v>
      </c>
      <c r="D10" t="s">
        <v>125</v>
      </c>
      <c r="H10" s="1">
        <v>45892</v>
      </c>
      <c r="I10" s="116">
        <f>SUMIFS(Table14[Debit], Table14[Date], Table16[[#This Row],[Date]], Table14[Party], "Advance Salary", Table14[Description], Table16[[#This Row],[Person]] )</f>
        <v>1000</v>
      </c>
      <c r="J10" t="s">
        <v>176</v>
      </c>
    </row>
    <row r="11" spans="2:15" x14ac:dyDescent="0.3">
      <c r="B11" s="1">
        <v>45901</v>
      </c>
      <c r="C11" s="20">
        <f>SUMIFS(Table14[Debit], Table14[Date], Table11[[#This Row],[Date]], Table14[Party],"Salary ", Table14[Description],Table11[[#This Row],[Column1]])</f>
        <v>10400</v>
      </c>
      <c r="D11" t="s">
        <v>261</v>
      </c>
      <c r="E11" t="s">
        <v>262</v>
      </c>
      <c r="H11" s="1">
        <v>45893</v>
      </c>
      <c r="I11" s="106">
        <f>SUMIFS(Table14[Debit], Table14[Date], Table16[[#This Row],[Date]], Table14[Party], "Advance Salary", Table14[Description], Table16[[#This Row],[Person]] )</f>
        <v>30000</v>
      </c>
      <c r="J11" t="s">
        <v>179</v>
      </c>
    </row>
    <row r="12" spans="2:15" x14ac:dyDescent="0.3">
      <c r="B12" s="1">
        <v>45902</v>
      </c>
      <c r="C12" s="20">
        <f>SUMIFS(Table14[Debit], Table14[Date], Table11[[#This Row],[Date]], Table14[Party],"Salary ", Table14[Description],Table11[[#This Row],[Column1]])</f>
        <v>25000</v>
      </c>
      <c r="D12" t="s">
        <v>176</v>
      </c>
      <c r="E12" t="s">
        <v>275</v>
      </c>
      <c r="H12" s="1">
        <v>45895</v>
      </c>
      <c r="I12" s="106">
        <f>SUMIFS(Table14[Debit], Table14[Date], Table16[[#This Row],[Date]], Table14[Party], "Advance Salary", Table14[Description], Table16[[#This Row],[Person]] )</f>
        <v>38000</v>
      </c>
      <c r="J12" t="s">
        <v>173</v>
      </c>
    </row>
    <row r="13" spans="2:15" x14ac:dyDescent="0.3">
      <c r="B13" s="1">
        <v>45902</v>
      </c>
      <c r="C13" s="20">
        <f>SUMIFS(Table14[Debit], Table14[Date], Table11[[#This Row],[Date]], Table14[Party],"Salary ", Table14[Description],Table11[[#This Row],[Column1]])</f>
        <v>8400</v>
      </c>
      <c r="D13" t="s">
        <v>271</v>
      </c>
      <c r="H13" s="1"/>
    </row>
    <row r="14" spans="2:15" x14ac:dyDescent="0.3">
      <c r="B14" s="1">
        <v>45910</v>
      </c>
      <c r="C14" s="20">
        <f>SUMIFS(Table14[Debit], Table14[Date], Table11[[#This Row],[Date]], Table14[Party],"Salary ", Table14[Description],Table11[[#This Row],[Column1]])</f>
        <v>5000</v>
      </c>
      <c r="D14" t="s">
        <v>322</v>
      </c>
      <c r="H14" s="1">
        <v>45895</v>
      </c>
      <c r="I14" s="116">
        <f>SUMIFS(Table14[Debit], Table14[Date], Table16[[#This Row],[Date]], Table14[Party], "Advance Salary", Table14[Description], Table16[[#This Row],[Person]] )</f>
        <v>10000</v>
      </c>
      <c r="J14" t="s">
        <v>234</v>
      </c>
    </row>
    <row r="15" spans="2:15" x14ac:dyDescent="0.3">
      <c r="B15" s="1">
        <v>45910</v>
      </c>
      <c r="C15" s="20">
        <f>SUMIFS(Table14[Debit], Table14[Date], Table11[[#This Row],[Date]], Table14[Party],"Salary ", Table14[Description],Table11[[#This Row],[Column1]])</f>
        <v>2000</v>
      </c>
      <c r="D15" t="s">
        <v>320</v>
      </c>
      <c r="H15" s="1">
        <v>45895</v>
      </c>
      <c r="I15" s="116">
        <f>SUMIFS(Table14[Debit], Table14[Date], Table16[[#This Row],[Date]], Table14[Party], "Advance Salary", Table14[Description], Table16[[#This Row],[Person]] )</f>
        <v>5000</v>
      </c>
      <c r="J15" t="s">
        <v>237</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s="106">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s="116">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s="106">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s="106">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s="116">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s="116">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s="116">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s="116">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1526834</v>
      </c>
      <c r="C2" s="37">
        <f>GETPIVOTDATA("Sum of Tiyaar/gaz",$A$3)</f>
        <v>1479993</v>
      </c>
      <c r="D2" s="36">
        <f>((B2*48)+((C2/1.0936)*10))/C2</f>
        <v>58.663285945245661</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4671</v>
      </c>
      <c r="D64" s="33">
        <f t="shared" si="25"/>
        <v>833.11842076207745</v>
      </c>
      <c r="E64" s="11">
        <f t="shared" si="26"/>
        <v>87688.128799999991</v>
      </c>
      <c r="F64" s="11">
        <f t="shared" si="27"/>
        <v>4671</v>
      </c>
      <c r="G64" s="86">
        <f t="shared" si="28"/>
        <v>94.673167207554783</v>
      </c>
      <c r="H64" s="33">
        <f t="shared" si="29"/>
        <v>4271.2143379663503</v>
      </c>
      <c r="I64" s="33">
        <f t="shared" si="30"/>
        <v>833.11842076207745</v>
      </c>
    </row>
    <row r="65" spans="1:9" x14ac:dyDescent="0.3">
      <c r="A65" s="16" t="s">
        <v>28</v>
      </c>
      <c r="B65" s="35">
        <v>167135</v>
      </c>
      <c r="C65" s="35">
        <v>1479993</v>
      </c>
      <c r="D65" s="33">
        <f t="shared" si="25"/>
        <v>14.564731425055362</v>
      </c>
      <c r="E65" s="11">
        <f t="shared" si="26"/>
        <v>182778.83599999998</v>
      </c>
      <c r="F65" s="11">
        <f t="shared" si="27"/>
        <v>1479993</v>
      </c>
      <c r="G65" s="86">
        <f t="shared" si="28"/>
        <v>-709.71792598569789</v>
      </c>
      <c r="H65" s="33">
        <f t="shared" si="29"/>
        <v>1353322.0555961961</v>
      </c>
      <c r="I65" s="33">
        <f t="shared" si="30"/>
        <v>14.564731425055362</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2025-09-16T22:37:42Z</cp:lastPrinted>
  <dcterms:created xsi:type="dcterms:W3CDTF">2025-06-24T04:42:48Z</dcterms:created>
  <dcterms:modified xsi:type="dcterms:W3CDTF">2025-09-18T21:34:54Z</dcterms:modified>
  <cp:category/>
  <cp:contentStatus/>
</cp:coreProperties>
</file>