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6141" documentId="8_{4224AC12-CADB-4490-A83D-F531F0CDC7D0}" xr6:coauthVersionLast="47" xr6:coauthVersionMax="47" xr10:uidLastSave="{E9C7D246-934E-474F-A048-8F68CF7DB216}"/>
  <bookViews>
    <workbookView xWindow="-108" yWindow="-108" windowWidth="23256" windowHeight="12456" firstSheet="3" activeTab="3"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105" r:id="rId18"/>
    <pivotCache cacheId="112" r:id="rId19"/>
    <pivotCache cacheId="118" r:id="rId20"/>
    <pivotCache cacheId="123" r:id="rId21"/>
    <pivotCache cacheId="127" r:id="rId22"/>
    <pivotCache cacheId="131"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29" i="1" l="1"/>
  <c r="J129" i="1" s="1" a="1"/>
  <c r="J129" i="1" s="1"/>
  <c r="I130" i="1"/>
  <c r="J130" i="1" s="1" a="1"/>
  <c r="J130" i="1" s="1"/>
  <c r="I131" i="1"/>
  <c r="J131" i="1" s="1" a="1"/>
  <c r="J131" i="1" s="1"/>
  <c r="I128" i="1"/>
  <c r="J128" i="1" s="1" a="1"/>
  <c r="J128" i="1" s="1"/>
  <c r="I125" i="1"/>
  <c r="J125" i="1" s="1" a="1"/>
  <c r="J125" i="1" s="1"/>
  <c r="I126" i="1"/>
  <c r="J126" i="1" s="1" a="1"/>
  <c r="J126" i="1" s="1"/>
  <c r="H4" i="6" l="1"/>
  <c r="H65" i="6" s="1"/>
  <c r="C6" i="8"/>
  <c r="O6" i="12"/>
  <c r="F15" i="15"/>
  <c r="D2" i="17"/>
  <c r="C4" i="8"/>
  <c r="E56" i="7"/>
  <c r="E50" i="7"/>
  <c r="E51" i="7"/>
  <c r="E52" i="7"/>
  <c r="E53" i="7"/>
  <c r="E54" i="7"/>
  <c r="E55" i="7"/>
  <c r="E47" i="7"/>
  <c r="E48" i="7"/>
  <c r="E49" i="7"/>
  <c r="E41" i="7"/>
  <c r="E42" i="7"/>
  <c r="E43" i="7"/>
  <c r="E44" i="7"/>
  <c r="E45" i="7"/>
  <c r="E46" i="7"/>
  <c r="E37" i="7"/>
  <c r="E38" i="7"/>
  <c r="E39" i="7"/>
  <c r="E40" i="7"/>
  <c r="E34" i="7"/>
  <c r="C35" i="7"/>
  <c r="E35" i="7"/>
  <c r="C36" i="7"/>
  <c r="E36" i="7"/>
  <c r="C37" i="7"/>
  <c r="C38" i="7"/>
  <c r="C39" i="7"/>
  <c r="C40" i="7"/>
  <c r="C34" i="7"/>
  <c r="I119" i="1"/>
  <c r="J119" i="1" s="1" a="1"/>
  <c r="J119" i="1" s="1"/>
  <c r="I120" i="1"/>
  <c r="J120" i="1" s="1" a="1"/>
  <c r="J120" i="1" s="1"/>
  <c r="I121" i="1"/>
  <c r="J121" i="1" s="1" a="1"/>
  <c r="J121" i="1" s="1"/>
  <c r="I122" i="1"/>
  <c r="J122" i="1" s="1" a="1"/>
  <c r="J122" i="1" s="1"/>
  <c r="I123" i="1"/>
  <c r="J123" i="1" s="1" a="1"/>
  <c r="J123" i="1" s="1"/>
  <c r="I124" i="1"/>
  <c r="J124" i="1" s="1" a="1"/>
  <c r="J124" i="1" s="1"/>
  <c r="G64" i="6"/>
  <c r="I64" i="6"/>
  <c r="G63" i="6"/>
  <c r="I63" i="6"/>
  <c r="G62" i="6"/>
  <c r="I62" i="6"/>
  <c r="H58" i="6"/>
  <c r="I58" i="6"/>
  <c r="H59" i="6"/>
  <c r="I59" i="6"/>
  <c r="G58" i="6"/>
  <c r="G59" i="6"/>
  <c r="G60" i="6"/>
  <c r="G61" i="6"/>
  <c r="I60" i="6"/>
  <c r="I61" i="6"/>
  <c r="G15" i="15"/>
  <c r="H15" i="15"/>
  <c r="C398" i="17"/>
  <c r="I111" i="1"/>
  <c r="J111" i="1" s="1" a="1"/>
  <c r="J111" i="1" s="1"/>
  <c r="I112" i="1"/>
  <c r="J112" i="1" s="1" a="1"/>
  <c r="J112" i="1" s="1"/>
  <c r="I113" i="1"/>
  <c r="J113" i="1" s="1" a="1"/>
  <c r="J113" i="1" s="1"/>
  <c r="I114" i="1"/>
  <c r="J114" i="1" s="1" a="1"/>
  <c r="J114" i="1" s="1"/>
  <c r="I115" i="1"/>
  <c r="J115" i="1" s="1" a="1"/>
  <c r="J115" i="1" s="1"/>
  <c r="I116" i="1"/>
  <c r="I117" i="1"/>
  <c r="J117" i="1" s="1" a="1"/>
  <c r="J117" i="1" s="1"/>
  <c r="I118" i="1"/>
  <c r="J118" i="1" s="1" a="1"/>
  <c r="J118" i="1" s="1"/>
  <c r="I98" i="1"/>
  <c r="J98" i="1" s="1" a="1"/>
  <c r="J98" i="1" s="1"/>
  <c r="O5" i="9" a="1"/>
  <c r="A4" i="20" s="1"/>
  <c r="A14" i="20"/>
  <c r="E24" i="7"/>
  <c r="H24" i="7"/>
  <c r="E25" i="7"/>
  <c r="H25" i="7"/>
  <c r="E26" i="7"/>
  <c r="H26" i="7"/>
  <c r="E27" i="7"/>
  <c r="H27" i="7"/>
  <c r="E28" i="7"/>
  <c r="H28" i="7"/>
  <c r="E29" i="7"/>
  <c r="H29" i="7"/>
  <c r="E23" i="7"/>
  <c r="H23" i="7"/>
  <c r="H56" i="6"/>
  <c r="I56" i="6"/>
  <c r="H57" i="6"/>
  <c r="I57" i="6"/>
  <c r="G56" i="6"/>
  <c r="G57" i="6"/>
  <c r="F13" i="15"/>
  <c r="G13" i="15"/>
  <c r="H13" i="15"/>
  <c r="G14" i="15"/>
  <c r="H14" i="15"/>
  <c r="H22" i="7"/>
  <c r="C344" i="17"/>
  <c r="H55" i="6"/>
  <c r="I55" i="6"/>
  <c r="H54" i="6"/>
  <c r="I54" i="6"/>
  <c r="G54" i="6"/>
  <c r="G55" i="6"/>
  <c r="I108" i="1"/>
  <c r="J108" i="1" s="1" a="1"/>
  <c r="J108" i="1" s="1"/>
  <c r="I109" i="1"/>
  <c r="J109" i="1" s="1" a="1"/>
  <c r="J109" i="1" s="1"/>
  <c r="I110" i="1"/>
  <c r="J110" i="1" s="1" a="1"/>
  <c r="J110" i="1" s="1"/>
  <c r="I91" i="1"/>
  <c r="J91" i="1" s="1" a="1"/>
  <c r="J91" i="1" s="1"/>
  <c r="I92" i="1"/>
  <c r="J92" i="1" s="1" a="1"/>
  <c r="J92" i="1" s="1"/>
  <c r="I93" i="1"/>
  <c r="J93" i="1" s="1" a="1"/>
  <c r="J93" i="1" s="1"/>
  <c r="I94" i="1"/>
  <c r="J94" i="1" s="1" a="1"/>
  <c r="J94" i="1" s="1"/>
  <c r="I95" i="1"/>
  <c r="J95" i="1" s="1" a="1"/>
  <c r="J95" i="1" s="1"/>
  <c r="I96" i="1"/>
  <c r="J96" i="1" s="1" a="1"/>
  <c r="J96" i="1" s="1"/>
  <c r="I97" i="1"/>
  <c r="I99" i="1"/>
  <c r="J99" i="1" s="1" a="1"/>
  <c r="J99" i="1" s="1"/>
  <c r="I100" i="1"/>
  <c r="J100" i="1" s="1" a="1"/>
  <c r="J100" i="1" s="1"/>
  <c r="I101" i="1"/>
  <c r="J101" i="1" s="1" a="1"/>
  <c r="J101" i="1" s="1"/>
  <c r="I102" i="1"/>
  <c r="J102" i="1" s="1" a="1"/>
  <c r="J102" i="1" s="1"/>
  <c r="I103" i="1"/>
  <c r="J103" i="1" s="1" a="1"/>
  <c r="J103" i="1" s="1"/>
  <c r="I104" i="1"/>
  <c r="J104" i="1" s="1" a="1"/>
  <c r="J104" i="1" s="1"/>
  <c r="I105" i="1"/>
  <c r="J105" i="1" s="1" a="1"/>
  <c r="J105" i="1" s="1"/>
  <c r="I106" i="1"/>
  <c r="J106" i="1" s="1" a="1"/>
  <c r="J106" i="1" s="1"/>
  <c r="I107" i="1"/>
  <c r="J107" i="1" s="1" a="1"/>
  <c r="J107" i="1" s="1"/>
  <c r="E56" i="2"/>
  <c r="F56" i="2"/>
  <c r="H56" i="2" s="1"/>
  <c r="I56" i="2" s="1"/>
  <c r="D56" i="2" s="1"/>
  <c r="E57" i="2"/>
  <c r="F57" i="2"/>
  <c r="H57" i="2" s="1"/>
  <c r="I57" i="2" s="1"/>
  <c r="D57" i="2" s="1"/>
  <c r="E58" i="2"/>
  <c r="F58" i="2"/>
  <c r="E59" i="2"/>
  <c r="G59" i="2" s="1"/>
  <c r="H113" i="1" s="1"/>
  <c r="F59" i="2"/>
  <c r="H59" i="2" s="1"/>
  <c r="I59" i="2" s="1"/>
  <c r="D59" i="2" s="1"/>
  <c r="E60" i="2"/>
  <c r="F60" i="2"/>
  <c r="E61" i="2"/>
  <c r="F61" i="2"/>
  <c r="G61" i="2" s="1"/>
  <c r="E62" i="2"/>
  <c r="F62" i="2"/>
  <c r="H62" i="2" s="1"/>
  <c r="I62" i="2" s="1"/>
  <c r="D62" i="2" s="1"/>
  <c r="E63" i="2"/>
  <c r="F63" i="2"/>
  <c r="H63" i="2" s="1"/>
  <c r="I63" i="2" s="1"/>
  <c r="D63" i="2" s="1"/>
  <c r="E64" i="2"/>
  <c r="F64" i="2"/>
  <c r="H64" i="2"/>
  <c r="I64" i="2" s="1"/>
  <c r="D64" i="2" s="1"/>
  <c r="E65" i="2"/>
  <c r="F65" i="2"/>
  <c r="H65" i="2" s="1"/>
  <c r="I65" i="2" s="1"/>
  <c r="D65" i="2" s="1"/>
  <c r="E66" i="2"/>
  <c r="F66" i="2"/>
  <c r="G66" i="2"/>
  <c r="H66" i="2"/>
  <c r="I66" i="2"/>
  <c r="D66" i="2"/>
  <c r="E67" i="2"/>
  <c r="F67" i="2"/>
  <c r="G67" i="2"/>
  <c r="H67" i="2"/>
  <c r="I67" i="2" s="1"/>
  <c r="D67" i="2" s="1"/>
  <c r="E68" i="2"/>
  <c r="F68" i="2"/>
  <c r="G68" i="2"/>
  <c r="H68" i="2"/>
  <c r="I68" i="2"/>
  <c r="D68" i="2"/>
  <c r="E69" i="2"/>
  <c r="F69" i="2"/>
  <c r="G69" i="2"/>
  <c r="H69" i="2"/>
  <c r="I69" i="2" s="1"/>
  <c r="D69" i="2" s="1"/>
  <c r="E70" i="2"/>
  <c r="F70" i="2"/>
  <c r="G70" i="2"/>
  <c r="H70" i="2"/>
  <c r="I70" i="2"/>
  <c r="D70" i="2"/>
  <c r="E71" i="2"/>
  <c r="F71" i="2"/>
  <c r="G71" i="2"/>
  <c r="H71" i="2"/>
  <c r="I71" i="2" s="1"/>
  <c r="D71" i="2" s="1"/>
  <c r="E72" i="2"/>
  <c r="F72" i="2"/>
  <c r="G72" i="2"/>
  <c r="H72" i="2"/>
  <c r="I72" i="2"/>
  <c r="D72" i="2"/>
  <c r="E73" i="2"/>
  <c r="F73" i="2"/>
  <c r="G73" i="2"/>
  <c r="H73" i="2"/>
  <c r="I73" i="2" s="1"/>
  <c r="D73" i="2" s="1"/>
  <c r="E74" i="2"/>
  <c r="F74" i="2"/>
  <c r="G74" i="2"/>
  <c r="H74" i="2"/>
  <c r="I74" i="2"/>
  <c r="D74" i="2"/>
  <c r="E75" i="2"/>
  <c r="F75" i="2"/>
  <c r="G75" i="2"/>
  <c r="H75" i="2"/>
  <c r="I75" i="2" s="1"/>
  <c r="D75" i="2" s="1"/>
  <c r="E45" i="2"/>
  <c r="F45" i="2"/>
  <c r="H45" i="2" s="1"/>
  <c r="I45" i="2" s="1"/>
  <c r="D45" i="2" s="1"/>
  <c r="E46" i="2"/>
  <c r="F46" i="2"/>
  <c r="E47" i="2"/>
  <c r="F47" i="2"/>
  <c r="E48" i="2"/>
  <c r="F48" i="2"/>
  <c r="H48" i="2" s="1"/>
  <c r="I48" i="2" s="1"/>
  <c r="D48" i="2" s="1"/>
  <c r="E49" i="2"/>
  <c r="F49" i="2"/>
  <c r="H49" i="2" s="1"/>
  <c r="I49" i="2" s="1"/>
  <c r="D49" i="2" s="1"/>
  <c r="E50" i="2"/>
  <c r="F50" i="2"/>
  <c r="H50" i="2" s="1"/>
  <c r="I50" i="2" s="1"/>
  <c r="D50" i="2" s="1"/>
  <c r="E51" i="2"/>
  <c r="F51" i="2"/>
  <c r="E52" i="2"/>
  <c r="F52" i="2"/>
  <c r="H52" i="2" s="1"/>
  <c r="I52" i="2" s="1"/>
  <c r="D52" i="2" s="1"/>
  <c r="E53" i="2"/>
  <c r="F53" i="2"/>
  <c r="H53" i="2" s="1"/>
  <c r="I53" i="2" s="1"/>
  <c r="D53" i="2" s="1"/>
  <c r="E54" i="2"/>
  <c r="F54" i="2"/>
  <c r="H54" i="2" s="1"/>
  <c r="I54" i="2" s="1"/>
  <c r="D54" i="2" s="1"/>
  <c r="E55" i="2"/>
  <c r="F55" i="2"/>
  <c r="H48" i="6"/>
  <c r="I48" i="6"/>
  <c r="H49" i="6"/>
  <c r="I49" i="6"/>
  <c r="H50" i="6"/>
  <c r="I50" i="6"/>
  <c r="H51" i="6"/>
  <c r="I51" i="6"/>
  <c r="H52" i="6"/>
  <c r="I52" i="6"/>
  <c r="I53" i="6"/>
  <c r="G49" i="6"/>
  <c r="G50" i="6"/>
  <c r="G51" i="6"/>
  <c r="G52" i="6"/>
  <c r="G53" i="6"/>
  <c r="H21" i="7"/>
  <c r="C17" i="12"/>
  <c r="C18" i="12"/>
  <c r="H47" i="6"/>
  <c r="I47" i="6"/>
  <c r="G47" i="6"/>
  <c r="G48" i="6"/>
  <c r="G19" i="7"/>
  <c r="H19" i="7"/>
  <c r="H44" i="6"/>
  <c r="I44" i="6"/>
  <c r="H20" i="7"/>
  <c r="I88" i="1"/>
  <c r="J88" i="1" s="1" a="1"/>
  <c r="J88" i="1" s="1"/>
  <c r="I89" i="1"/>
  <c r="J89" i="1" s="1" a="1"/>
  <c r="J89" i="1" s="1"/>
  <c r="I90" i="1"/>
  <c r="J90" i="1" s="1" a="1"/>
  <c r="J90" i="1" s="1"/>
  <c r="H45" i="6"/>
  <c r="I45" i="6"/>
  <c r="G46" i="6"/>
  <c r="I46" i="6"/>
  <c r="G45" i="6"/>
  <c r="G44" i="6"/>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H41" i="6"/>
  <c r="I41" i="6"/>
  <c r="G41" i="6"/>
  <c r="G43" i="6"/>
  <c r="I43" i="6"/>
  <c r="I73" i="1"/>
  <c r="J73" i="1" s="1" a="1"/>
  <c r="J73" i="1" s="1"/>
  <c r="I74" i="1"/>
  <c r="J74" i="1" s="1" a="1"/>
  <c r="J74" i="1" s="1"/>
  <c r="I75" i="1"/>
  <c r="J75" i="1" s="1" a="1"/>
  <c r="J75" i="1" s="1"/>
  <c r="I76" i="1"/>
  <c r="J76" i="1" s="1" a="1"/>
  <c r="J76" i="1" s="1"/>
  <c r="I77" i="1"/>
  <c r="J77" i="1" s="1" a="1"/>
  <c r="J77" i="1" s="1"/>
  <c r="I78" i="1"/>
  <c r="J78" i="1" s="1" a="1"/>
  <c r="J78" i="1" s="1"/>
  <c r="I79" i="1"/>
  <c r="J79" i="1" s="1" a="1"/>
  <c r="J79" i="1" s="1"/>
  <c r="I80" i="1"/>
  <c r="J80" i="1" s="1" a="1"/>
  <c r="J80" i="1" s="1"/>
  <c r="I81" i="1"/>
  <c r="J81" i="1" s="1" a="1"/>
  <c r="J81" i="1" s="1"/>
  <c r="I82" i="1"/>
  <c r="J82" i="1" s="1" a="1"/>
  <c r="J82" i="1" s="1"/>
  <c r="I83" i="1"/>
  <c r="J83" i="1" s="1" a="1"/>
  <c r="J83" i="1" s="1"/>
  <c r="I84" i="1"/>
  <c r="J84" i="1" s="1" a="1"/>
  <c r="J84" i="1" s="1"/>
  <c r="I85" i="1"/>
  <c r="J85" i="1" s="1" a="1"/>
  <c r="J85" i="1" s="1"/>
  <c r="I86" i="1"/>
  <c r="J86" i="1" s="1" a="1"/>
  <c r="J86" i="1" s="1"/>
  <c r="I87" i="1"/>
  <c r="J87" i="1" s="1" a="1"/>
  <c r="J87" i="1" s="1"/>
  <c r="H40" i="6"/>
  <c r="I40" i="6"/>
  <c r="H42" i="6"/>
  <c r="I42" i="6"/>
  <c r="H39" i="6"/>
  <c r="I39" i="6"/>
  <c r="G39" i="6"/>
  <c r="G40" i="6"/>
  <c r="G42" i="6"/>
  <c r="D311" i="17"/>
  <c r="C304" i="17"/>
  <c r="I72" i="1"/>
  <c r="J72" i="1" s="1" a="1"/>
  <c r="J72" i="1" s="1"/>
  <c r="G38" i="6"/>
  <c r="I37" i="6"/>
  <c r="H38" i="6"/>
  <c r="I38" i="6"/>
  <c r="G37" i="6"/>
  <c r="I69" i="1"/>
  <c r="J69" i="1" s="1" a="1"/>
  <c r="J69" i="1" s="1"/>
  <c r="I70" i="1"/>
  <c r="J70" i="1" s="1" a="1"/>
  <c r="J70" i="1" s="1"/>
  <c r="I71" i="1"/>
  <c r="J71" i="1" s="1" a="1"/>
  <c r="J71" i="1" s="1"/>
  <c r="H34" i="6"/>
  <c r="I34" i="6"/>
  <c r="H35" i="6"/>
  <c r="I35" i="6"/>
  <c r="H36" i="6"/>
  <c r="I36" i="6"/>
  <c r="G35" i="6"/>
  <c r="G36" i="6"/>
  <c r="H33" i="6"/>
  <c r="I33" i="6"/>
  <c r="G33" i="6"/>
  <c r="G34" i="6"/>
  <c r="H31" i="6"/>
  <c r="I31" i="6"/>
  <c r="H28" i="6"/>
  <c r="I28" i="6"/>
  <c r="I63" i="1"/>
  <c r="J63" i="1" s="1" a="1"/>
  <c r="J63" i="1" s="1"/>
  <c r="I64" i="1"/>
  <c r="J64" i="1" s="1" a="1"/>
  <c r="J64" i="1" s="1"/>
  <c r="I65" i="1"/>
  <c r="J65" i="1" s="1" a="1"/>
  <c r="J65" i="1" s="1"/>
  <c r="I66" i="1"/>
  <c r="J66" i="1" s="1" a="1"/>
  <c r="J66" i="1" s="1"/>
  <c r="I67" i="1"/>
  <c r="J67" i="1" s="1" a="1"/>
  <c r="J67" i="1" s="1"/>
  <c r="I68" i="1"/>
  <c r="J68" i="1" s="1" a="1"/>
  <c r="J68" i="1" s="1"/>
  <c r="I11" i="1"/>
  <c r="J11" i="1" s="1" a="1"/>
  <c r="J11" i="1" s="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25" i="1"/>
  <c r="J25" i="1" s="1" a="1"/>
  <c r="J25" i="1" s="1"/>
  <c r="I26" i="1"/>
  <c r="J26" i="1" s="1" a="1"/>
  <c r="J26" i="1" s="1"/>
  <c r="I27" i="1"/>
  <c r="J27" i="1" s="1" a="1"/>
  <c r="J27" i="1" s="1"/>
  <c r="I28" i="1"/>
  <c r="J28" i="1" s="1" a="1"/>
  <c r="J28" i="1" s="1"/>
  <c r="I29" i="1"/>
  <c r="J29" i="1" s="1" a="1"/>
  <c r="J29" i="1" s="1"/>
  <c r="I30" i="1"/>
  <c r="J30" i="1" s="1" a="1"/>
  <c r="J30" i="1" s="1"/>
  <c r="I31" i="1"/>
  <c r="J31" i="1" s="1" a="1"/>
  <c r="J31" i="1" s="1"/>
  <c r="I32" i="1"/>
  <c r="J32" i="1" s="1" a="1"/>
  <c r="J32" i="1" s="1"/>
  <c r="I33" i="1"/>
  <c r="J33" i="1" s="1" a="1"/>
  <c r="J33" i="1" s="1"/>
  <c r="I34" i="1"/>
  <c r="J34" i="1" s="1" a="1"/>
  <c r="J34" i="1" s="1"/>
  <c r="I35" i="1"/>
  <c r="J35" i="1" s="1" a="1"/>
  <c r="J35" i="1" s="1"/>
  <c r="I36" i="1"/>
  <c r="J36" i="1" s="1" a="1"/>
  <c r="J36" i="1" s="1"/>
  <c r="I37" i="1"/>
  <c r="J37" i="1" s="1" a="1"/>
  <c r="J37" i="1" s="1"/>
  <c r="I38" i="1"/>
  <c r="J38" i="1" s="1" a="1"/>
  <c r="J38" i="1" s="1"/>
  <c r="I39" i="1"/>
  <c r="J39" i="1" s="1" a="1"/>
  <c r="J39" i="1" s="1"/>
  <c r="I40" i="1"/>
  <c r="J40" i="1" s="1" a="1"/>
  <c r="J40" i="1" s="1"/>
  <c r="I41" i="1"/>
  <c r="J41" i="1" s="1" a="1"/>
  <c r="J41" i="1" s="1"/>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c r="I50" i="1"/>
  <c r="J50" i="1" s="1" a="1"/>
  <c r="J50" i="1" s="1"/>
  <c r="I51" i="1"/>
  <c r="J51" i="1" s="1" a="1"/>
  <c r="J51" i="1" s="1"/>
  <c r="I52" i="1"/>
  <c r="J52" i="1" s="1" a="1"/>
  <c r="J52" i="1" s="1"/>
  <c r="I53" i="1"/>
  <c r="J53" i="1" s="1" a="1"/>
  <c r="J53" i="1" s="1"/>
  <c r="I54" i="1"/>
  <c r="J54" i="1" s="1" a="1"/>
  <c r="J54" i="1" s="1"/>
  <c r="I55" i="1"/>
  <c r="J55" i="1" s="1" a="1"/>
  <c r="J55" i="1" s="1"/>
  <c r="I56" i="1"/>
  <c r="J56" i="1" s="1" a="1"/>
  <c r="J56" i="1" s="1"/>
  <c r="I57" i="1"/>
  <c r="J57" i="1" s="1" a="1"/>
  <c r="J57" i="1" s="1"/>
  <c r="I58" i="1"/>
  <c r="J58" i="1" s="1" a="1"/>
  <c r="J58" i="1" s="1"/>
  <c r="I59" i="1"/>
  <c r="J59" i="1" s="1" a="1"/>
  <c r="J59" i="1" s="1"/>
  <c r="I61" i="1"/>
  <c r="J61" i="1" s="1" a="1"/>
  <c r="J61" i="1" s="1"/>
  <c r="I62" i="1"/>
  <c r="J62" i="1" s="1" a="1"/>
  <c r="J62" i="1" s="1"/>
  <c r="I60" i="1"/>
  <c r="J60" i="1" s="1" a="1"/>
  <c r="J60" i="1" s="1"/>
  <c r="F61" i="1"/>
  <c r="G30" i="6"/>
  <c r="G31" i="6"/>
  <c r="G32" i="6"/>
  <c r="I30" i="6"/>
  <c r="I32" i="6"/>
  <c r="G28" i="6"/>
  <c r="G29" i="6"/>
  <c r="I29" i="6"/>
  <c r="B26" i="9" a="1"/>
  <c r="Q16" i="9" s="1" a="1"/>
  <c r="Q16" i="9" s="1"/>
  <c r="F57" i="1"/>
  <c r="F56" i="1"/>
  <c r="F29" i="1"/>
  <c r="F26" i="1"/>
  <c r="F19" i="1"/>
  <c r="F17" i="1"/>
  <c r="G11" i="15"/>
  <c r="H11" i="15"/>
  <c r="G12" i="15"/>
  <c r="H12" i="15"/>
  <c r="H27" i="6"/>
  <c r="I27" i="6"/>
  <c r="G26" i="6"/>
  <c r="G27" i="6"/>
  <c r="I26" i="6"/>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H25" i="6"/>
  <c r="I25" i="6"/>
  <c r="G25" i="6"/>
  <c r="H23" i="6"/>
  <c r="I23" i="6"/>
  <c r="H24" i="6"/>
  <c r="I24" i="6"/>
  <c r="G23" i="6"/>
  <c r="G24" i="6"/>
  <c r="D201" i="17"/>
  <c r="C186" i="17"/>
  <c r="H22" i="6"/>
  <c r="I22" i="6"/>
  <c r="H21" i="6"/>
  <c r="I21" i="6"/>
  <c r="G22" i="6"/>
  <c r="G10" i="15"/>
  <c r="H10" i="15"/>
  <c r="G9" i="15"/>
  <c r="H9" i="15"/>
  <c r="D3" i="17"/>
  <c r="E7" i="7"/>
  <c r="E30" i="7"/>
  <c r="E8" i="7"/>
  <c r="E9" i="7"/>
  <c r="H9" i="7"/>
  <c r="E10" i="7"/>
  <c r="H10" i="7"/>
  <c r="E11" i="7"/>
  <c r="H11" i="7"/>
  <c r="E12" i="7"/>
  <c r="H12" i="7"/>
  <c r="E13" i="7"/>
  <c r="H13" i="7"/>
  <c r="E14" i="7"/>
  <c r="H14" i="7"/>
  <c r="E15" i="7"/>
  <c r="H15" i="7"/>
  <c r="E17" i="7"/>
  <c r="H17" i="7"/>
  <c r="E18" i="7"/>
  <c r="H18" i="7"/>
  <c r="H15" i="6"/>
  <c r="I15" i="6"/>
  <c r="G15" i="6"/>
  <c r="H10" i="6"/>
  <c r="I10" i="6"/>
  <c r="G10" i="6"/>
  <c r="H7" i="6"/>
  <c r="I7" i="6"/>
  <c r="H19" i="6"/>
  <c r="I19" i="6"/>
  <c r="H18" i="6"/>
  <c r="I18" i="6"/>
  <c r="G19" i="6"/>
  <c r="G20" i="6"/>
  <c r="G21" i="6"/>
  <c r="I20" i="6"/>
  <c r="H16" i="6"/>
  <c r="I16" i="6"/>
  <c r="H13" i="6"/>
  <c r="I13" i="6"/>
  <c r="G16" i="6"/>
  <c r="G17" i="6"/>
  <c r="G18" i="6"/>
  <c r="I17" i="6"/>
  <c r="S12" i="17"/>
  <c r="G16" i="7"/>
  <c r="H16" i="7"/>
  <c r="G8" i="15"/>
  <c r="H8" i="15"/>
  <c r="G5" i="15"/>
  <c r="G7" i="15"/>
  <c r="H7" i="15"/>
  <c r="I14" i="6"/>
  <c r="G13" i="6"/>
  <c r="G14" i="6"/>
  <c r="C73" i="17"/>
  <c r="C72" i="17"/>
  <c r="D46" i="17"/>
  <c r="H11" i="6"/>
  <c r="I11" i="6"/>
  <c r="H12" i="6"/>
  <c r="I12" i="6"/>
  <c r="H8" i="6"/>
  <c r="I8" i="6"/>
  <c r="G9" i="6"/>
  <c r="G11" i="6"/>
  <c r="G12" i="6"/>
  <c r="I9" i="6"/>
  <c r="G6" i="7"/>
  <c r="H6" i="7"/>
  <c r="G5" i="7"/>
  <c r="H5" i="7"/>
  <c r="G4" i="7"/>
  <c r="H4" i="7"/>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E34" i="2"/>
  <c r="F34" i="2"/>
  <c r="H34" i="2" s="1"/>
  <c r="I34" i="2" s="1"/>
  <c r="D34" i="2" s="1"/>
  <c r="E35" i="2"/>
  <c r="F35" i="2"/>
  <c r="E36" i="2"/>
  <c r="F36" i="2"/>
  <c r="H36" i="2" s="1"/>
  <c r="I36" i="2" s="1"/>
  <c r="D36" i="2" s="1"/>
  <c r="E37" i="2"/>
  <c r="F37" i="2"/>
  <c r="H37" i="2" s="1"/>
  <c r="I37" i="2" s="1"/>
  <c r="D37" i="2" s="1"/>
  <c r="H6" i="6"/>
  <c r="I6" i="6"/>
  <c r="G6" i="6"/>
  <c r="E39" i="2"/>
  <c r="F39" i="2"/>
  <c r="G39" i="2" s="1"/>
  <c r="H79" i="1" s="1"/>
  <c r="E40" i="2"/>
  <c r="F40" i="2"/>
  <c r="E41" i="2"/>
  <c r="F41" i="2"/>
  <c r="H41" i="2" s="1"/>
  <c r="I41" i="2" s="1"/>
  <c r="D41" i="2" s="1"/>
  <c r="E42" i="2"/>
  <c r="F42" i="2"/>
  <c r="H42" i="2" s="1"/>
  <c r="I42" i="2" s="1"/>
  <c r="D42" i="2" s="1"/>
  <c r="E43" i="2"/>
  <c r="F43" i="2"/>
  <c r="H43" i="2" s="1"/>
  <c r="I43" i="2" s="1"/>
  <c r="D43" i="2" s="1"/>
  <c r="E44" i="2"/>
  <c r="F44" i="2"/>
  <c r="H44" i="2" s="1"/>
  <c r="I44" i="2" s="1"/>
  <c r="D44" i="2" s="1"/>
  <c r="F38" i="2"/>
  <c r="E38" i="2"/>
  <c r="I11" i="12"/>
  <c r="H5" i="6"/>
  <c r="I5" i="6"/>
  <c r="G5" i="6"/>
  <c r="B44" i="9" a="1"/>
  <c r="B44" i="9" s="1"/>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I4" i="6"/>
  <c r="I65" i="6" s="1"/>
  <c r="G4" i="6"/>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F24" i="2"/>
  <c r="H24" i="2" s="1"/>
  <c r="I24" i="2" s="1"/>
  <c r="D24" i="2" s="1"/>
  <c r="F25" i="2"/>
  <c r="F26" i="2"/>
  <c r="H26" i="2" s="1"/>
  <c r="I26" i="2" s="1"/>
  <c r="D26" i="2" s="1"/>
  <c r="F27" i="2"/>
  <c r="H27" i="2" s="1"/>
  <c r="I27" i="2" s="1"/>
  <c r="D27" i="2" s="1"/>
  <c r="F28" i="2"/>
  <c r="H28" i="2" s="1"/>
  <c r="I28" i="2" s="1"/>
  <c r="D28" i="2" s="1"/>
  <c r="F29" i="2"/>
  <c r="H29" i="2" s="1"/>
  <c r="I29" i="2" s="1"/>
  <c r="D29" i="2" s="1"/>
  <c r="F30" i="2"/>
  <c r="F31" i="2"/>
  <c r="H31" i="2" s="1"/>
  <c r="I31" i="2" s="1"/>
  <c r="D31" i="2" s="1"/>
  <c r="F32" i="2"/>
  <c r="H32" i="2" s="1"/>
  <c r="I32" i="2" s="1"/>
  <c r="D32" i="2" s="1"/>
  <c r="E22" i="2"/>
  <c r="E23" i="2"/>
  <c r="E24" i="2"/>
  <c r="E25" i="2"/>
  <c r="E26" i="2"/>
  <c r="E27" i="2"/>
  <c r="E28" i="2"/>
  <c r="E29" i="2"/>
  <c r="E30" i="2"/>
  <c r="E31" i="2"/>
  <c r="E32" i="2"/>
  <c r="E20" i="2"/>
  <c r="E21" i="2"/>
  <c r="R9" i="17"/>
  <c r="F20" i="2"/>
  <c r="E15" i="2"/>
  <c r="E16" i="2"/>
  <c r="E17" i="2"/>
  <c r="E18" i="2"/>
  <c r="E19" i="2"/>
  <c r="E7" i="2"/>
  <c r="E8" i="2"/>
  <c r="E9" i="2"/>
  <c r="E10" i="2"/>
  <c r="E11" i="2"/>
  <c r="E12" i="2"/>
  <c r="E13" i="2"/>
  <c r="E14" i="2"/>
  <c r="E5" i="2"/>
  <c r="E6" i="2"/>
  <c r="E4" i="2"/>
  <c r="F13" i="2"/>
  <c r="F14" i="2"/>
  <c r="F15" i="2"/>
  <c r="H15" i="2" s="1"/>
  <c r="I15" i="2" s="1"/>
  <c r="D15" i="2" s="1"/>
  <c r="F16" i="2"/>
  <c r="F17" i="2"/>
  <c r="H17" i="2" s="1"/>
  <c r="I17" i="2" s="1"/>
  <c r="D17" i="2" s="1"/>
  <c r="F18" i="2"/>
  <c r="H18" i="2" s="1"/>
  <c r="I18" i="2" s="1"/>
  <c r="D18" i="2" s="1"/>
  <c r="F19" i="2"/>
  <c r="C8" i="8"/>
  <c r="F11" i="2"/>
  <c r="H11" i="2" s="1"/>
  <c r="I11" i="2" s="1"/>
  <c r="F10" i="2"/>
  <c r="H10" i="2" s="1"/>
  <c r="I10" i="2" s="1"/>
  <c r="D10" i="2" s="1"/>
  <c r="F6" i="2"/>
  <c r="H6" i="2" s="1"/>
  <c r="I6" i="2" s="1"/>
  <c r="D6" i="2" s="1"/>
  <c r="F7" i="2"/>
  <c r="H7" i="2" s="1"/>
  <c r="I7" i="2" s="1"/>
  <c r="D7" i="2" s="1"/>
  <c r="F8" i="2"/>
  <c r="H8" i="2" s="1"/>
  <c r="I8" i="2" s="1"/>
  <c r="D8" i="2" s="1"/>
  <c r="F9" i="2"/>
  <c r="N3" i="7"/>
  <c r="N5" i="7"/>
  <c r="E6" i="11"/>
  <c r="D6" i="11"/>
  <c r="F12" i="2"/>
  <c r="H12" i="2" s="1"/>
  <c r="I12" i="2" s="1"/>
  <c r="D12" i="2" s="1"/>
  <c r="F5" i="2"/>
  <c r="H5" i="2" s="1"/>
  <c r="I5" i="2" s="1"/>
  <c r="D5" i="2" s="1"/>
  <c r="F3" i="2"/>
  <c r="F4" i="2"/>
  <c r="H4" i="2" s="1"/>
  <c r="I4" i="2" s="1"/>
  <c r="D4" i="2" s="1"/>
  <c r="F16" i="15"/>
  <c r="B2" i="2"/>
  <c r="I10" i="1"/>
  <c r="J10" i="1" s="1" a="1"/>
  <c r="J10" i="1" s="1"/>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Q17" i="9" a="1"/>
  <c r="Q17" i="9" s="1"/>
  <c r="G38" i="9" a="1"/>
  <c r="G38" i="9" s="1"/>
  <c r="H38" i="9" a="1"/>
  <c r="H38" i="9" s="1"/>
  <c r="W17" i="9"/>
  <c r="B14" i="20" s="1"/>
  <c r="J38" i="9"/>
  <c r="P17" i="9" a="1"/>
  <c r="P17" i="9" s="1"/>
  <c r="R17" i="9" a="1"/>
  <c r="R17" i="9" s="1"/>
  <c r="C7" i="8"/>
  <c r="U17" i="9" a="1"/>
  <c r="U17" i="9" s="1"/>
  <c r="S17" i="9" a="1"/>
  <c r="S17" i="9" s="1"/>
  <c r="T17" i="9" a="1"/>
  <c r="T17" i="9" s="1"/>
  <c r="H8" i="7"/>
  <c r="C16" i="12"/>
  <c r="J15" i="14"/>
  <c r="C406" i="17"/>
  <c r="K4" i="17"/>
  <c r="R10" i="17"/>
  <c r="C16" i="10"/>
  <c r="H60" i="2"/>
  <c r="I60" i="2" s="1"/>
  <c r="D60" i="2" s="1"/>
  <c r="H7" i="7"/>
  <c r="C5" i="8"/>
  <c r="H16" i="2"/>
  <c r="I16" i="2" s="1"/>
  <c r="D16" i="2" s="1"/>
  <c r="G50" i="2"/>
  <c r="H96" i="1" s="1"/>
  <c r="C37" i="12"/>
  <c r="D35" i="18"/>
  <c r="C11" i="8"/>
  <c r="R11" i="17"/>
  <c r="H30" i="7"/>
  <c r="D35" i="14"/>
  <c r="C10" i="8"/>
  <c r="J35" i="14"/>
  <c r="C12" i="8"/>
  <c r="I35" i="12"/>
  <c r="C9" i="8"/>
  <c r="N14" i="6"/>
  <c r="G65" i="6"/>
  <c r="H16" i="15"/>
  <c r="G16" i="15"/>
  <c r="D406" i="17"/>
  <c r="F406" i="17" s="1"/>
  <c r="C12" i="10"/>
  <c r="K5" i="17"/>
  <c r="K6" i="17" s="1"/>
  <c r="C14" i="8"/>
  <c r="C4" i="10"/>
  <c r="C15" i="10"/>
  <c r="C17" i="10"/>
  <c r="C2" i="2"/>
  <c r="G35" i="2" l="1"/>
  <c r="H73" i="1" s="1"/>
  <c r="H35" i="2"/>
  <c r="I35" i="2" s="1"/>
  <c r="D35" i="2" s="1"/>
  <c r="G9" i="2"/>
  <c r="H13" i="1" s="1"/>
  <c r="G13" i="2"/>
  <c r="H18" i="1" s="1"/>
  <c r="G44" i="2"/>
  <c r="H87" i="1" s="1"/>
  <c r="G64" i="2"/>
  <c r="G58" i="2"/>
  <c r="H112" i="1" s="1"/>
  <c r="G53" i="2"/>
  <c r="G22" i="2"/>
  <c r="H13" i="2"/>
  <c r="I13" i="2" s="1"/>
  <c r="D13" i="2" s="1"/>
  <c r="G27" i="2"/>
  <c r="H49" i="1" s="1"/>
  <c r="G16" i="2"/>
  <c r="H35" i="1" s="1"/>
  <c r="G47" i="2"/>
  <c r="G33" i="2"/>
  <c r="G11" i="2"/>
  <c r="H16" i="1" s="1"/>
  <c r="G29" i="2"/>
  <c r="R12" i="17"/>
  <c r="C19" i="10" s="1"/>
  <c r="H109" i="1"/>
  <c r="H104" i="1"/>
  <c r="G40" i="2"/>
  <c r="H99" i="1" s="1"/>
  <c r="H39" i="2"/>
  <c r="I39" i="2" s="1"/>
  <c r="D39" i="2" s="1"/>
  <c r="G36" i="2"/>
  <c r="H75" i="1" s="1"/>
  <c r="G51" i="2"/>
  <c r="H100" i="1" s="1"/>
  <c r="G34" i="2"/>
  <c r="H86" i="1" s="1"/>
  <c r="G25" i="2"/>
  <c r="H47" i="1" s="1"/>
  <c r="H9" i="2"/>
  <c r="I9" i="2" s="1"/>
  <c r="D9" i="2" s="1"/>
  <c r="G55" i="2"/>
  <c r="H107" i="1" s="1"/>
  <c r="G41" i="2"/>
  <c r="H83" i="1" s="1"/>
  <c r="G65" i="2"/>
  <c r="H58" i="2"/>
  <c r="I58" i="2" s="1"/>
  <c r="D58" i="2" s="1"/>
  <c r="E35" i="18"/>
  <c r="F35" i="18" s="1"/>
  <c r="P7" i="17"/>
  <c r="G6" i="2"/>
  <c r="G12" i="2"/>
  <c r="H56" i="1" s="1"/>
  <c r="G20" i="2"/>
  <c r="H25" i="2"/>
  <c r="I25" i="2" s="1"/>
  <c r="D25" i="2" s="1"/>
  <c r="H40" i="2"/>
  <c r="I40" i="2" s="1"/>
  <c r="D40" i="2" s="1"/>
  <c r="G60" i="2"/>
  <c r="H115" i="1" s="1"/>
  <c r="H71" i="1"/>
  <c r="H55" i="2"/>
  <c r="I55" i="2" s="1"/>
  <c r="D55" i="2" s="1"/>
  <c r="H51" i="2"/>
  <c r="I51" i="2" s="1"/>
  <c r="D51" i="2" s="1"/>
  <c r="G24" i="2"/>
  <c r="H41" i="1" s="1"/>
  <c r="G21" i="2"/>
  <c r="H39" i="1" s="1"/>
  <c r="G54" i="2"/>
  <c r="H110" i="1" s="1"/>
  <c r="G23" i="2"/>
  <c r="H45" i="1" s="1"/>
  <c r="G45" i="2"/>
  <c r="G38" i="2"/>
  <c r="H78" i="1" s="1"/>
  <c r="G17" i="2"/>
  <c r="H28" i="1" s="1"/>
  <c r="G49" i="2"/>
  <c r="H123" i="1" s="1"/>
  <c r="H32" i="9" a="1"/>
  <c r="H32" i="9" s="1"/>
  <c r="G28" i="9" a="1"/>
  <c r="G28" i="9" s="1"/>
  <c r="B11" i="9"/>
  <c r="D52" i="9"/>
  <c r="Q13" i="9" s="1" a="1"/>
  <c r="Q13" i="9" s="1"/>
  <c r="H33" i="9" a="1"/>
  <c r="H33" i="9" s="1"/>
  <c r="B5" i="9"/>
  <c r="C5" i="9" s="1"/>
  <c r="G36" i="9" a="1"/>
  <c r="G36" i="9" s="1"/>
  <c r="C50" i="9"/>
  <c r="P11" i="9" s="1" a="1"/>
  <c r="P11" i="9" s="1"/>
  <c r="J45" i="9"/>
  <c r="W6" i="9" s="1"/>
  <c r="B3" i="20" s="1"/>
  <c r="Q15" i="9" a="1"/>
  <c r="Q15" i="9" s="1"/>
  <c r="P14" i="9" a="1"/>
  <c r="P14" i="9" s="1"/>
  <c r="J36" i="9"/>
  <c r="D51" i="9"/>
  <c r="Q12" i="9" s="1" a="1"/>
  <c r="Q12" i="9" s="1"/>
  <c r="H34" i="9" a="1"/>
  <c r="H34" i="9" s="1"/>
  <c r="H27" i="9" a="1"/>
  <c r="H27" i="9" s="1"/>
  <c r="J46" i="9"/>
  <c r="W7" i="9" s="1"/>
  <c r="B4" i="20" s="1"/>
  <c r="H37" i="9" a="1"/>
  <c r="H37" i="9" s="1"/>
  <c r="J35" i="9"/>
  <c r="H35" i="9" a="1"/>
  <c r="H35" i="9" s="1"/>
  <c r="G32" i="9" a="1"/>
  <c r="G32" i="9" s="1"/>
  <c r="G29" i="9" a="1"/>
  <c r="G29" i="9" s="1"/>
  <c r="J47" i="9"/>
  <c r="W8" i="9" s="1"/>
  <c r="B5" i="20" s="1"/>
  <c r="G30" i="9" a="1"/>
  <c r="G30" i="9" s="1"/>
  <c r="E45" i="9"/>
  <c r="R6" i="9" s="1" a="1"/>
  <c r="R6" i="9" s="1"/>
  <c r="D48" i="9"/>
  <c r="Q9" i="9" s="1" a="1"/>
  <c r="Q9" i="9" s="1"/>
  <c r="E49" i="9"/>
  <c r="R10" i="9" s="1" a="1"/>
  <c r="R10" i="9" s="1"/>
  <c r="D47" i="9"/>
  <c r="Q8" i="9" s="1" a="1"/>
  <c r="Q8" i="9" s="1"/>
  <c r="J30" i="9"/>
  <c r="K132" i="1"/>
  <c r="G35" i="9" a="1"/>
  <c r="G35" i="9" s="1"/>
  <c r="E51" i="9"/>
  <c r="R12" i="9" s="1" a="1"/>
  <c r="R12" i="9" s="1"/>
  <c r="J32" i="9"/>
  <c r="H30" i="9" a="1"/>
  <c r="H30" i="9" s="1"/>
  <c r="J33" i="9"/>
  <c r="P15" i="9" a="1"/>
  <c r="P15" i="9" s="1"/>
  <c r="J31" i="9"/>
  <c r="D45" i="9"/>
  <c r="Q6" i="9" s="1" a="1"/>
  <c r="Q6" i="9" s="1"/>
  <c r="B9" i="9"/>
  <c r="E9" i="9" s="1" a="1"/>
  <c r="E9" i="9" s="1"/>
  <c r="D49" i="9"/>
  <c r="Q10" i="9" s="1" a="1"/>
  <c r="Q10" i="9" s="1"/>
  <c r="B12" i="9"/>
  <c r="J49" i="9"/>
  <c r="W10" i="9" s="1"/>
  <c r="B7" i="20" s="1"/>
  <c r="P16" i="9" a="1"/>
  <c r="P16" i="9" s="1"/>
  <c r="H29" i="9" a="1"/>
  <c r="H29" i="9" s="1"/>
  <c r="E47" i="9"/>
  <c r="R8" i="9" s="1" a="1"/>
  <c r="R8" i="9" s="1"/>
  <c r="J50" i="9"/>
  <c r="W11" i="9" s="1"/>
  <c r="B8" i="20" s="1"/>
  <c r="J52" i="9"/>
  <c r="W13" i="9" s="1"/>
  <c r="B10" i="20" s="1"/>
  <c r="B6" i="9"/>
  <c r="C6" i="9" s="1"/>
  <c r="E52" i="9"/>
  <c r="R13" i="9" s="1" a="1"/>
  <c r="R13" i="9" s="1"/>
  <c r="D50" i="9"/>
  <c r="Q11" i="9" s="1" a="1"/>
  <c r="Q11" i="9" s="1"/>
  <c r="J27" i="9"/>
  <c r="R14" i="9" a="1"/>
  <c r="R14" i="9" s="1"/>
  <c r="C49" i="9"/>
  <c r="P10" i="9" s="1" a="1"/>
  <c r="P10" i="9" s="1"/>
  <c r="J28" i="9"/>
  <c r="E46" i="9"/>
  <c r="R7" i="9" s="1" a="1"/>
  <c r="R7" i="9" s="1"/>
  <c r="B14" i="9"/>
  <c r="C14" i="9" s="1"/>
  <c r="G33" i="9" a="1"/>
  <c r="G33" i="9" s="1"/>
  <c r="C48" i="9"/>
  <c r="P9" i="9" s="1" a="1"/>
  <c r="P9" i="9" s="1"/>
  <c r="D46" i="9"/>
  <c r="Q7" i="9" s="1" a="1"/>
  <c r="Q7" i="9" s="1"/>
  <c r="R16" i="9" a="1"/>
  <c r="R16" i="9" s="1"/>
  <c r="B7" i="9"/>
  <c r="E7" i="9" s="1"/>
  <c r="J48" i="9"/>
  <c r="J51" i="9"/>
  <c r="W12" i="9" s="1"/>
  <c r="B9" i="20" s="1"/>
  <c r="B13" i="9"/>
  <c r="C13" i="9" s="1"/>
  <c r="J34" i="9"/>
  <c r="E48" i="9"/>
  <c r="R9" i="9" s="1" a="1"/>
  <c r="R9" i="9" s="1"/>
  <c r="R15" i="9" a="1"/>
  <c r="R15" i="9" s="1"/>
  <c r="H31" i="9" a="1"/>
  <c r="H31" i="9" s="1"/>
  <c r="B8" i="9"/>
  <c r="B15" i="9"/>
  <c r="C15" i="9" s="1"/>
  <c r="J37" i="9"/>
  <c r="Q14" i="9" a="1"/>
  <c r="Q14" i="9" s="1"/>
  <c r="J29" i="9"/>
  <c r="C45" i="9"/>
  <c r="P6" i="9" s="1" a="1"/>
  <c r="P6" i="9" s="1"/>
  <c r="G34" i="9" a="1"/>
  <c r="G34" i="9" s="1"/>
  <c r="I34" i="9" s="1"/>
  <c r="B10" i="9"/>
  <c r="C10" i="9" s="1"/>
  <c r="C52" i="9"/>
  <c r="P13" i="9" s="1" a="1"/>
  <c r="P13" i="9" s="1"/>
  <c r="B26" i="9"/>
  <c r="E26" i="9" s="1" a="1"/>
  <c r="E26" i="9" s="1"/>
  <c r="H28" i="9" a="1"/>
  <c r="H28" i="9" s="1"/>
  <c r="C51" i="9"/>
  <c r="P12" i="9" s="1" a="1"/>
  <c r="P12" i="9" s="1"/>
  <c r="G31" i="9" a="1"/>
  <c r="G31" i="9" s="1"/>
  <c r="E50" i="9"/>
  <c r="R11" i="9" s="1" a="1"/>
  <c r="R11" i="9" s="1"/>
  <c r="H36" i="9" a="1"/>
  <c r="H36" i="9" s="1"/>
  <c r="G37" i="9" a="1"/>
  <c r="G37" i="9" s="1"/>
  <c r="G27" i="9" a="1"/>
  <c r="G27" i="9" s="1"/>
  <c r="C47" i="9"/>
  <c r="P8" i="9" s="1" a="1"/>
  <c r="P8" i="9" s="1"/>
  <c r="C46" i="9"/>
  <c r="P7" i="9" s="1" a="1"/>
  <c r="P7" i="9" s="1"/>
  <c r="H117" i="1"/>
  <c r="H118" i="1"/>
  <c r="H61" i="2"/>
  <c r="I61" i="2" s="1"/>
  <c r="D61" i="2" s="1"/>
  <c r="G26" i="2"/>
  <c r="H48" i="1" s="1"/>
  <c r="G7" i="2"/>
  <c r="G18" i="2"/>
  <c r="H30" i="1" s="1"/>
  <c r="G56" i="2"/>
  <c r="H120" i="1" s="1"/>
  <c r="G15" i="2"/>
  <c r="H46" i="1" s="1"/>
  <c r="G46" i="2"/>
  <c r="H92" i="1" s="1"/>
  <c r="G4" i="2"/>
  <c r="H76" i="1" s="1"/>
  <c r="G14" i="2"/>
  <c r="H20" i="1" s="1"/>
  <c r="G28" i="2"/>
  <c r="H52" i="1" s="1"/>
  <c r="G52" i="2"/>
  <c r="H101" i="1" s="1"/>
  <c r="G30" i="2"/>
  <c r="H58" i="1" s="1"/>
  <c r="G19" i="2"/>
  <c r="H33" i="1" s="1"/>
  <c r="G32" i="2"/>
  <c r="H62" i="1" s="1"/>
  <c r="G37" i="2"/>
  <c r="H77" i="1" s="1"/>
  <c r="G63" i="2"/>
  <c r="H124" i="1" s="1"/>
  <c r="G5" i="2"/>
  <c r="H106" i="1" s="1"/>
  <c r="G31" i="2"/>
  <c r="H59" i="1" s="1"/>
  <c r="G57" i="2"/>
  <c r="H111" i="1" s="1"/>
  <c r="H93" i="1"/>
  <c r="H98" i="1"/>
  <c r="H63" i="1"/>
  <c r="H64" i="1"/>
  <c r="H72" i="1"/>
  <c r="H68" i="1"/>
  <c r="H43" i="1"/>
  <c r="H69" i="1"/>
  <c r="H51" i="1"/>
  <c r="H80" i="1"/>
  <c r="H37" i="1"/>
  <c r="H42" i="1"/>
  <c r="H55" i="1"/>
  <c r="H34" i="1"/>
  <c r="H54" i="1"/>
  <c r="H53" i="1"/>
  <c r="H38" i="1"/>
  <c r="H27" i="1"/>
  <c r="H36" i="1"/>
  <c r="H44" i="1"/>
  <c r="H40" i="1"/>
  <c r="G42" i="2"/>
  <c r="H84" i="1" s="1"/>
  <c r="G10" i="2"/>
  <c r="H30" i="2"/>
  <c r="I30" i="2" s="1"/>
  <c r="D30" i="2" s="1"/>
  <c r="H38" i="2"/>
  <c r="I38" i="2" s="1"/>
  <c r="D38" i="2" s="1"/>
  <c r="H47" i="2"/>
  <c r="I47" i="2" s="1"/>
  <c r="D47" i="2" s="1"/>
  <c r="H70" i="1"/>
  <c r="H19" i="2"/>
  <c r="I19" i="2" s="1"/>
  <c r="D19" i="2" s="1"/>
  <c r="G62" i="2"/>
  <c r="H119" i="1" s="1"/>
  <c r="G43" i="2"/>
  <c r="H85" i="1" s="1"/>
  <c r="H90" i="1"/>
  <c r="H17" i="1"/>
  <c r="H103" i="1"/>
  <c r="H14" i="2"/>
  <c r="I14" i="2" s="1"/>
  <c r="D14" i="2" s="1"/>
  <c r="H46" i="2"/>
  <c r="I46" i="2" s="1"/>
  <c r="D46" i="2" s="1"/>
  <c r="H102" i="1"/>
  <c r="G48" i="2"/>
  <c r="H19" i="1"/>
  <c r="H20" i="2"/>
  <c r="I20" i="2" s="1"/>
  <c r="D20" i="2" s="1"/>
  <c r="H23" i="2"/>
  <c r="I23" i="2" s="1"/>
  <c r="D23" i="2" s="1"/>
  <c r="H33" i="2"/>
  <c r="I33" i="2" s="1"/>
  <c r="D33" i="2" s="1"/>
  <c r="G8" i="2"/>
  <c r="H26" i="1"/>
  <c r="A10" i="20"/>
  <c r="W16" i="9"/>
  <c r="B13" i="20" s="1"/>
  <c r="W15" i="9"/>
  <c r="B12" i="20" s="1"/>
  <c r="W9" i="9"/>
  <c r="B6" i="20" s="1"/>
  <c r="A12" i="20"/>
  <c r="A9" i="20"/>
  <c r="V19" i="9"/>
  <c r="X19" i="9" s="1"/>
  <c r="V17" i="9"/>
  <c r="X17" i="9" s="1"/>
  <c r="A11" i="20"/>
  <c r="A7" i="20"/>
  <c r="A3" i="20"/>
  <c r="A8" i="20"/>
  <c r="W14" i="9"/>
  <c r="B11" i="20" s="1"/>
  <c r="A13" i="20"/>
  <c r="A5" i="20"/>
  <c r="O5" i="9"/>
  <c r="A6" i="20"/>
  <c r="I38" i="9"/>
  <c r="K38" i="9" s="1"/>
  <c r="V18" i="9"/>
  <c r="X18" i="9" s="1"/>
  <c r="J132" i="1" a="1"/>
  <c r="J132" i="1" s="1"/>
  <c r="I132" i="1" a="1"/>
  <c r="I132" i="1" s="1"/>
  <c r="D2" i="2"/>
  <c r="H128" i="1" l="1"/>
  <c r="H131" i="1"/>
  <c r="H129" i="1"/>
  <c r="H130" i="1"/>
  <c r="H125" i="1"/>
  <c r="H126" i="1"/>
  <c r="H5" i="1"/>
  <c r="H97" i="1"/>
  <c r="H9" i="1"/>
  <c r="H3" i="1"/>
  <c r="H8" i="1"/>
  <c r="H7" i="1"/>
  <c r="H2" i="1"/>
  <c r="H4" i="1"/>
  <c r="H10" i="1"/>
  <c r="H116" i="1"/>
  <c r="H6" i="1"/>
  <c r="H32" i="1"/>
  <c r="H50" i="1"/>
  <c r="E6" i="9"/>
  <c r="H81" i="1"/>
  <c r="H74" i="1"/>
  <c r="H57" i="1"/>
  <c r="H66" i="1"/>
  <c r="H29" i="1"/>
  <c r="H23" i="1"/>
  <c r="H82" i="1"/>
  <c r="H108" i="1"/>
  <c r="H114" i="1"/>
  <c r="H61" i="1"/>
  <c r="I36" i="9"/>
  <c r="K36" i="9" s="1"/>
  <c r="I35" i="9"/>
  <c r="K35" i="9" s="1"/>
  <c r="C7" i="9"/>
  <c r="I29" i="9"/>
  <c r="K29" i="9" s="1"/>
  <c r="I30" i="9"/>
  <c r="K30" i="9" s="1"/>
  <c r="H26" i="9" a="1"/>
  <c r="H26" i="9" s="1"/>
  <c r="C9" i="9"/>
  <c r="I32" i="9"/>
  <c r="K32" i="9" s="1"/>
  <c r="F26" i="9" a="1"/>
  <c r="F26" i="9" s="1"/>
  <c r="I27" i="9"/>
  <c r="K27" i="9" s="1"/>
  <c r="J26" i="9"/>
  <c r="J44" i="9"/>
  <c r="W5" i="9" s="1"/>
  <c r="E5" i="9"/>
  <c r="C26" i="9" a="1"/>
  <c r="C26" i="9" s="1"/>
  <c r="D44" i="9"/>
  <c r="Q5" i="9" s="1" a="1"/>
  <c r="Q5" i="9" s="1"/>
  <c r="D10" i="19" s="1" a="1"/>
  <c r="D10" i="19" s="1"/>
  <c r="C14" i="19" a="1"/>
  <c r="C14" i="19" s="1"/>
  <c r="E13" i="9"/>
  <c r="D26" i="9" a="1"/>
  <c r="D26" i="9" s="1"/>
  <c r="I31" i="9"/>
  <c r="K31" i="9" s="1"/>
  <c r="K34" i="9"/>
  <c r="I37" i="9"/>
  <c r="K37" i="9" s="1"/>
  <c r="E10" i="9"/>
  <c r="G26" i="9" a="1"/>
  <c r="G26" i="9" s="1"/>
  <c r="I28" i="9"/>
  <c r="K28" i="9" s="1"/>
  <c r="H60" i="1"/>
  <c r="H65" i="1"/>
  <c r="H22" i="1"/>
  <c r="H105" i="1"/>
  <c r="H95" i="1"/>
  <c r="I33" i="9"/>
  <c r="K33" i="9" s="1"/>
  <c r="H88" i="1"/>
  <c r="H89" i="1"/>
  <c r="E14" i="9"/>
  <c r="G44" i="9" a="1"/>
  <c r="T8" i="9" s="1" a="1"/>
  <c r="T8" i="9" s="1"/>
  <c r="E15" i="9"/>
  <c r="C8" i="9"/>
  <c r="E8" i="9"/>
  <c r="E44" i="9"/>
  <c r="R5" i="9" s="1" a="1"/>
  <c r="R5" i="9" s="1"/>
  <c r="C12" i="19" a="1"/>
  <c r="C12" i="19" s="1"/>
  <c r="C44" i="9"/>
  <c r="P5" i="9" s="1" a="1"/>
  <c r="P5" i="9" s="1"/>
  <c r="H44" i="9" a="1"/>
  <c r="F44" i="9" a="1"/>
  <c r="B4" i="9"/>
  <c r="E12" i="9"/>
  <c r="C12" i="9"/>
  <c r="E11" i="9"/>
  <c r="C11" i="9"/>
  <c r="H91" i="1"/>
  <c r="H121" i="1"/>
  <c r="A2" i="20"/>
  <c r="H94" i="1"/>
  <c r="H122" i="1"/>
  <c r="H11" i="1"/>
  <c r="H24" i="1"/>
  <c r="H67" i="1"/>
  <c r="H31" i="1"/>
  <c r="H14" i="1"/>
  <c r="H25" i="1"/>
  <c r="H21" i="1"/>
  <c r="H15" i="1"/>
  <c r="I26" i="9" l="1"/>
  <c r="K26" i="9" s="1"/>
  <c r="T12" i="9" a="1"/>
  <c r="T12" i="9" s="1"/>
  <c r="T6" i="9" a="1"/>
  <c r="T6" i="9" s="1"/>
  <c r="T7" i="9" a="1"/>
  <c r="T7" i="9" s="1"/>
  <c r="G44" i="9"/>
  <c r="T5" i="9" s="1" a="1"/>
  <c r="T5" i="9" s="1"/>
  <c r="T10" i="9" a="1"/>
  <c r="T10" i="9" s="1"/>
  <c r="D12" i="19" a="1"/>
  <c r="D12" i="19" s="1"/>
  <c r="E12" i="19" s="1"/>
  <c r="T9" i="9" a="1"/>
  <c r="T9" i="9" s="1"/>
  <c r="I48" i="9"/>
  <c r="K48" i="9" s="1"/>
  <c r="T16" i="9" a="1"/>
  <c r="T16" i="9" s="1"/>
  <c r="C16" i="9"/>
  <c r="I51" i="9"/>
  <c r="K51" i="9" s="1"/>
  <c r="I49" i="9"/>
  <c r="K49" i="9" s="1"/>
  <c r="I50" i="9"/>
  <c r="K50" i="9" s="1"/>
  <c r="T13" i="9" a="1"/>
  <c r="T13" i="9" s="1"/>
  <c r="T15" i="9" a="1"/>
  <c r="T15" i="9" s="1"/>
  <c r="T14" i="9" a="1"/>
  <c r="T14" i="9" s="1"/>
  <c r="I46" i="9"/>
  <c r="K46" i="9" s="1"/>
  <c r="I47" i="9"/>
  <c r="K47" i="9" s="1"/>
  <c r="C4" i="9"/>
  <c r="E4" i="9"/>
  <c r="S9" i="9" a="1"/>
  <c r="S9" i="9" s="1"/>
  <c r="S6" i="9" a="1"/>
  <c r="S6" i="9" s="1"/>
  <c r="S13" i="9" a="1"/>
  <c r="S13" i="9" s="1"/>
  <c r="S14" i="9" a="1"/>
  <c r="S14" i="9" s="1"/>
  <c r="S15" i="9" a="1"/>
  <c r="S15" i="9" s="1"/>
  <c r="S8" i="9" a="1"/>
  <c r="S8" i="9" s="1"/>
  <c r="S16" i="9" a="1"/>
  <c r="S16" i="9" s="1"/>
  <c r="S10" i="9" a="1"/>
  <c r="S10" i="9" s="1"/>
  <c r="S7" i="9" a="1"/>
  <c r="S7" i="9" s="1"/>
  <c r="F44" i="9"/>
  <c r="S5" i="9" s="1" a="1"/>
  <c r="S5" i="9" s="1"/>
  <c r="S12" i="9" a="1"/>
  <c r="S12" i="9" s="1"/>
  <c r="S11" i="9" a="1"/>
  <c r="S11" i="9" s="1"/>
  <c r="U12" i="9" a="1"/>
  <c r="U12" i="9" s="1"/>
  <c r="U6" i="9" a="1"/>
  <c r="U6" i="9" s="1"/>
  <c r="U14" i="9" a="1"/>
  <c r="U14" i="9" s="1"/>
  <c r="U10" i="9" a="1"/>
  <c r="U10" i="9" s="1"/>
  <c r="U16" i="9" a="1"/>
  <c r="U16" i="9" s="1"/>
  <c r="U15" i="9" a="1"/>
  <c r="U15" i="9" s="1"/>
  <c r="U8" i="9" a="1"/>
  <c r="U8" i="9" s="1"/>
  <c r="H44" i="9"/>
  <c r="U5" i="9" s="1" a="1"/>
  <c r="U5" i="9" s="1"/>
  <c r="U9" i="9" a="1"/>
  <c r="U9" i="9" s="1"/>
  <c r="U13" i="9" a="1"/>
  <c r="U13" i="9" s="1"/>
  <c r="U7" i="9" a="1"/>
  <c r="U7" i="9" s="1"/>
  <c r="U11" i="9" a="1"/>
  <c r="U11" i="9" s="1"/>
  <c r="D8" i="19" a="1"/>
  <c r="D8" i="19" s="1"/>
  <c r="I45" i="9"/>
  <c r="K45" i="9" s="1"/>
  <c r="T11" i="9" a="1"/>
  <c r="T11" i="9" s="1"/>
  <c r="E18" i="19" a="1"/>
  <c r="E18" i="19" s="1"/>
  <c r="B2" i="20"/>
  <c r="V16" i="9" l="1"/>
  <c r="X16" i="9" s="1"/>
  <c r="V8" i="9"/>
  <c r="X8" i="9" s="1"/>
  <c r="V15" i="9"/>
  <c r="X15" i="9" s="1"/>
  <c r="V13" i="9"/>
  <c r="X13" i="9" s="1"/>
  <c r="V9" i="9"/>
  <c r="X9" i="9" s="1"/>
  <c r="V5" i="9"/>
  <c r="X5" i="9" s="1"/>
  <c r="E20" i="19" s="1" a="1"/>
  <c r="E20" i="19" s="1"/>
  <c r="V11" i="9"/>
  <c r="X11" i="9" s="1"/>
  <c r="V10" i="9"/>
  <c r="X10" i="9" s="1"/>
  <c r="V14" i="9"/>
  <c r="X14" i="9" s="1"/>
  <c r="D14" i="19" a="1"/>
  <c r="D14" i="19" s="1"/>
  <c r="E14" i="19" s="1"/>
  <c r="E16" i="19" s="1"/>
  <c r="V6" i="9"/>
  <c r="X6" i="9" s="1"/>
  <c r="V12" i="9"/>
  <c r="X12" i="9" s="1"/>
  <c r="I44" i="9"/>
  <c r="V7" i="9"/>
  <c r="X7" i="9" s="1"/>
  <c r="K44" i="9" l="1"/>
  <c r="C18" i="9"/>
  <c r="C3" i="10" s="1"/>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<sst xmlns="http://schemas.openxmlformats.org/spreadsheetml/2006/main" count="1960" uniqueCount="362">
  <si>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</si>
  <si>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</si>
  <si>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</si>
  <si>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</si>
  <si>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</si>
  <si>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</si>
  <si>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</si>
  <si>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</si>
  <si>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</si>
  <si>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</si>
  <si>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</si>
  <si>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</si>
  <si>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</si>
  <si>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</si>
  <si>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</si>
  <si>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</si>
  <si>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</si>
  <si>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</si>
  <si>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</si>
  <si>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</si>
  <si>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</si>
  <si>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</si>
  <si>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</si>
  <si>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</si>
  <si>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</si>
  <si>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</si>
  <si>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</si>
  <si>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</si>
  <si>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</si>
  <si>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</si>
  <si>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</si>
  <si>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</si>
  <si>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</si>
  <si>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</si>
  <si>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</si>
  <si>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</si>
  <si>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</si>
  <si>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</si>
  <si>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</si>
  <si>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</si>
  <si>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</si>
  <si>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</si>
  <si>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</si>
  <si>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</si>
  <si>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</si>
  <si>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</si>
  <si>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</si>
  <si>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</si>
  <si>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</si>
  <si>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</si>
  <si>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</si>
  <si>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</si>
  <si>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</si>
  <si>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</si>
  <si>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</si>
  <si>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</si>
  <si>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</si>
  <si>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</si>
  <si>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</si>
  <si>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</si>
  <si>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</si>
  <si>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</si>
  <si>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</si>
  <si>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</si>
  <si>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</si>
  <si>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</si>
  <si>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</si>
  <si>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</si>
  <si>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</si>
  <si>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</si>
  <si>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</si>
  <si>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</si>
  <si>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</si>
  <si>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</si>
  <si>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</si>
  <si>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</si>
  <si>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</si>
  <si>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</si>
  <si>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</si>
  <si>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</si>
  <si>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</si>
  <si>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</si>
  <si>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</si>
  <si>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</si>
  <si>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</si>
  <si>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</si>
  <si>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</si>
  <si>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</si>
  <si>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</si>
  <si>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</si>
  <si>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</si>
  <si>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</si>
  <si>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</si>
  <si>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</si>
  <si>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</si>
  <si>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</si>
  <si>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</si>
  <si>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</si>
  <si>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</si>
  <si>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</si>
  <si>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</si>
  <si>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</si>
  <si>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</si>
  <si>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</si>
  <si>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</si>
  <si>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</si>
  <si>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</si>
  <si>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</si>
  <si>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</si>
  <si>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</si>
  <si>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</si>
  <si>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</si>
  <si>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</si>
  <si>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</si>
  <si>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</si>
  <si>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</si>
  <si>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</si>
  <si>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</si>
  <si>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</si>
  <si>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</si>
  <si>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</si>
  <si>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</si>
  <si>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</si>
  <si>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</si>
  <si>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</si>
  <si>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</si>
  <si>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</si>
  <si>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</si>
  <si>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</si>
  <si>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</si>
  <si>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</si>
  <si>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</si>
  <si>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</si>
  <si>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</si>
  <si>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</si>
  <si>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</si>
  <si>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</si>
  <si>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</si>
  <si>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</si>
  <si>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</si>
  <si>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</si>
  <si>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</si>
  <si>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</si>
  <si>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</si>
  <si>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</si>
  <si>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</si>
  <si>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</si>
  <si>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</si>
  <si>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</si>
  <si>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</si>
  <si>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</si>
  <si>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</si>
  <si>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</si>
  <si>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</si>
  <si>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</si>
  <si>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</si>
  <si>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</si>
  <si>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</si>
  <si>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</si>
  <si>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</si>
  <si>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</si>
  <si>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</si>
  <si>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</si>
  <si>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</si>
  <si>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</si>
  <si>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</si>
  <si>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</si>
  <si>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</si>
  <si>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</si>
  <si>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</si>
  <si>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</si>
  <si>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</si>
  <si>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</si>
  <si>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</si>
  <si>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</si>
  <si>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</si>
  <si>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</si>
  <si>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</si>
  <si>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</si>
  <si>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</si>
  <si>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</si>
  <si>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</si>
  <si>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</si>
  <si>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</si>
  <si>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</si>
  <si>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</si>
  <si>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</si>
  <si>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</si>
  <si>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</si>
  <si>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</si>
  <si>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</si>
  <si>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</si>
  <si>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</si>
  <si>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</si>
  <si>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</si>
  <si>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</si>
  <si>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</si>
  <si>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</si>
  <si>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</si>
  <si>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</si>
  <si>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</si>
  <si>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</si>
  <si>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</si>
  <si>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</si>
  <si>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</si>
  <si>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</si>
  <si>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</si>
  <si>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</si>
  <si>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</si>
  <si>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</si>
  <si>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</si>
  <si>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</si>
  <si>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</si>
  <si>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</si>
  <si>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</si>
  <si>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</si>
  <si>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</si>
  <si>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</si>
  <si>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</si>
  <si>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</si>
  <si>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</si>
  <si>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</si>
  <si>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</si>
  <si>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</si>
  <si>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</si>
  <si>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</si>
  <si>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</si>
  <si>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</si>
  <si>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</si>
  <si>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</si>
  <si>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</si>
  <si>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</si>
  <si>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</si>
  <si>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</si>
  <si>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</si>
  <si>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</si>
  <si>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</si>
  <si>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</si>
  <si>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</si>
  <si>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</si>
  <si>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</si>
  <si>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</si>
  <si>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</si>
  <si>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</si>
  <si>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</si>
  <si>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</si>
  <si>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</si>
  <si>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</si>
  <si>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</si>
  <si>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</si>
  <si>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</si>
  <si>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</si>
  <si>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</si>
  <si>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</si>
  <si>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</si>
  <si>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</si>
  <si>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</si>
  <si>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</si>
  <si>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</si>
  <si>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</si>
  <si>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</si>
  <si>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</si>
  <si>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</si>
  <si>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</si>
  <si>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</si>
  <si>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</si>
  <si>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</si>
  <si>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</si>
  <si>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</si>
  <si>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</si>
  <si>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</si>
  <si>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</si>
  <si>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</si>
  <si>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</si>
  <si>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</si>
  <si>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</si>
  <si>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</si>
  <si>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</si>
  <si>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</si>
  <si>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</si>
  <si>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</si>
  <si>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</si>
  <si>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</si>
  <si>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</si>
  <si>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</si>
  <si>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</si>
  <si>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</si>
  <si>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</si>
  <si>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</si>
  <si>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</si>
  <si>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</si>
  <si>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</si>
  <si>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</si>
  <si>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</si>
  <si>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</si>
  <si>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</si>
  <si>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</si>
  <si>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</si>
  <si>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</si>
  <si>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</si>
  <si>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</si>
  <si>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</si>
  <si>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</si>
  <si>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</si>
  <si>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</si>
  <si>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</si>
  <si>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</si>
  <si>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</si>
  <si>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</si>
  <si>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</si>
  <si>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</si>
  <si>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</si>
  <si>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</si>
  <si>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</si>
  <si>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</si>
  <si>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</si>
  <si>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</si>
  <si>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</si>
  <si>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</si>
  <si>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</si>
  <si>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</si>
  <si>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</si>
  <si>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</si>
  <si>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</si>
  <si>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</si>
  <si>
    <t>salary</t>
  </si>
  <si>
    <t>puncture</t>
  </si>
  <si>
    <t>Rubine+Navy</t>
  </si>
  <si>
    <t>Ashfaq Sahab</t>
  </si>
  <si>
    <t>LEI 3834</t>
  </si>
  <si>
    <t>TX 031</t>
  </si>
  <si>
    <t>Tape</t>
  </si>
  <si>
    <t>labour</t>
  </si>
  <si>
    <t>construction acc</t>
  </si>
  <si>
    <t>imran (5600) advance</t>
  </si>
  <si>
    <t>lights x4 tubelight</t>
  </si>
  <si>
    <t>pheray</t>
  </si>
  <si>
    <t>grinder</t>
  </si>
  <si>
    <t>atta 10bags</t>
  </si>
  <si>
    <t>NP9,Acetic,disp</t>
  </si>
  <si>
    <t>cash</t>
  </si>
  <si>
    <t>LES9755</t>
  </si>
  <si>
    <t>Blue GSL</t>
  </si>
  <si>
    <t>1709+1703</t>
  </si>
  <si>
    <t>GAS 1561</t>
  </si>
  <si>
    <t>Sufyan Salary</t>
  </si>
  <si>
    <t>camera bulbs</t>
  </si>
  <si>
    <t>bearing</t>
  </si>
  <si>
    <t>electrical</t>
  </si>
  <si>
    <t>255 man</t>
  </si>
  <si>
    <t>Faysal Akram</t>
  </si>
  <si>
    <t>boxes</t>
  </si>
  <si>
    <t>kgs</t>
  </si>
  <si>
    <t>total</t>
  </si>
  <si>
    <t>Black</t>
  </si>
  <si>
    <t>Red FB</t>
  </si>
  <si>
    <t>Yellow GG</t>
  </si>
  <si>
    <t>T blue</t>
  </si>
  <si>
    <t>300 mann stock removed (243000)</t>
  </si>
  <si>
    <t>Dyes stock removed (534230)</t>
  </si>
  <si>
    <t>Advance Left</t>
  </si>
  <si>
    <t>247700 rs removed 33 bori starch. 100kg pva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</si>
</sst>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theme="7" tint="0.59999389629810485"/>
        <bgColor indexed="64"/>
      </patternFill>
    </fill>
    <fill>
      <patternFill patternType="solid">
        <fgColor theme="6"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9">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7" borderId="0" xfId="0" applyFill="1"/>
    <xf numFmtId="164" fontId="0" fillId="7" borderId="0" xfId="1" applyNumberFormat="1" applyFont="1" applyFill="1" applyBorder="1"/>
    <xf numFmtId="0" fontId="0" fillId="7" borderId="0" xfId="0" applyFill="1" applyAlignment="1">
      <alignment horizontal="center"/>
    </xf>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0" fontId="0" fillId="0" borderId="0" xfId="1" applyNumberFormat="1" applyFont="1" applyFill="1"/>
    <xf numFmtId="0" fontId="1" fillId="2" borderId="1" xfId="0" applyFont="1" applyFill="1" applyBorder="1"/>
    <xf numFmtId="164" fontId="0" fillId="9" borderId="0" xfId="0" applyNumberFormat="1" applyFill="1"/>
    <xf numFmtId="0" fontId="0" fillId="10" borderId="0" xfId="0" applyFill="1"/>
    <xf numFmtId="0" fontId="0" fillId="7" borderId="1" xfId="0" applyFill="1" applyBorder="1"/>
    <xf numFmtId="0" fontId="0" fillId="0" borderId="0" xfId="0" applyNumberFormat="1"/>
  </cellXfs>
  <cellStyles count="2">
    <cellStyle name="Comma" xfId="1" builtinId="3"/>
    <cellStyle name="Normal" xfId="0" builtinId="0"/>
  </cellStyles>
  <dxfs count="168">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fill>
        <patternFill patternType="solid">
          <fgColor indexed="64"/>
          <bgColor theme="7" tint="0.59999389629810485"/>
        </patternFill>
      </fill>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2</xdr:col>
      <xdr:colOff>51580</xdr:colOff>
      <xdr:row>259</xdr:row>
      <xdr:rowOff>57693</xdr:rowOff>
    </xdr:from>
    <xdr:to>
      <xdr:col>5</xdr:col>
      <xdr:colOff>1130980</xdr:colOff>
      <xdr:row>266</xdr:row>
      <xdr:rowOff>144509</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2293618" y="24786058"/>
              <a:ext cx="4479093" cy="13690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90879</xdr:colOff>
      <xdr:row>259</xdr:row>
      <xdr:rowOff>69425</xdr:rowOff>
    </xdr:from>
    <xdr:to>
      <xdr:col>1</xdr:col>
      <xdr:colOff>829928</xdr:colOff>
      <xdr:row>267</xdr:row>
      <xdr:rowOff>127824</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90879" y="24797790"/>
              <a:ext cx="1874722" cy="152378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398635</xdr:colOff>
      <xdr:row>1</xdr:row>
      <xdr:rowOff>59338</xdr:rowOff>
    </xdr:from>
    <xdr:to>
      <xdr:col>13</xdr:col>
      <xdr:colOff>180887</xdr:colOff>
      <xdr:row>8</xdr:row>
      <xdr:rowOff>172692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115979</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1.086928356483" createdVersion="8" refreshedVersion="8" minRefreshableVersion="3" recordCount="11" xr:uid="{376A650C-1F79-4049-BC45-E34989F046B2}">
  <cacheSource type="worksheet">
    <worksheetSource name="Table2"/>
  </cacheSource>
  <cacheFields count="8">
    <cacheField name="Date" numFmtId="14">
      <sharedItems containsNonDate="0" containsDate="1" containsString="0" containsBlank="1" minDate="2025-08-16T00:00:00" maxDate="2025-09-16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2" maxValue="45"/>
    </cacheField>
    <cacheField name="Quantity" numFmtId="0">
      <sharedItems containsNonDate="0" containsString="0" containsBlank="1"/>
    </cacheField>
    <cacheField name="Price" numFmtId="0">
      <sharedItems containsString="0" containsBlank="1" containsNumber="1" containsInteger="1" minValue="9600" maxValue="31050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5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1.086928819444" createdVersion="8" refreshedVersion="8" minRefreshableVersion="3" recordCount="130" xr:uid="{46CBB50D-3613-4E5B-8212-DD0313DCD05A}">
  <cacheSource type="worksheet">
    <worksheetSource name="Table1"/>
  </cacheSource>
  <cacheFields count="14">
    <cacheField name="Date" numFmtId="0">
      <sharedItems containsNonDate="0" containsDate="1" containsString="0" containsBlank="1" minDate="2025-07-25T00:00:00" maxDate="2025-09-21T00:00:00" count="47">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9-11T00:00:00"/>
        <d v="2025-09-12T00:00:00"/>
        <d v="2025-09-13T00:00:00"/>
        <d v="2025-09-15T00:00:00"/>
        <d v="2025-09-16T00:00:00"/>
        <d v="2025-09-17T00:00:00"/>
        <d v="2025-09-18T00:00:00"/>
        <m/>
        <d v="2025-09-19T00:00:00"/>
        <d v="2025-09-20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s v="YING" u="1"/>
        <s v="Meow" u="1"/>
        <s v="Umer Sb" u="1"/>
        <s v="-" u="1"/>
        <s v="Sajjad" u="1"/>
        <s v="Haji Ejaz" u="1"/>
      </sharedItems>
    </cacheField>
    <cacheField name="Bill Number" numFmtId="0">
      <sharedItems containsBlank="1" containsMixedTypes="1" containsNumber="1" containsInteger="1" minValue="604" maxValue="855" count="233">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42"/>
        <n v="845"/>
        <m/>
        <n v="848"/>
        <n v="850"/>
        <n v="851"/>
        <n v="855"/>
        <n v="849"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13">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680"/>
        <n v="1682"/>
        <n v="1633"/>
        <n v="1685"/>
        <n v="1686"/>
        <n v="1692"/>
        <n v="1693"/>
        <n v="1700"/>
        <n v="1672"/>
        <n v="1705"/>
        <n v="1704"/>
        <n v="1689"/>
        <s v="1709+1703"/>
        <n v="1699"/>
        <n v="1695"/>
        <n v="1712"/>
        <n v="1708"/>
        <n v="1716"/>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553"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tring="0" containsBlank="1" containsNumber="1" minValue="0" maxValue="414267.55669348943"/>
    </cacheField>
    <cacheField name="billing" numFmtId="165">
      <sharedItems containsString="0" containsBlank="1"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1.086929398145" createdVersion="8" refreshedVersion="8" minRefreshableVersion="3" recordCount="63" xr:uid="{3E5C2981-ACF5-44A9-8567-B1D65DB3A8D2}">
  <cacheSource type="worksheet">
    <worksheetSource name="Table3"/>
  </cacheSource>
  <cacheFields count="9">
    <cacheField name="Date" numFmtId="14">
      <sharedItems containsSemiMixedTypes="0" containsNonDate="0" containsDate="1" containsString="0" minDate="2025-05-02T00:00:00" maxDate="2025-09-16T00:00:00" count="51">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9-13T00:00:00"/>
        <d v="2025-09-14T00:00:00"/>
        <d v="2025-09-15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4">
        <s v="Closing Balance CF"/>
        <n v="6691"/>
        <n v="1055"/>
        <n v="8395"/>
        <n v="3229"/>
        <m/>
        <n v="4649"/>
        <n v="52"/>
        <n v="739"/>
        <n v="1288"/>
        <n v="5045"/>
        <s v="-"/>
        <n v="561"/>
        <n v="447"/>
        <n v="5946"/>
        <n v="1910"/>
        <n v="7286"/>
        <n v="1961"/>
        <n v="8141"/>
        <n v="3220"/>
        <n v="5679"/>
        <n v="9373"/>
        <n v="160"/>
        <n v="1973"/>
        <n v="9940"/>
        <n v="685"/>
        <n v="31"/>
        <n v="3834"/>
        <n v="9755"/>
        <n v="156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1.086929513891" createdVersion="8" refreshedVersion="8" minRefreshableVersion="3" recordCount="28"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d v="2025-08-20T00:00:00"/>
        <d v="2025-08-23T00:00:00"/>
        <d v="2025-09-10T00:00:00"/>
        <d v="2025-09-1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310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1.08692962963"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670982.07754206297"/>
    </cacheField>
    <cacheField name="Rate" numFmtId="0">
      <sharedItems containsString="0" containsBlank="1" containsNumber="1" minValue="10" maxValue="10.5"/>
    </cacheField>
    <cacheField name="Total" numFmtId="164">
      <sharedItems containsSemiMixedTypes="0" containsString="0" containsNumber="1" minValue="0" maxValue="6669548.2809070963"/>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1.086929745368" createdVersion="8" refreshedVersion="8" minRefreshableVersion="3" recordCount="404" xr:uid="{B5BDFB73-D93A-4A7A-8149-666BC190B09B}">
  <cacheSource type="worksheet">
    <worksheetSource name="Table14"/>
  </cacheSource>
  <cacheFields count="7">
    <cacheField name="Date" numFmtId="14">
      <sharedItems containsSemiMixedTypes="0" containsNonDate="0" containsDate="1" containsString="0" minDate="2025-08-17T00:00:00" maxDate="2025-09-17T00:00:00"/>
    </cacheField>
    <cacheField name="Party" numFmtId="0">
      <sharedItems containsBlank="1" count="38">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s v="Dyes"/>
        <s v="Azam"/>
        <m u="1"/>
        <s v="Toll" u="1"/>
        <s v="Salary" u="1"/>
        <s v="Self" u="1"/>
        <s v="Aqib Freight" u="1"/>
        <s v="Hafiz Qureshi" u="1"/>
      </sharedItems>
    </cacheField>
    <cacheField name="Debit" numFmtId="164">
      <sharedItems containsString="0" containsBlank="1" containsNumber="1" containsInteger="1" minValue="105" maxValue="847000"/>
    </cacheField>
    <cacheField name="Credit" numFmtId="164">
      <sharedItems containsString="0" containsBlank="1" containsNumber="1" containsInteger="1" minValue="-716401" maxValue="627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r>
    <m/>
    <x v="0"/>
    <s v="PVA"/>
    <m/>
    <m/>
    <n v="25000"/>
    <n v="0"/>
    <n v="25000"/>
  </r>
  <r>
    <d v="2025-09-13T00:00:00"/>
    <x v="2"/>
    <s v="Starch"/>
    <n v="45"/>
    <m/>
    <n v="310500"/>
    <n v="0"/>
    <n v="310500"/>
  </r>
  <r>
    <d v="2025-09-15T00:00:00"/>
    <x v="0"/>
    <s v="PVA"/>
    <n v="2"/>
    <m/>
    <n v="50000"/>
    <n v="115000"/>
    <n v="-65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153288914546863"/>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0.64123071035926671"/>
    <n v="22580.468178493051"/>
    <n v="225804.68178493052"/>
    <m/>
  </r>
  <r>
    <x v="21"/>
    <x v="4"/>
    <x v="84"/>
    <s v="Chamki"/>
    <x v="43"/>
    <n v="22040"/>
    <n v="8999"/>
    <n v="0.11593604499101673"/>
    <n v="8228.7856620336515"/>
    <n v="74059.070958302866"/>
    <m/>
  </r>
  <r>
    <x v="21"/>
    <x v="4"/>
    <x v="85"/>
    <s v="Chamki"/>
    <x v="44"/>
    <n v="13196"/>
    <n v="9858"/>
    <n v="0.20889263288978555"/>
    <n v="9014.2648134601332"/>
    <n v="81128.383321141198"/>
    <m/>
  </r>
  <r>
    <x v="21"/>
    <x v="3"/>
    <x v="86"/>
    <s v="Chamki"/>
    <x v="45"/>
    <n v="26624"/>
    <n v="28756"/>
    <n v="1.2364552852962731"/>
    <n v="26294.806144842725"/>
    <n v="276095.46452084859"/>
    <m/>
  </r>
  <r>
    <x v="21"/>
    <x v="11"/>
    <x v="87"/>
    <m/>
    <x v="0"/>
    <m/>
    <m/>
    <e v="#DIV/0!"/>
    <n v="0"/>
    <m/>
    <m/>
  </r>
  <r>
    <x v="22"/>
    <x v="10"/>
    <x v="88"/>
    <s v="Chamki"/>
    <x v="42"/>
    <n v="26274"/>
    <n v="3855"/>
    <n v="0.64123071035926671"/>
    <n v="3525.0548646671546"/>
    <n v="35250.548646671545"/>
    <m/>
  </r>
  <r>
    <x v="22"/>
    <x v="4"/>
    <x v="89"/>
    <s v="Chamki"/>
    <x v="35"/>
    <n v="22559"/>
    <n v="2228"/>
    <n v="1.153288914546863"/>
    <n v="2037.3079736649599"/>
    <n v="18335.771762984641"/>
    <m/>
  </r>
  <r>
    <x v="22"/>
    <x v="4"/>
    <x v="90"/>
    <s v="Silky"/>
    <x v="46"/>
    <n v="30020"/>
    <n v="19760"/>
    <n v="0.40168295508429708"/>
    <n v="18068.763716166792"/>
    <n v="216825.16459400149"/>
    <m/>
  </r>
  <r>
    <x v="22"/>
    <x v="4"/>
    <x v="91"/>
    <s v="Silky"/>
    <x v="47"/>
    <n v="13670"/>
    <n v="14695"/>
    <n v="1.7024769771748964"/>
    <n v="13437.271397220191"/>
    <n v="161247.2567666423"/>
    <m/>
  </r>
  <r>
    <x v="22"/>
    <x v="4"/>
    <x v="92"/>
    <s v="Silky"/>
    <x v="46"/>
    <n v="30020"/>
    <n v="6490"/>
    <n v="0.40168295508429708"/>
    <n v="5934.5281638624729"/>
    <n v="71214.337966349674"/>
    <m/>
  </r>
  <r>
    <x v="22"/>
    <x v="4"/>
    <x v="93"/>
    <s v="Silky"/>
    <x v="46"/>
    <n v="30020"/>
    <n v="6448"/>
    <n v="0.40168295508429708"/>
    <n v="5896.1228968544265"/>
    <n v="70753.474762253114"/>
    <m/>
  </r>
  <r>
    <x v="22"/>
    <x v="0"/>
    <x v="94"/>
    <s v="Chamki"/>
    <x v="48"/>
    <n v="23245"/>
    <n v="13600"/>
    <n v="1.7022798556705396"/>
    <n v="12435.991221653256"/>
    <n v="124359.91221653255"/>
    <m/>
  </r>
  <r>
    <x v="22"/>
    <x v="0"/>
    <x v="95"/>
    <s v="Chamki"/>
    <x v="49"/>
    <n v="26200"/>
    <n v="4344"/>
    <n v="-1.4437923351407562"/>
    <n v="3972.2019019751283"/>
    <n v="39722.019019751286"/>
    <m/>
  </r>
  <r>
    <x v="22"/>
    <x v="0"/>
    <x v="96"/>
    <s v="Chamki"/>
    <x v="50"/>
    <n v="6411"/>
    <n v="2202"/>
    <n v="1.555677039634574"/>
    <n v="2013.5332845647404"/>
    <n v="20135.332845647405"/>
    <m/>
  </r>
  <r>
    <x v="22"/>
    <x v="0"/>
    <x v="97"/>
    <s v="Silky"/>
    <x v="51"/>
    <n v="1553"/>
    <n v="1676"/>
    <n v="1.316610698975154"/>
    <n v="1532.5530358449159"/>
    <n v="18390.636430138991"/>
    <m/>
  </r>
  <r>
    <x v="23"/>
    <x v="0"/>
    <x v="98"/>
    <s v="Chamki"/>
    <x v="52"/>
    <n v="29554"/>
    <n v="14923"/>
    <n v="-0.79747392087358548"/>
    <n v="13645.757132406732"/>
    <n v="136457.57132406731"/>
    <m/>
  </r>
  <r>
    <x v="23"/>
    <x v="0"/>
    <x v="99"/>
    <s v="Chamki"/>
    <x v="48"/>
    <n v="23245"/>
    <n v="11388"/>
    <n v="1.7022798556705396"/>
    <n v="10413.313825896124"/>
    <n v="104133.13825896125"/>
    <m/>
  </r>
  <r>
    <x v="23"/>
    <x v="0"/>
    <x v="100"/>
    <s v="Chamki"/>
    <x v="49"/>
    <n v="26200"/>
    <n v="24722"/>
    <n v="-1.4437923351407562"/>
    <n v="22606.071689831751"/>
    <n v="226060.71689831751"/>
    <m/>
  </r>
  <r>
    <x v="24"/>
    <x v="4"/>
    <x v="101"/>
    <s v="Silky"/>
    <x v="53"/>
    <n v="5059"/>
    <n v="5368"/>
    <n v="2.9737321985356999"/>
    <n v="4908.5588880760797"/>
    <n v="58902.706656912953"/>
    <m/>
  </r>
  <r>
    <x v="24"/>
    <x v="4"/>
    <x v="102"/>
    <s v="Silky"/>
    <x v="54"/>
    <n v="4020"/>
    <n v="4290"/>
    <n v="2.4173208573081979"/>
    <n v="3922.823701536211"/>
    <n v="47073.884418434536"/>
    <m/>
  </r>
  <r>
    <x v="24"/>
    <x v="4"/>
    <x v="103"/>
    <s v="Silky"/>
    <x v="55"/>
    <n v="12126"/>
    <n v="13282"/>
    <n v="-0.15840743637794219"/>
    <n v="12145.208485735187"/>
    <n v="145742.50182882225"/>
    <m/>
  </r>
  <r>
    <x v="24"/>
    <x v="4"/>
    <x v="104"/>
    <s v="Silky"/>
    <x v="56"/>
    <n v="30110"/>
    <n v="26000"/>
    <n v="2.7887747364758724"/>
    <n v="23774.689100219461"/>
    <n v="285296.26920263353"/>
    <m/>
  </r>
  <r>
    <x v="24"/>
    <x v="4"/>
    <x v="105"/>
    <s v="Silky"/>
    <x v="56"/>
    <n v="30110"/>
    <n v="6010"/>
    <n v="2.7887747364758724"/>
    <n v="5495.6108266276524"/>
    <n v="65947.329919531825"/>
    <m/>
  </r>
  <r>
    <x v="24"/>
    <x v="11"/>
    <x v="106"/>
    <m/>
    <x v="0"/>
    <m/>
    <m/>
    <e v="#DIV/0!"/>
    <n v="0"/>
    <m/>
    <m/>
  </r>
  <r>
    <x v="24"/>
    <x v="0"/>
    <x v="107"/>
    <s v="Silky"/>
    <x v="57"/>
    <n v="12790"/>
    <n v="5756"/>
    <n v="-1.7934754943539843"/>
    <n v="5263.3504023408932"/>
    <n v="63160.204828090718"/>
    <m/>
  </r>
  <r>
    <x v="24"/>
    <x v="0"/>
    <x v="108"/>
    <s v="Silky"/>
    <x v="57"/>
    <n v="12790"/>
    <n v="8482"/>
    <n v="-1.7934754943539843"/>
    <n v="7756.0351133869799"/>
    <n v="93072.421360643755"/>
    <m/>
  </r>
  <r>
    <x v="25"/>
    <x v="0"/>
    <x v="109"/>
    <s v="Chamki"/>
    <x v="58"/>
    <n v="25583"/>
    <n v="28055"/>
    <n v="-0.27676171776585079"/>
    <n v="25653.803950256039"/>
    <n v="256538.03950256039"/>
    <m/>
  </r>
  <r>
    <x v="25"/>
    <x v="0"/>
    <x v="110"/>
    <s v="Chamki"/>
    <x v="52"/>
    <n v="29554"/>
    <n v="17655"/>
    <n v="-0.79747392087358548"/>
    <n v="16143.928310168252"/>
    <n v="161439.28310168252"/>
    <m/>
  </r>
  <r>
    <x v="25"/>
    <x v="0"/>
    <x v="111"/>
    <s v="Chamki"/>
    <x v="50"/>
    <n v="6411"/>
    <n v="4700"/>
    <n v="1.555677039634574"/>
    <n v="4297.7322604242872"/>
    <n v="42977.322604242872"/>
    <m/>
  </r>
  <r>
    <x v="25"/>
    <x v="4"/>
    <x v="112"/>
    <s v="Chamki"/>
    <x v="43"/>
    <n v="22040"/>
    <n v="15076"/>
    <n v="0.11593604499101673"/>
    <n v="13785.662033650331"/>
    <n v="124070.95830285297"/>
    <m/>
  </r>
  <r>
    <x v="25"/>
    <x v="4"/>
    <x v="113"/>
    <s v="Chamki"/>
    <x v="44"/>
    <n v="13196"/>
    <n v="4543"/>
    <n v="0.20889263288978555"/>
    <n v="4154.1697147037312"/>
    <n v="37387.527432333583"/>
    <m/>
  </r>
  <r>
    <x v="25"/>
    <x v="0"/>
    <x v="114"/>
    <s v="Chamki"/>
    <x v="59"/>
    <n v="19011"/>
    <n v="11193"/>
    <n v="46.162728643183016"/>
    <n v="10235.003657644478"/>
    <n v="102350.03657644478"/>
    <m/>
  </r>
  <r>
    <x v="26"/>
    <x v="0"/>
    <x v="115"/>
    <s v="Chamki"/>
    <x v="60"/>
    <n v="80183"/>
    <n v="924"/>
    <n v="3.760062901467677"/>
    <n v="844.9158741770301"/>
    <n v="8449.1587417703013"/>
    <m/>
  </r>
  <r>
    <x v="27"/>
    <x v="0"/>
    <x v="116"/>
    <s v="Chamki"/>
    <x v="60"/>
    <n v="80183"/>
    <n v="3747"/>
    <n v="3.760062901467677"/>
    <n v="3426.2984637893201"/>
    <n v="34262.984637893198"/>
    <m/>
  </r>
  <r>
    <x v="28"/>
    <x v="11"/>
    <x v="117"/>
    <m/>
    <x v="0"/>
    <m/>
    <m/>
    <m/>
    <m/>
    <m/>
    <m/>
  </r>
  <r>
    <x v="29"/>
    <x v="2"/>
    <x v="118"/>
    <s v="Chamki"/>
    <x v="60"/>
    <n v="12058"/>
    <n v="12882"/>
    <n v="3.760062901467677"/>
    <n v="11779.444038039504"/>
    <n v="117794.44038039504"/>
    <m/>
  </r>
  <r>
    <x v="29"/>
    <x v="0"/>
    <x v="119"/>
    <s v="Chamki"/>
    <x v="60"/>
    <n v="80183"/>
    <n v="11023"/>
    <n v="3.760062901467677"/>
    <n v="10079.553767373813"/>
    <n v="100795.53767373813"/>
    <m/>
  </r>
  <r>
    <x v="29"/>
    <x v="0"/>
    <x v="120"/>
    <s v="Chamki"/>
    <x v="60"/>
    <n v="80183"/>
    <n v="37847"/>
    <n v="3.760062901467677"/>
    <n v="34607.717629846382"/>
    <n v="346077.17629846383"/>
    <m/>
  </r>
  <r>
    <x v="30"/>
    <x v="0"/>
    <x v="121"/>
    <s v="Chamki"/>
    <x v="60"/>
    <n v="80183"/>
    <n v="17968"/>
    <n v="3.760062901467677"/>
    <n v="16430.138990490126"/>
    <n v="164301.38990490127"/>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810"/>
    <n v="20700"/>
    <n v="182250"/>
    <n v="346500"/>
    <n v="-164250"/>
  </r>
  <r>
    <x v="12"/>
    <x v="0"/>
    <x v="13"/>
    <n v="291"/>
    <n v="765"/>
    <n v="25500"/>
    <n v="222615"/>
    <m/>
    <n v="222615"/>
  </r>
  <r>
    <x v="13"/>
    <x v="1"/>
    <x v="14"/>
    <n v="133"/>
    <n v="700"/>
    <n v="13250"/>
    <n v="93100"/>
    <n v="75000"/>
    <n v="18100"/>
  </r>
  <r>
    <x v="14"/>
    <x v="0"/>
    <x v="15"/>
    <n v="265"/>
    <n v="810"/>
    <n v="43250"/>
    <n v="214650"/>
    <n v="345250"/>
    <n v="-130600"/>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r>
    <x v="26"/>
    <x v="0"/>
    <x v="5"/>
    <m/>
    <m/>
    <m/>
    <n v="0"/>
    <n v="200700"/>
    <n v="-20070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70400"/>
    <n v="113470"/>
  </r>
  <r>
    <x v="27"/>
    <x v="0"/>
    <x v="27"/>
    <n v="306"/>
    <n v="765"/>
    <n v="32100"/>
    <n v="234090"/>
    <m/>
    <n v="234090"/>
  </r>
  <r>
    <x v="28"/>
    <x v="2"/>
    <x v="11"/>
    <n v="47"/>
    <n v="590"/>
    <m/>
    <n v="27730"/>
    <n v="0"/>
    <n v="27730"/>
  </r>
  <r>
    <x v="28"/>
    <x v="0"/>
    <x v="5"/>
    <m/>
    <m/>
    <m/>
    <n v="0"/>
    <n v="200000"/>
    <n v="-200000"/>
  </r>
  <r>
    <x v="29"/>
    <x v="0"/>
    <x v="28"/>
    <n v="245"/>
    <n v="810"/>
    <n v="41500"/>
    <n v="198450"/>
    <n v="242200"/>
    <n v="-43750"/>
  </r>
  <r>
    <x v="29"/>
    <x v="2"/>
    <x v="5"/>
    <m/>
    <m/>
    <m/>
    <n v="0"/>
    <n v="150000"/>
    <n v="-150000"/>
  </r>
  <r>
    <x v="30"/>
    <x v="1"/>
    <x v="5"/>
    <m/>
    <m/>
    <m/>
    <n v="0"/>
    <n v="11000"/>
    <n v="-11000"/>
  </r>
  <r>
    <x v="30"/>
    <x v="0"/>
    <x v="29"/>
    <n v="241"/>
    <n v="810"/>
    <n v="39500"/>
    <n v="195210"/>
    <n v="141250"/>
    <n v="53960"/>
  </r>
  <r>
    <x v="30"/>
    <x v="0"/>
    <x v="4"/>
    <n v="177"/>
    <n v="810"/>
    <n v="37500"/>
    <n v="143370"/>
    <m/>
    <n v="143370"/>
  </r>
  <r>
    <x v="30"/>
    <x v="0"/>
    <x v="4"/>
    <n v="52"/>
    <n v="765"/>
    <m/>
    <n v="39780"/>
    <m/>
    <n v="39780"/>
  </r>
  <r>
    <x v="30"/>
    <x v="0"/>
    <x v="26"/>
    <n v="232"/>
    <n v="810"/>
    <n v="36750"/>
    <n v="187920"/>
    <m/>
    <n v="187920"/>
  </r>
  <r>
    <x v="30"/>
    <x v="0"/>
    <x v="5"/>
    <n v="255"/>
    <n v="765"/>
    <n v="27500"/>
    <n v="195075"/>
    <m/>
    <n v="195075"/>
  </r>
  <r>
    <x v="30"/>
    <x v="2"/>
    <x v="5"/>
    <n v="45"/>
    <n v="590"/>
    <m/>
    <n v="26550"/>
    <m/>
    <n v="265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4"/>
    <s v="Rubine B"/>
    <n v="1"/>
    <m/>
    <n v="28500"/>
    <x v="2"/>
    <n v="28500"/>
    <n v="0"/>
    <m/>
  </r>
  <r>
    <x v="4"/>
    <s v="Navy Blue"/>
    <n v="1"/>
    <m/>
    <n v="28500"/>
    <x v="1"/>
    <n v="28500"/>
    <n v="0"/>
    <m/>
  </r>
  <r>
    <x v="5"/>
    <s v="Dyes"/>
    <m/>
    <m/>
    <n v="32800"/>
    <x v="1"/>
    <n v="32800"/>
    <n v="0"/>
    <s v="NP9,Acetic,disp"/>
  </r>
  <r>
    <x v="5"/>
    <s v="Rubine B"/>
    <n v="2"/>
    <n v="1140"/>
    <n v="57000"/>
    <x v="0"/>
    <m/>
    <n v="57000"/>
    <m/>
  </r>
  <r>
    <x v="5"/>
    <s v="Scarlet B"/>
    <n v="2"/>
    <n v="1140"/>
    <n v="57000"/>
    <x v="0"/>
    <m/>
    <n v="57000"/>
    <m/>
  </r>
  <r>
    <x v="5"/>
    <s v="Yellow 4G"/>
    <n v="2"/>
    <n v="1300"/>
    <n v="65000"/>
    <x v="0"/>
    <m/>
    <n v="65000"/>
    <m/>
  </r>
  <r>
    <x v="5"/>
    <s v="Disperse Black"/>
    <n v="2"/>
    <n v="920"/>
    <n v="46000"/>
    <x v="0"/>
    <m/>
    <n v="46000"/>
    <m/>
  </r>
  <r>
    <x v="5"/>
    <s v="Navy Blue"/>
    <n v="2"/>
    <n v="1130"/>
    <n v="56500"/>
    <x v="0"/>
    <m/>
    <n v="56500"/>
    <m/>
  </r>
  <r>
    <x v="5"/>
    <s v="Blue GSL"/>
    <n v="1"/>
    <n v="3100"/>
    <n v="77500"/>
    <x v="0"/>
    <m/>
    <n v="77500"/>
    <m/>
  </r>
  <r>
    <x v="5"/>
    <s v="Violet 3R"/>
    <n v="1"/>
    <n v="1400"/>
    <n v="35000"/>
    <x v="0"/>
    <m/>
    <n v="3500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670982.07754206297"/>
    <n v="10"/>
    <n v="6669548.2809070963"/>
  </r>
  <r>
    <x v="1"/>
    <n v="24754.937820043895"/>
    <n v="10"/>
    <n v="247549.37820043895"/>
  </r>
  <r>
    <x v="2"/>
    <n v="67143.379663496715"/>
    <n v="10"/>
    <n v="671433.79663496721"/>
  </r>
  <r>
    <x v="3"/>
    <n v="26294.806144842725"/>
    <n v="10.5"/>
    <n v="276095.46452084859"/>
  </r>
  <r>
    <x v="4"/>
    <n v="437841.98975859547"/>
    <n v="10"/>
    <n v="4534081.9312362839"/>
  </r>
  <r>
    <x v="5"/>
    <n v="94636.06437454281"/>
    <n v="10"/>
    <n v="946360.64374542807"/>
  </r>
  <r>
    <x v="6"/>
    <n v="23730.797366495979"/>
    <n v="10"/>
    <n v="237307.97366495978"/>
  </r>
  <r>
    <x v="7"/>
    <n v="0"/>
    <n v="10"/>
    <n v="0"/>
  </r>
  <r>
    <x v="8"/>
    <n v="29529.078273591811"/>
    <n v="10"/>
    <n v="295290.78273591812"/>
  </r>
  <r>
    <x v="9"/>
    <n v="21310.35113386979"/>
    <m/>
    <n v="213103.51133869789"/>
  </r>
  <r>
    <x v="10"/>
    <n v="26105.523043160207"/>
    <m/>
    <n v="261055.23043160207"/>
  </r>
  <r>
    <x v="11"/>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4">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Cash"/>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Cash"/>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Bank"/>
    <m/>
  </r>
  <r>
    <d v="2025-09-10T00:00:00"/>
    <x v="25"/>
    <n v="5000"/>
    <m/>
    <s v="Master Akbar"/>
    <s v="Cash"/>
    <m/>
  </r>
  <r>
    <d v="2025-09-10T00:00:00"/>
    <x v="9"/>
    <n v="7692"/>
    <m/>
    <m/>
    <s v="Cash"/>
    <m/>
  </r>
  <r>
    <d v="2025-09-10T00:00:00"/>
    <x v="4"/>
    <n v="3900"/>
    <m/>
    <s v="nozzle"/>
    <s v="Bank"/>
    <m/>
  </r>
  <r>
    <d v="2025-09-10T00:00:00"/>
    <x v="24"/>
    <m/>
    <n v="97000"/>
    <s v="billing"/>
    <s v="Bank"/>
    <m/>
  </r>
  <r>
    <d v="2025-09-10T00:00:00"/>
    <x v="2"/>
    <n v="201450"/>
    <m/>
    <s v="wood"/>
    <s v="Bank"/>
    <m/>
  </r>
  <r>
    <d v="2025-09-10T00:00:00"/>
    <x v="5"/>
    <n v="5335"/>
    <m/>
    <s v="petrol"/>
    <s v="Bank"/>
    <m/>
  </r>
  <r>
    <d v="2025-09-11T00:00:00"/>
    <x v="20"/>
    <m/>
    <n v="627000"/>
    <s v="salary"/>
    <s v="Cash"/>
    <m/>
  </r>
  <r>
    <d v="2025-09-11T00:00:00"/>
    <x v="28"/>
    <m/>
    <n v="275940"/>
    <s v="billing"/>
    <s v="Bank"/>
    <m/>
  </r>
  <r>
    <d v="2025-09-11T00:00:00"/>
    <x v="25"/>
    <n v="847000"/>
    <m/>
    <s v="salary"/>
    <s v="Cash"/>
    <m/>
  </r>
  <r>
    <d v="2025-09-11T00:00:00"/>
    <x v="25"/>
    <n v="10000"/>
    <m/>
    <s v="Khalid Sahab"/>
    <s v="Bank"/>
    <m/>
  </r>
  <r>
    <d v="2025-09-11T00:00:00"/>
    <x v="25"/>
    <n v="5000"/>
    <m/>
    <s v="Master Tanveer"/>
    <s v="Cash"/>
    <m/>
  </r>
  <r>
    <d v="2025-09-11T00:00:00"/>
    <x v="5"/>
    <n v="6350"/>
    <m/>
    <s v="LPG"/>
    <s v="Bank"/>
    <m/>
  </r>
  <r>
    <d v="2025-09-11T00:00:00"/>
    <x v="5"/>
    <n v="900"/>
    <m/>
    <s v="puncture"/>
    <s v="Cash"/>
    <m/>
  </r>
  <r>
    <d v="2025-09-11T00:00:00"/>
    <x v="2"/>
    <n v="200700"/>
    <m/>
    <s v="wood"/>
    <s v="Bank"/>
    <m/>
  </r>
  <r>
    <d v="2025-09-12T00:00:00"/>
    <x v="1"/>
    <m/>
    <n v="57000"/>
    <s v="chemicals"/>
    <s v="Bank"/>
    <m/>
  </r>
  <r>
    <d v="2025-09-12T00:00:00"/>
    <x v="10"/>
    <n v="57000"/>
    <m/>
    <s v="Rubine+Navy"/>
    <s v="Bank"/>
    <m/>
  </r>
  <r>
    <d v="2025-09-12T00:00:00"/>
    <x v="20"/>
    <m/>
    <n v="348000"/>
    <m/>
    <s v="Cash"/>
    <m/>
  </r>
  <r>
    <d v="2025-09-12T00:00:00"/>
    <x v="11"/>
    <n v="21000"/>
    <m/>
    <s v="mazdoor"/>
    <s v="Cash"/>
    <m/>
  </r>
  <r>
    <d v="2025-09-12T00:00:00"/>
    <x v="25"/>
    <n v="50000"/>
    <m/>
    <s v="Master Tanveer"/>
    <s v="Bank"/>
    <m/>
  </r>
  <r>
    <d v="2025-09-12T00:00:00"/>
    <x v="25"/>
    <n v="41600"/>
    <m/>
    <s v="Master Tanveer"/>
    <s v="Cash"/>
    <m/>
  </r>
  <r>
    <d v="2025-09-12T00:00:00"/>
    <x v="25"/>
    <n v="40000"/>
    <m/>
    <s v="Ashfaq Sahab"/>
    <s v="Cash"/>
    <m/>
  </r>
  <r>
    <d v="2025-09-12T00:00:00"/>
    <x v="25"/>
    <n v="140000"/>
    <m/>
    <s v="Ashfaq Sahab"/>
    <s v="Bank"/>
    <m/>
  </r>
  <r>
    <d v="2025-09-12T00:00:00"/>
    <x v="2"/>
    <n v="2000"/>
    <m/>
    <s v="unloading"/>
    <s v="Cash"/>
    <m/>
  </r>
  <r>
    <d v="2025-09-12T00:00:00"/>
    <x v="2"/>
    <n v="36300"/>
    <m/>
    <s v="LEI 3834"/>
    <s v="Bank"/>
    <m/>
  </r>
  <r>
    <d v="2025-09-12T00:00:00"/>
    <x v="2"/>
    <n v="32100"/>
    <m/>
    <s v="TX 031"/>
    <s v="Cash"/>
    <m/>
  </r>
  <r>
    <d v="2025-09-12T00:00:00"/>
    <x v="25"/>
    <m/>
    <m/>
    <s v="imran (5600) advance"/>
    <s v="Cash"/>
    <m/>
  </r>
  <r>
    <d v="2025-09-12T00:00:00"/>
    <x v="6"/>
    <n v="550"/>
    <m/>
    <s v="Tape"/>
    <s v="Cash"/>
    <m/>
  </r>
  <r>
    <d v="2025-09-12T00:00:00"/>
    <x v="6"/>
    <n v="400"/>
    <m/>
    <s v="labour"/>
    <s v="Cash"/>
    <m/>
  </r>
  <r>
    <d v="2025-09-12T00:00:00"/>
    <x v="11"/>
    <n v="70000"/>
    <n v="70000"/>
    <s v="construction acc"/>
    <s v="Cash"/>
    <m/>
  </r>
  <r>
    <d v="2025-09-12T00:00:00"/>
    <x v="3"/>
    <m/>
    <n v="55000"/>
    <s v="Ashfaq Sahab"/>
    <s v="Bank"/>
    <m/>
  </r>
  <r>
    <d v="2025-09-13T00:00:00"/>
    <x v="3"/>
    <n v="1100"/>
    <m/>
    <m/>
    <s v="Cash"/>
    <m/>
  </r>
  <r>
    <d v="2025-09-13T00:00:00"/>
    <x v="4"/>
    <n v="4200"/>
    <m/>
    <s v="lights x4 tubelight"/>
    <s v="Bank"/>
    <m/>
  </r>
  <r>
    <d v="2025-09-13T00:00:00"/>
    <x v="5"/>
    <n v="40000"/>
    <m/>
    <s v="workshop"/>
    <s v="Bank"/>
    <m/>
  </r>
  <r>
    <d v="2025-09-13T00:00:00"/>
    <x v="1"/>
    <m/>
    <n v="40000"/>
    <m/>
    <s v="Bank"/>
    <m/>
  </r>
  <r>
    <d v="2025-09-13T00:00:00"/>
    <x v="5"/>
    <n v="3000"/>
    <m/>
    <s v="pheray"/>
    <s v="Cash"/>
    <m/>
  </r>
  <r>
    <d v="2025-09-13T00:00:00"/>
    <x v="30"/>
    <n v="32800"/>
    <m/>
    <m/>
    <s v="Bank"/>
    <m/>
  </r>
  <r>
    <d v="2025-09-13T00:00:00"/>
    <x v="1"/>
    <m/>
    <n v="32800"/>
    <m/>
    <s v="Bank"/>
    <m/>
  </r>
  <r>
    <d v="2025-09-13T00:00:00"/>
    <x v="3"/>
    <m/>
    <n v="10000"/>
    <m/>
    <s v="Bank"/>
    <m/>
  </r>
  <r>
    <d v="2025-09-13T00:00:00"/>
    <x v="4"/>
    <n v="550"/>
    <m/>
    <s v="grinder"/>
    <s v="Cash"/>
    <m/>
  </r>
  <r>
    <d v="2025-09-13T00:00:00"/>
    <x v="11"/>
    <n v="3300"/>
    <m/>
    <s v="mazdoor"/>
    <s v="Cash"/>
    <m/>
  </r>
  <r>
    <d v="2025-09-13T00:00:00"/>
    <x v="5"/>
    <n v="2700"/>
    <m/>
    <s v="Dyes"/>
    <s v="Cash"/>
    <m/>
  </r>
  <r>
    <d v="2025-09-13T00:00:00"/>
    <x v="9"/>
    <n v="18000"/>
    <m/>
    <s v="atta 10bags"/>
    <s v="Bank"/>
    <m/>
  </r>
  <r>
    <d v="2025-09-13T00:00:00"/>
    <x v="2"/>
    <n v="200000"/>
    <m/>
    <s v="wood"/>
    <s v="Bank"/>
    <m/>
  </r>
  <r>
    <d v="2025-09-13T00:00:00"/>
    <x v="31"/>
    <m/>
    <n v="200000"/>
    <m/>
    <s v="Bank"/>
    <m/>
  </r>
  <r>
    <d v="2025-09-13T00:00:00"/>
    <x v="5"/>
    <n v="300"/>
    <m/>
    <m/>
    <s v="Cash"/>
    <m/>
  </r>
  <r>
    <d v="2025-09-13T00:00:00"/>
    <x v="20"/>
    <m/>
    <n v="25000"/>
    <m/>
    <s v="Cash"/>
    <m/>
  </r>
  <r>
    <d v="2025-09-13T00:00:00"/>
    <x v="14"/>
    <n v="5000"/>
    <m/>
    <s v="Qadeer Driver"/>
    <s v="Cash"/>
    <m/>
  </r>
  <r>
    <d v="2025-09-12T00:00:00"/>
    <x v="7"/>
    <m/>
    <n v="500000"/>
    <s v="cash"/>
    <s v="Bank"/>
    <m/>
  </r>
  <r>
    <d v="2025-09-14T00:00:00"/>
    <x v="2"/>
    <n v="200700"/>
    <m/>
    <s v="wood"/>
    <s v="Bank"/>
    <m/>
  </r>
  <r>
    <d v="2025-09-14T00:00:00"/>
    <x v="2"/>
    <n v="41500"/>
    <m/>
    <s v="LES9755"/>
    <s v="Bank"/>
    <m/>
  </r>
  <r>
    <d v="2025-09-14T00:00:00"/>
    <x v="9"/>
    <n v="8637"/>
    <m/>
    <m/>
    <s v="Bank"/>
    <m/>
  </r>
  <r>
    <d v="2025-09-14T00:00:00"/>
    <x v="29"/>
    <n v="150000"/>
    <m/>
    <m/>
    <s v="Bank"/>
    <m/>
  </r>
  <r>
    <d v="2025-09-15T00:00:00"/>
    <x v="2"/>
    <n v="36750"/>
    <m/>
    <s v="TX 031"/>
    <s v="Bank"/>
    <m/>
  </r>
  <r>
    <d v="2025-09-15T00:00:00"/>
    <x v="2"/>
    <n v="37500"/>
    <m/>
    <s v="E 3229"/>
    <s v="Bank"/>
    <m/>
  </r>
  <r>
    <d v="2025-09-15T00:00:00"/>
    <x v="2"/>
    <n v="39500"/>
    <m/>
    <s v="GAS 1561"/>
    <s v="Cash"/>
    <m/>
  </r>
  <r>
    <d v="2025-09-15T00:00:00"/>
    <x v="11"/>
    <n v="4500"/>
    <m/>
    <s v="Sufyan Salary"/>
    <s v="Bank"/>
    <m/>
  </r>
  <r>
    <d v="2025-09-15T00:00:00"/>
    <x v="4"/>
    <n v="950"/>
    <m/>
    <s v="camera bulbs"/>
    <s v="Cash"/>
    <m/>
  </r>
  <r>
    <d v="2025-09-15T00:00:00"/>
    <x v="17"/>
    <m/>
    <m/>
    <m/>
    <s v="Transfer"/>
    <n v="45000"/>
  </r>
  <r>
    <d v="2025-09-15T00:00:00"/>
    <x v="3"/>
    <m/>
    <n v="35000"/>
    <m/>
    <s v="Cash"/>
    <m/>
  </r>
  <r>
    <d v="2025-09-15T00:00:00"/>
    <x v="4"/>
    <n v="400"/>
    <m/>
    <m/>
    <s v="Cash"/>
    <m/>
  </r>
  <r>
    <d v="2025-09-15T00:00:00"/>
    <x v="4"/>
    <n v="10520"/>
    <m/>
    <s v="bearing"/>
    <s v="Bank"/>
    <m/>
  </r>
  <r>
    <d v="2025-09-15T00:00:00"/>
    <x v="3"/>
    <m/>
    <n v="10520"/>
    <m/>
    <s v="Bank"/>
    <m/>
  </r>
  <r>
    <d v="2025-09-15T00:00:00"/>
    <x v="4"/>
    <n v="1110"/>
    <m/>
    <s v="electrical"/>
    <s v="Cash"/>
    <m/>
  </r>
  <r>
    <d v="2025-09-15T00:00:00"/>
    <x v="2"/>
    <n v="27500"/>
    <m/>
    <s v="255 man"/>
    <s v="Cash"/>
    <m/>
  </r>
  <r>
    <d v="2025-09-15T00:00:00"/>
    <x v="1"/>
    <m/>
    <n v="115000"/>
    <s v="Faysal Akram"/>
    <s v="Bank"/>
    <m/>
  </r>
  <r>
    <d v="2025-09-15T00:00:00"/>
    <x v="15"/>
    <n v="115000"/>
    <m/>
    <m/>
    <s v="Bank"/>
    <m/>
  </r>
  <r>
    <d v="2025-09-15T00:00:00"/>
    <x v="1"/>
    <m/>
    <n v="11000"/>
    <s v="Aqib"/>
    <s v="Bank"/>
    <m/>
  </r>
  <r>
    <d v="2025-09-15T00:00:00"/>
    <x v="26"/>
    <n v="11000"/>
    <m/>
    <m/>
    <s v="Bank"/>
    <m/>
  </r>
  <r>
    <d v="2025-09-16T00:00:00"/>
    <x v="25"/>
    <n v="40000"/>
    <m/>
    <s v="Khalid Sahab"/>
    <s v="Bank"/>
    <m/>
  </r>
  <r>
    <d v="2025-09-16T00:00:00"/>
    <x v="14"/>
    <n v="10000"/>
    <m/>
    <s v="Kamran"/>
    <s v="Bank"/>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27">
      <pivotArea field="0" grandRow="1" outline="0" collapsedLevelsAreSubtotals="1" axis="axisRow" fieldPosition="0">
        <references count="1">
          <reference field="4294967294" count="1" selected="0">
            <x v="1"/>
          </reference>
        </references>
      </pivotArea>
    </format>
    <format dxfId="28">
      <pivotArea field="0" grandRow="1" outline="0" collapsedLevelsAreSubtotals="1" axis="axisRow" fieldPosition="0">
        <references count="1">
          <reference field="4294967294" count="1" selected="0">
            <x v="0"/>
          </reference>
        </references>
      </pivotArea>
    </format>
    <format dxfId="29">
      <pivotArea collapsedLevelsAreSubtotals="1" fieldPosition="0">
        <references count="2">
          <reference field="4294967294" count="1" selected="0">
            <x v="1"/>
          </reference>
          <reference field="0" count="0"/>
        </references>
      </pivotArea>
    </format>
    <format dxfId="30">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3:G266" firstHeaderRow="0" firstDataRow="1" firstDataCol="1" rowPageCount="3" colPageCount="1"/>
  <pivotFields count="14">
    <pivotField axis="axisPage" showAll="0">
      <items count="48">
        <item m="1" x="31"/>
        <item m="1" x="32"/>
        <item m="1" x="33"/>
        <item m="1" x="34"/>
        <item m="1" x="35"/>
        <item m="1" x="36"/>
        <item m="1" x="46"/>
        <item m="1" x="37"/>
        <item m="1" x="38"/>
        <item m="1" x="39"/>
        <item m="1" x="40"/>
        <item m="1" x="41"/>
        <item m="1" x="42"/>
        <item m="1" x="43"/>
        <item m="1" x="44"/>
        <item m="1" x="45"/>
        <item x="2"/>
        <item x="0"/>
        <item x="1"/>
        <item x="3"/>
        <item x="4"/>
        <item x="5"/>
        <item x="6"/>
        <item x="7"/>
        <item x="8"/>
        <item x="9"/>
        <item x="10"/>
        <item x="11"/>
        <item x="12"/>
        <item x="13"/>
        <item x="14"/>
        <item x="15"/>
        <item x="16"/>
        <item x="17"/>
        <item x="18"/>
        <item x="19"/>
        <item x="20"/>
        <item x="21"/>
        <item x="22"/>
        <item x="23"/>
        <item x="24"/>
        <item x="25"/>
        <item x="26"/>
        <item x="27"/>
        <item x="29"/>
        <item x="28"/>
        <item x="30"/>
        <item t="default"/>
      </items>
    </pivotField>
    <pivotField axis="axisPage" multipleItemSelectionAllowed="1" showAll="0">
      <items count="19">
        <item x="2"/>
        <item x="0"/>
        <item m="1" x="17"/>
        <item x="6"/>
        <item m="1" x="16"/>
        <item m="1" x="15"/>
        <item m="1" x="14"/>
        <item x="1"/>
        <item x="3"/>
        <item m="1" x="13"/>
        <item x="4"/>
        <item m="1" x="12"/>
        <item x="11"/>
        <item x="5"/>
        <item x="7"/>
        <item x="8"/>
        <item x="9"/>
        <item x="10"/>
        <item t="default"/>
      </items>
    </pivotField>
    <pivotField axis="axisRow" numFmtId="164" showAll="0">
      <items count="23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123"/>
        <item m="1" x="124"/>
        <item m="1" x="125"/>
        <item m="1" x="126"/>
        <item m="1" x="127"/>
        <item m="1" x="128"/>
        <item m="1" x="129"/>
        <item m="1" x="130"/>
        <item m="1" x="131"/>
        <item m="1" x="132"/>
        <item m="1" x="133"/>
        <item m="1" x="134"/>
        <item m="1" x="135"/>
        <item m="1" x="136"/>
        <item m="1" x="137"/>
        <item m="1" x="138"/>
        <item m="1" x="139"/>
        <item m="1" x="140"/>
        <item m="1" x="169"/>
        <item m="1" x="141"/>
        <item m="1" x="142"/>
        <item m="1" x="143"/>
        <item m="1" x="144"/>
        <item m="1" x="145"/>
        <item m="1" x="146"/>
        <item m="1" x="158"/>
        <item m="1" x="147"/>
        <item m="1" x="148"/>
        <item m="1" x="149"/>
        <item m="1" x="150"/>
        <item m="1" x="151"/>
        <item m="1" x="152"/>
        <item m="1" x="153"/>
        <item m="1" x="154"/>
        <item m="1" x="155"/>
        <item m="1" x="156"/>
        <item m="1" x="157"/>
        <item m="1" x="159"/>
        <item m="1" x="160"/>
        <item m="1" x="161"/>
        <item m="1" x="162"/>
        <item m="1" x="163"/>
        <item m="1" x="164"/>
        <item m="1" x="165"/>
        <item m="1" x="166"/>
        <item m="1" x="167"/>
        <item m="1" x="168"/>
        <item m="1" x="170"/>
        <item m="1" x="171"/>
        <item m="1" x="172"/>
        <item m="1" x="173"/>
        <item m="1" x="174"/>
        <item m="1" x="175"/>
        <item m="1" x="176"/>
        <item m="1" x="177"/>
        <item m="1" x="178"/>
        <item m="1" x="179"/>
        <item m="1" x="180"/>
        <item m="1" x="181"/>
        <item m="1" x="182"/>
        <item m="1" x="183"/>
        <item m="1" x="184"/>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9"/>
        <item x="100"/>
        <item x="101"/>
        <item x="98"/>
        <item x="102"/>
        <item x="103"/>
        <item x="104"/>
        <item x="105"/>
        <item x="106"/>
        <item x="107"/>
        <item x="108"/>
        <item x="109"/>
        <item x="110"/>
        <item x="111"/>
        <item x="112"/>
        <item x="113"/>
        <item x="114"/>
        <item x="115"/>
        <item x="116"/>
        <item m="1" x="122"/>
        <item x="118"/>
        <item x="117"/>
        <item x="119"/>
        <item x="120"/>
        <item x="121"/>
        <item t="default"/>
      </items>
    </pivotField>
    <pivotField showAll="0"/>
    <pivotField axis="axisPage" multipleItemSelectionAllowed="1" showAll="0">
      <items count="114">
        <item m="1" x="67"/>
        <item m="1" x="96"/>
        <item m="1" x="97"/>
        <item m="1" x="105"/>
        <item m="1" x="95"/>
        <item m="1" x="94"/>
        <item m="1" x="98"/>
        <item m="1" x="109"/>
        <item m="1" x="101"/>
        <item m="1" x="102"/>
        <item m="1" x="99"/>
        <item m="1" x="100"/>
        <item m="1" x="110"/>
        <item m="1" x="103"/>
        <item m="1" x="104"/>
        <item m="1" x="107"/>
        <item m="1" x="108"/>
        <item m="1" x="106"/>
        <item m="1" x="62"/>
        <item m="1" x="112"/>
        <item m="1" x="61"/>
        <item m="1" x="111"/>
        <item m="1" x="64"/>
        <item m="1" x="63"/>
        <item m="1" x="65"/>
        <item m="1" x="71"/>
        <item m="1" x="66"/>
        <item m="1" x="68"/>
        <item m="1" x="72"/>
        <item m="1" x="73"/>
        <item m="1" x="92"/>
        <item m="1" x="69"/>
        <item m="1" x="70"/>
        <item x="28"/>
        <item x="50"/>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3">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8"/>
    </i>
    <i>
      <x v="229"/>
    </i>
    <i>
      <x v="230"/>
    </i>
    <i>
      <x v="231"/>
    </i>
    <i>
      <x v="232"/>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3:K175" firstHeaderRow="0" firstDataRow="1" firstDataCol="1"/>
  <pivotFields count="14">
    <pivotField axis="axisRow" numFmtId="14" showAll="0">
      <items count="48">
        <item m="1" x="31"/>
        <item m="1" x="32"/>
        <item m="1" x="33"/>
        <item m="1" x="34"/>
        <item m="1" x="35"/>
        <item m="1" x="36"/>
        <item m="1" x="46"/>
        <item m="1" x="37"/>
        <item m="1" x="38"/>
        <item m="1" x="39"/>
        <item m="1" x="40"/>
        <item m="1" x="41"/>
        <item m="1" x="42"/>
        <item m="1" x="43"/>
        <item m="1" x="44"/>
        <item m="1" x="45"/>
        <item x="2"/>
        <item x="0"/>
        <item x="1"/>
        <item x="3"/>
        <item x="4"/>
        <item x="5"/>
        <item x="6"/>
        <item x="7"/>
        <item x="8"/>
        <item x="9"/>
        <item x="10"/>
        <item x="11"/>
        <item x="12"/>
        <item x="13"/>
        <item x="14"/>
        <item x="15"/>
        <item x="16"/>
        <item x="17"/>
        <item x="18"/>
        <item x="19"/>
        <item x="20"/>
        <item x="21"/>
        <item x="22"/>
        <item x="23"/>
        <item x="24"/>
        <item x="25"/>
        <item x="26"/>
        <item x="27"/>
        <item x="29"/>
        <item x="28"/>
        <item x="30"/>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2">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4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9:I153" firstHeaderRow="0" firstDataRow="1" firstDataCol="1" rowPageCount="1" colPageCount="1"/>
  <pivotFields count="9">
    <pivotField axis="axisRow" numFmtId="14" showAll="0">
      <items count="52">
        <item m="1" x="35"/>
        <item m="1" x="36"/>
        <item m="1" x="37"/>
        <item m="1" x="38"/>
        <item m="1" x="39"/>
        <item m="1" x="40"/>
        <item m="1" x="41"/>
        <item m="1" x="50"/>
        <item m="1" x="31"/>
        <item m="1" x="42"/>
        <item m="1" x="43"/>
        <item m="1" x="44"/>
        <item m="1" x="45"/>
        <item m="1" x="46"/>
        <item m="1" x="47"/>
        <item m="1" x="48"/>
        <item x="1"/>
        <item x="2"/>
        <item m="1" x="49"/>
        <item x="3"/>
        <item x="0"/>
        <item x="4"/>
        <item x="6"/>
        <item x="7"/>
        <item x="8"/>
        <item x="10"/>
        <item x="11"/>
        <item x="12"/>
        <item x="5"/>
        <item x="9"/>
        <item x="13"/>
        <item x="14"/>
        <item x="15"/>
        <item x="16"/>
        <item x="17"/>
        <item x="18"/>
        <item m="1" x="32"/>
        <item m="1" x="33"/>
        <item m="1" x="34"/>
        <item x="19"/>
        <item x="20"/>
        <item x="21"/>
        <item x="22"/>
        <item x="23"/>
        <item x="24"/>
        <item x="25"/>
        <item x="26"/>
        <item x="27"/>
        <item x="28"/>
        <item x="29"/>
        <item x="30"/>
        <item t="default"/>
      </items>
    </pivotField>
    <pivotField axis="axisPage" showAll="0">
      <items count="6">
        <item x="1"/>
        <item x="0"/>
        <item m="1" x="3"/>
        <item m="1" x="4"/>
        <item x="2"/>
        <item t="default"/>
      </items>
    </pivotField>
    <pivotField axis="axisRow" showAll="0">
      <items count="45">
        <item m="1" x="34"/>
        <item x="15"/>
        <item m="1" x="30"/>
        <item x="4"/>
        <item m="1" x="35"/>
        <item m="1" x="36"/>
        <item m="1" x="31"/>
        <item m="1" x="32"/>
        <item m="1" x="33"/>
        <item x="5"/>
        <item x="7"/>
        <item m="1" x="37"/>
        <item m="1" x="38"/>
        <item m="1" x="39"/>
        <item m="1" x="40"/>
        <item m="1" x="41"/>
        <item m="1" x="42"/>
        <item x="1"/>
        <item x="2"/>
        <item m="1" x="43"/>
        <item x="3"/>
        <item x="0"/>
        <item x="6"/>
        <item x="8"/>
        <item x="9"/>
        <item x="10"/>
        <item x="11"/>
        <item x="12"/>
        <item x="13"/>
        <item x="14"/>
        <item x="16"/>
        <item x="17"/>
        <item x="18"/>
        <item x="19"/>
        <item x="20"/>
        <item x="21"/>
        <item x="22"/>
        <item x="23"/>
        <item x="24"/>
        <item x="25"/>
        <item x="26"/>
        <item x="27"/>
        <item x="28"/>
        <item x="29"/>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4">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x v="48"/>
    </i>
    <i r="1">
      <x v="9"/>
    </i>
    <i r="1">
      <x v="26"/>
    </i>
    <i>
      <x v="49"/>
    </i>
    <i r="1">
      <x v="9"/>
    </i>
    <i r="1">
      <x v="42"/>
    </i>
    <i>
      <x v="50"/>
    </i>
    <i r="1">
      <x v="3"/>
    </i>
    <i r="1">
      <x v="9"/>
    </i>
    <i r="1">
      <x v="40"/>
    </i>
    <i r="1">
      <x v="43"/>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31">
      <pivotArea dataOnly="0" labelOnly="1" outline="0" fieldPosition="0">
        <references count="1">
          <reference field="1" count="1">
            <x v="1"/>
          </reference>
        </references>
      </pivotArea>
    </format>
    <format dxfId="32">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6" firstHeaderRow="0" firstDataRow="1" firstDataCol="1"/>
  <pivotFields count="7">
    <pivotField numFmtId="14" showAll="0"/>
    <pivotField axis="axisRow" showAll="0">
      <items count="39">
        <item x="14"/>
        <item x="16"/>
        <item x="1"/>
        <item x="17"/>
        <item x="10"/>
        <item x="21"/>
        <item x="2"/>
        <item x="6"/>
        <item x="4"/>
        <item x="9"/>
        <item m="1" x="34"/>
        <item m="1" x="35"/>
        <item x="28"/>
        <item x="5"/>
        <item x="15"/>
        <item x="26"/>
        <item x="11"/>
        <item x="22"/>
        <item x="3"/>
        <item x="8"/>
        <item m="1" x="32"/>
        <item x="7"/>
        <item m="1" x="36"/>
        <item x="20"/>
        <item m="1" x="37"/>
        <item m="1" x="33"/>
        <item x="0"/>
        <item x="12"/>
        <item x="13"/>
        <item x="18"/>
        <item x="19"/>
        <item x="23"/>
        <item x="24"/>
        <item x="25"/>
        <item x="27"/>
        <item x="29"/>
        <item x="30"/>
        <item x="31"/>
        <item t="default"/>
      </items>
    </pivotField>
    <pivotField dataField="1" showAll="0"/>
    <pivotField dataField="1" showAll="0"/>
    <pivotField showAll="0"/>
    <pivotField showAll="0"/>
    <pivotField showAll="0"/>
  </pivotFields>
  <rowFields count="1">
    <field x="1"/>
  </rowFields>
  <rowItems count="33">
    <i>
      <x/>
    </i>
    <i>
      <x v="1"/>
    </i>
    <i>
      <x v="2"/>
    </i>
    <i>
      <x v="3"/>
    </i>
    <i>
      <x v="4"/>
    </i>
    <i>
      <x v="5"/>
    </i>
    <i>
      <x v="6"/>
    </i>
    <i>
      <x v="7"/>
    </i>
    <i>
      <x v="8"/>
    </i>
    <i>
      <x v="9"/>
    </i>
    <i>
      <x v="12"/>
    </i>
    <i>
      <x v="13"/>
    </i>
    <i>
      <x v="14"/>
    </i>
    <i>
      <x v="15"/>
    </i>
    <i>
      <x v="16"/>
    </i>
    <i>
      <x v="17"/>
    </i>
    <i>
      <x v="18"/>
    </i>
    <i>
      <x v="19"/>
    </i>
    <i>
      <x v="21"/>
    </i>
    <i>
      <x v="23"/>
    </i>
    <i>
      <x v="26"/>
    </i>
    <i>
      <x v="27"/>
    </i>
    <i>
      <x v="28"/>
    </i>
    <i>
      <x v="29"/>
    </i>
    <i>
      <x v="30"/>
    </i>
    <i>
      <x v="31"/>
    </i>
    <i>
      <x v="32"/>
    </i>
    <i>
      <x v="33"/>
    </i>
    <i>
      <x v="34"/>
    </i>
    <i>
      <x v="35"/>
    </i>
    <i>
      <x v="36"/>
    </i>
    <i>
      <x v="37"/>
    </i>
    <i t="grand">
      <x/>
    </i>
  </rowItems>
  <colFields count="1">
    <field x="-2"/>
  </colFields>
  <colItems count="2">
    <i>
      <x/>
    </i>
    <i i="1">
      <x v="1"/>
    </i>
  </colItems>
  <dataFields count="2">
    <dataField name="Sum of Credit" fld="3" baseField="0" baseItem="0"/>
    <dataField name="Sum of Debit" fld="2" baseField="0" baseItem="0"/>
  </dataFields>
  <formats count="1">
    <format dxfId="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1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6" firstHeaderRow="0" firstDataRow="1" firstDataCol="1" rowPageCount="1" colPageCount="1"/>
  <pivotFields count="9">
    <pivotField axis="axisRow" showAll="0">
      <items count="20">
        <item m="1" x="14"/>
        <item m="1" x="15"/>
        <item m="1" x="16"/>
        <item m="1" x="17"/>
        <item m="1" x="18"/>
        <item m="1" x="13"/>
        <item x="1"/>
        <item x="2"/>
        <item m="1" x="6"/>
        <item m="1" x="7"/>
        <item x="3"/>
        <item m="1" x="8"/>
        <item m="1" x="9"/>
        <item m="1" x="10"/>
        <item m="1" x="11"/>
        <item m="1" x="12"/>
        <item x="0"/>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7">
    <i>
      <x v="6"/>
    </i>
    <i>
      <x v="7"/>
    </i>
    <i>
      <x v="10"/>
    </i>
    <i>
      <x v="16"/>
    </i>
    <i>
      <x v="17"/>
    </i>
    <i>
      <x v="18"/>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0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7"/>
        <item x="8"/>
        <item x="9"/>
        <item x="10"/>
        <item t="default"/>
      </items>
    </pivotField>
    <pivotField showAll="0"/>
    <pivotField showAll="0"/>
    <pivotField axis="axisRow" showAll="0">
      <items count="114">
        <item h="1" m="1" x="96"/>
        <item h="1" m="1" x="97"/>
        <item h="1" m="1" x="95"/>
        <item h="1" m="1" x="94"/>
        <item h="1" m="1" x="98"/>
        <item h="1" m="1" x="100"/>
        <item h="1" m="1" x="99"/>
        <item h="1" m="1" x="101"/>
        <item h="1" m="1" x="102"/>
        <item h="1" m="1" x="103"/>
        <item h="1" m="1" x="104"/>
        <item h="1" m="1" x="105"/>
        <item h="1" m="1" x="106"/>
        <item h="1" m="1" x="107"/>
        <item h="1" x="28"/>
        <item h="1" x="50"/>
        <item h="1" m="1" x="108"/>
        <item h="1" m="1" x="109"/>
        <item h="1" m="1" x="110"/>
        <item h="1" m="1" x="62"/>
        <item h="1" m="1" x="61"/>
        <item h="1" m="1" x="111"/>
        <item h="1" m="1" x="112"/>
        <item h="1" m="1" x="71"/>
        <item h="1" m="1" x="63"/>
        <item h="1" m="1" x="64"/>
        <item h="1" m="1" x="65"/>
        <item h="1" m="1" x="66"/>
        <item h="1" m="1" x="67"/>
        <item h="1" m="1" x="68"/>
        <item h="1" m="1" x="69"/>
        <item h="1" m="1" x="70"/>
        <item h="1" m="1" x="72"/>
        <item h="1" m="1" x="92"/>
        <item h="1" m="1" x="73"/>
        <item h="1" m="1" x="93"/>
        <item h="1" m="1" x="74"/>
        <item h="1" m="1" x="75"/>
        <item h="1" m="1" x="76"/>
        <item h="1" m="1" x="77"/>
        <item h="1" m="1" x="78"/>
        <item h="1" x="2"/>
        <item h="1" m="1" x="79"/>
        <item h="1" m="1" x="80"/>
        <item h="1" m="1" x="81"/>
        <item h="1" m="1" x="82"/>
        <item h="1" m="1" x="83"/>
        <item h="1" m="1" x="84"/>
        <item h="1" m="1" x="85"/>
        <item h="1" m="1" x="86"/>
        <item h="1" m="1" x="87"/>
        <item h="1" m="1" x="88"/>
        <item h="1" m="1" x="89"/>
        <item h="1" m="1" x="90"/>
        <item h="1" m="1" x="91"/>
        <item h="1" x="0"/>
        <item h="1" x="1"/>
        <item h="1" x="3"/>
        <item h="1" x="4"/>
        <item h="1" x="5"/>
        <item h="1" x="6"/>
        <item h="1" x="7"/>
        <item h="1" x="8"/>
        <item h="1" x="9"/>
        <item h="1" x="10"/>
        <item h="1" x="11"/>
        <item h="1" x="12"/>
        <item h="1" x="13"/>
        <item h="1" x="14"/>
        <item h="1" x="15"/>
        <item h="1" x="16"/>
        <item h="1" x="18"/>
        <item h="1" x="17"/>
        <item h="1" x="19"/>
        <item h="1" x="20"/>
        <item h="1" x="21"/>
        <item h="1" x="22"/>
        <item h="1" x="23"/>
        <item h="1" x="24"/>
        <item h="1" x="25"/>
        <item h="1" x="26"/>
        <item h="1" x="27"/>
        <item h="1" x="29"/>
        <item h="1" x="30"/>
        <item h="1" x="31"/>
        <item h="1" x="32"/>
        <item h="1" x="33"/>
        <item h="1" x="34"/>
        <item h="1" x="35"/>
        <item h="1" x="36"/>
        <item h="1" x="37"/>
        <item h="1" x="38"/>
        <item h="1" x="39"/>
        <item h="1" x="40"/>
        <item h="1" x="41"/>
        <item h="1" x="42"/>
        <item h="1" x="43"/>
        <item h="1" x="44"/>
        <item h="1" x="45"/>
        <item h="1" x="46"/>
        <item h="1" x="47"/>
        <item h="1" x="48"/>
        <item h="1" x="49"/>
        <item h="1" x="51"/>
        <item h="1" x="52"/>
        <item h="1" x="53"/>
        <item h="1" x="54"/>
        <item h="1" x="55"/>
        <item h="1" x="56"/>
        <item h="1" x="57"/>
        <item h="1" x="58"/>
        <item h="1" x="59"/>
        <item x="6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
    <i>
      <x v="112"/>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33">
      <pivotArea type="all" dataOnly="0" outline="0" fieldPosition="0"/>
    </format>
    <format dxfId="34">
      <pivotArea outline="0" collapsedLevelsAreSubtotals="1" fieldPosition="0"/>
    </format>
    <format dxfId="35">
      <pivotArea field="4" type="button" dataOnly="0" labelOnly="1" outline="0" axis="axisRow" fieldPosition="0"/>
    </format>
    <format dxfId="36">
      <pivotArea dataOnly="0" labelOnly="1" fieldPosition="0">
        <references count="1">
          <reference field="4" count="0"/>
        </references>
      </pivotArea>
    </format>
    <format dxfId="37">
      <pivotArea dataOnly="0" labelOnly="1" grandRow="1" outline="0" fieldPosition="0"/>
    </format>
    <format dxfId="38">
      <pivotArea dataOnly="0" labelOnly="1" outline="0" fieldPosition="0">
        <references count="1">
          <reference field="4294967294" count="2">
            <x v="0"/>
            <x v="1"/>
          </reference>
        </references>
      </pivotArea>
    </format>
    <format dxfId="39">
      <pivotArea grandRow="1" outline="0" collapsedLevelsAreSubtotals="1" fieldPosition="0"/>
    </format>
    <format dxfId="40">
      <pivotArea field="4" type="button" dataOnly="0" labelOnly="1" outline="0" axis="axisRow" fieldPosition="0"/>
    </format>
    <format dxfId="4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13">
        <i x="21"/>
        <i x="1"/>
        <i x="6"/>
        <i x="2"/>
        <i x="18"/>
        <i x="45"/>
        <i x="4"/>
        <i x="12"/>
        <i x="8"/>
        <i x="10"/>
        <i x="3"/>
        <i x="7"/>
        <i x="5"/>
        <i x="15"/>
        <i x="11"/>
        <i x="13"/>
        <i x="16"/>
        <i x="25"/>
        <i x="14"/>
        <i x="24"/>
        <i x="29"/>
        <i x="23"/>
        <i x="26"/>
        <i x="36"/>
        <i x="22"/>
        <i x="19"/>
        <i x="20"/>
        <i x="35"/>
        <i x="28"/>
        <i x="39"/>
        <i x="34"/>
        <i x="27"/>
        <i x="51"/>
        <i x="32"/>
        <i x="42"/>
        <i x="40"/>
        <i x="30"/>
        <i x="38"/>
        <i x="37"/>
        <i x="33"/>
        <i x="43"/>
        <i x="41"/>
        <i x="44"/>
        <i x="31"/>
        <i x="46"/>
        <i x="47"/>
        <i x="54"/>
        <i x="48"/>
        <i x="49"/>
        <i x="57"/>
        <i x="56"/>
        <i x="50"/>
        <i x="53"/>
        <i x="52"/>
        <i x="59"/>
        <i x="58"/>
        <i x="60" s="1"/>
        <i x="17"/>
        <i x="55"/>
        <i x="9"/>
        <i x="67" nd="1"/>
        <i x="96" nd="1"/>
        <i x="97" nd="1"/>
        <i x="105" nd="1"/>
        <i x="95" nd="1"/>
        <i x="94" nd="1"/>
        <i x="98" nd="1"/>
        <i x="109" nd="1"/>
        <i x="101" nd="1"/>
        <i x="102" nd="1"/>
        <i x="99" nd="1"/>
        <i x="100" nd="1"/>
        <i x="110" nd="1"/>
        <i x="103" nd="1"/>
        <i x="104" nd="1"/>
        <i x="107" nd="1"/>
        <i x="108" nd="1"/>
        <i x="106" nd="1"/>
        <i x="62" nd="1"/>
        <i x="112" nd="1"/>
        <i x="61" nd="1"/>
        <i x="111" nd="1"/>
        <i x="64" nd="1"/>
        <i x="63" nd="1"/>
        <i x="65" nd="1"/>
        <i x="71" nd="1"/>
        <i x="66" nd="1"/>
        <i x="68" nd="1"/>
        <i x="84" nd="1"/>
        <i x="72" nd="1"/>
        <i x="78" nd="1"/>
        <i x="73" nd="1"/>
        <i x="76" nd="1"/>
        <i x="81" nd="1"/>
        <i x="92" nd="1"/>
        <i x="74" nd="1"/>
        <i x="86" nd="1"/>
        <i x="89" nd="1"/>
        <i x="80" nd="1"/>
        <i x="69" nd="1"/>
        <i x="77" nd="1"/>
        <i x="70" nd="1"/>
        <i x="75" nd="1"/>
        <i x="79" nd="1"/>
        <i x="85" nd="1"/>
        <i x="82" nd="1"/>
        <i x="87" nd="1"/>
        <i x="83" nd="1"/>
        <i x="88" nd="1"/>
        <i x="90" nd="1"/>
        <i x="91" nd="1"/>
        <i x="93" nd="1"/>
        <i x="0"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startItem="2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12" columnCount="3" rowHeight="180000"/>
  <slicer name="Date 1" xr10:uid="{8E7BDD3C-DB8C-4BD4-9ACC-14DA5E7A745C}" cache="Slicer_Date1" caption="Date" startItem="26"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5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67">
      <calculatedColumnFormula>B26</calculatedColumnFormula>
    </tableColumn>
    <tableColumn id="2" xr3:uid="{7EDCC2ED-0339-42B3-9633-FFEA7A3DD9F3}" name="Tiyaar" dataDxfId="166">
      <calculatedColumnFormula>SUMIFS(ledger!G:G, ledger!B:B, B4, ledger!E:E, "&lt;&gt;*RD*") / 1.0936</calculatedColumnFormula>
    </tableColumn>
    <tableColumn id="3" xr3:uid="{CC1535DD-3FE7-4F55-8040-E7643388A78E}" name="Rate"/>
    <tableColumn id="4" xr3:uid="{059CB70B-ADAD-4985-84AA-0D530BAC5567}" name="Total" dataDxfId="165">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64" dataDxfId="163">
  <autoFilter ref="B7:E20" xr:uid="{449E5D32-DF9C-4018-96AB-CA98E118D910}"/>
  <tableColumns count="4">
    <tableColumn id="1" xr3:uid="{F663704C-91DD-4BB9-B7EB-EEB0C5EDED6C}" name="Description" dataDxfId="162"/>
    <tableColumn id="2" xr3:uid="{6D94D495-CD0B-4FD3-9771-81D731982A97}" name="Rate" dataDxfId="161" dataCellStyle="Comma"/>
    <tableColumn id="3" xr3:uid="{2D14CEAD-3602-40E7-A488-3584EBC9141E}" name="gazana" dataDxfId="160" dataCellStyle="Comma"/>
    <tableColumn id="4" xr3:uid="{06FEE63C-6480-4079-8426-51BC26B38B34}" name="sum" dataDxfId="159"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58" totalsRowDxfId="157"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56" dataDxfId="155" headerRowCellStyle="Comma" dataCellStyle="Comma">
  <autoFilter ref="B2:C5" xr:uid="{136E8F7F-D03F-4198-8335-91A003EA9E45}"/>
  <tableColumns count="2">
    <tableColumn id="1" xr3:uid="{279FA697-9952-479A-AC05-0D4992B41374}" name="Column1" dataDxfId="154" dataCellStyle="Comma"/>
    <tableColumn id="2" xr3:uid="{8A64998B-65EF-41CD-BCB0-3DDB7B359C54}" name="Column2" dataDxfId="153"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52"/>
    <tableColumn id="2" xr3:uid="{51D27FA2-8DDF-4369-BAF7-7D1FE90E16A0}" name="Column2" dataDxfId="15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50" totalsRowDxfId="149"/>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48">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32" totalsRowCount="1" headerRowDxfId="147" dataDxfId="146" headerRowCellStyle="Comma" dataCellStyle="Comma">
  <autoFilter ref="A1:K131" xr:uid="{11DACEC6-751B-4B1D-817F-5C5BCD38EF6D}">
    <filterColumn colId="4">
      <filters>
        <filter val="1,716"/>
      </filters>
    </filterColumn>
  </autoFilter>
  <tableColumns count="11">
    <tableColumn id="1" xr3:uid="{2FCE3FA8-A48C-4685-8919-AE44C6C71FD9}" name="Date" dataDxfId="60" dataCellStyle="Comma"/>
    <tableColumn id="2" xr3:uid="{5780FD5F-0890-44E6-B59C-8E37A559FE36}" name="Party Name" dataDxfId="59" dataCellStyle="Comma"/>
    <tableColumn id="3" xr3:uid="{5B3ECD85-9174-40AC-BFBD-49CAC97A83D3}" name="Bill Number" dataDxfId="58" dataCellStyle="Comma"/>
    <tableColumn id="4" xr3:uid="{11B50761-04B6-4262-AD4D-7182450037D1}" name="Quality" dataDxfId="57" dataCellStyle="Comma"/>
    <tableColumn id="5" xr3:uid="{2C556969-B713-4967-BD24-466AACCBE5F5}" name="Shipment Number" dataDxfId="56" totalsRowDxfId="55" dataCellStyle="Comma"/>
    <tableColumn id="6" xr3:uid="{F4E1FD2B-9017-4DEB-B772-BF447ECE56F7}" name="Kora/metre" dataDxfId="54" totalsRowDxfId="53" dataCellStyle="Comma"/>
    <tableColumn id="7" xr3:uid="{52ACC1DA-7A76-4A90-B809-3A1AE728E7EA}" name="Tiyaar/gaz" dataDxfId="52" totalsRowDxfId="51" dataCellStyle="Comma"/>
    <tableColumn id="8" xr3:uid="{31A0FF5E-56F0-44D1-9865-73256B964660}" name="shortage %" dataDxfId="50" totalsRowDxfId="49" dataCellStyle="Comma">
      <calculatedColumnFormula>_xlfn.XLOOKUP(Table1[[#This Row],[Shipment Number]], 'pivot '!A:A,'pivot '!G:G, "NF")</calculatedColumnFormula>
    </tableColumn>
    <tableColumn id="9" xr3:uid="{F99075E0-AC8E-094D-BB85-272AD2C6C568}" name="tiyar/meters" totalsRowFunction="custom" dataDxfId="48" totalsRowDxfId="47"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46" totalsRowDxfId="45"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44" totalsRowDxfId="43"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5" totalsRowCount="1" headerRowDxfId="145" headerRowBorderDxfId="144" tableBorderDxfId="143">
  <autoFilter ref="A1:I64" xr:uid="{F8E8C957-ABE7-4E4F-8D4E-7D44E26B334F}"/>
  <tableColumns count="9">
    <tableColumn id="1" xr3:uid="{C2E817D6-AB98-4DDD-8890-736B27F261CD}" name="Date" totalsRowLabel="." dataDxfId="142" totalsRowDxfId="141"/>
    <tableColumn id="2" xr3:uid="{CFB51890-CCDC-463C-81C9-3F8BD7469CB9}" name="Party Name"/>
    <tableColumn id="3" xr3:uid="{A113D971-1C9D-4733-99C4-BD0CC4333209}" name="Vehicle Number"/>
    <tableColumn id="4" xr3:uid="{49780304-3DD1-4AE9-98EE-2BC7EB8F3B57}" name="Weight" dataDxfId="140" totalsRowDxfId="139" dataCellStyle="Comma"/>
    <tableColumn id="5" xr3:uid="{FCAF1BC6-1D8C-42AD-8BBC-F924BF2DC7FE}" name="Rate" dataDxfId="138" totalsRowDxfId="137" dataCellStyle="Comma"/>
    <tableColumn id="6" xr3:uid="{8C70A624-4134-410C-9C45-9FDEB51D51BF}" name="Rent" dataDxfId="136" totalsRowDxfId="135" dataCellStyle="Comma"/>
    <tableColumn id="7" xr3:uid="{EBCE10AE-9634-4982-9C95-37ABC8A7078C}" name="Total" totalsRowFunction="sum" dataDxfId="134" totalsRowDxfId="133" dataCellStyle="Comma">
      <calculatedColumnFormula>D2*E2</calculatedColumnFormula>
    </tableColumn>
    <tableColumn id="9" xr3:uid="{D4788559-C94A-44D9-B9AE-E72B214355AC}" name="Paid" totalsRowFunction="sum" dataDxfId="132" totalsRowDxfId="131" dataCellStyle="Comma"/>
    <tableColumn id="8" xr3:uid="{E26F5BF0-1875-4FC6-994D-49F202ED562B}" name="balance" totalsRowFunction="sum" dataDxfId="130" totalsRowDxfId="129"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06" totalsRowCount="1">
  <autoFilter ref="A1:G405" xr:uid="{CB032221-B416-47A8-9A76-693DE76CFD04}"/>
  <tableColumns count="7">
    <tableColumn id="1" xr3:uid="{554B1EED-65B6-4E9A-B646-82727FAC40DE}" name="Date" dataDxfId="128" totalsRowDxfId="127"/>
    <tableColumn id="2" xr3:uid="{32259059-42CF-4947-83DE-115AA430BE2B}" name="Party"/>
    <tableColumn id="3" xr3:uid="{A1320223-D55D-483C-91C3-AB19B95CC9D8}" name="Debit" totalsRowFunction="sum" dataDxfId="126" totalsRowDxfId="125" dataCellStyle="Comma"/>
    <tableColumn id="4" xr3:uid="{E9745767-9FF0-4B1C-9052-FF335D1D7588}" name="Credit" totalsRowFunction="sum" dataDxfId="124" totalsRowDxfId="123" dataCellStyle="Comma"/>
    <tableColumn id="5" xr3:uid="{5C88A48E-2467-4E6D-B626-2442B7FD0BE4}" name="Description"/>
    <tableColumn id="6" xr3:uid="{63CA4666-144E-4BE6-8B7C-7CB992BD3041}" name="Mode" totalsRowFunction="custom" dataDxfId="122" totalsRowDxfId="121">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20" tableBorderDxfId="119" totalsRowBorderDxfId="118">
  <autoFilter ref="J3:K6" xr:uid="{DCE01694-23ED-48BF-8B92-4186B9ED10A8}"/>
  <tableColumns count="2">
    <tableColumn id="1" xr3:uid="{C8484DAF-2989-4C2F-9AEC-A6917E1C57F6}" name="Type" dataDxfId="117"/>
    <tableColumn id="2" xr3:uid="{B07B7A2A-4D4E-4654-BED6-FE2F0A7BEC34}" name="Amount" dataDxfId="11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Q8:S12" totalsRowCount="1" headerRowDxfId="115" headerRowBorderDxfId="114" tableBorderDxfId="113" totalsRowBorderDxfId="112">
  <autoFilter ref="Q8:S11" xr:uid="{D166BDD1-ACD7-45D7-8AE9-7350373F8CEB}"/>
  <tableColumns count="3">
    <tableColumn id="1" xr3:uid="{64F0205E-DEA7-4571-BA86-E4374A5FEE28}" name="Type" totalsRowLabel="Total" dataDxfId="111" totalsRowDxfId="110"/>
    <tableColumn id="2" xr3:uid="{15FA05F9-789C-4459-9BE0-5C1EC84D3365}" name="amount" totalsRowFunction="custom" dataDxfId="109" totalsRowDxfId="108">
      <totalsRowFormula>SUM(R10:R11)</totalsRowFormula>
    </tableColumn>
    <tableColumn id="3" xr3:uid="{3681D409-90C6-44D0-BDE2-4B5943A516F0}" name="Actual" totalsRowFunction="custom" totalsRowDxfId="107">
      <totalsRowFormula>SUM(S10,S11)</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106" totalsRowDxfId="105"/>
    <tableColumn id="2" xr3:uid="{5B9D0FEE-4304-4C5C-A05C-5B27CF7841D3}" name="Type"/>
    <tableColumn id="3" xr3:uid="{6A91CA0D-C802-4C6F-9F39-CA53687E8EDE}" name="Description"/>
    <tableColumn id="4" xr3:uid="{A251D40C-AB87-4BB4-85F8-444B20E32FDF}" name="Total" totalsRowFunction="custom" dataDxfId="104" totalsRowDxfId="103"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0" totalsRowCount="1" headerRowDxfId="102" headerRowBorderDxfId="101">
  <autoFilter ref="A1:I29"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100"/>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99">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599A060-6BAD-4719-9931-D7846CA1FC4E}" name="Table24" displayName="Table24" ref="A33:E56" totalsRowCount="1">
  <autoFilter ref="A33:E55" xr:uid="{A599A060-6BAD-4719-9931-D7846CA1FC4E}"/>
  <tableColumns count="5">
    <tableColumn id="1" xr3:uid="{83BA8766-5435-424A-B27A-12E9F00386D3}" name="Stock"/>
    <tableColumn id="2" xr3:uid="{9AD10EF3-F789-4287-892F-5B74C04B30EB}" name="boxes"/>
    <tableColumn id="3" xr3:uid="{60601B55-3CD9-4C76-833C-400CEC764F03}" name="kgs">
      <calculatedColumnFormula>B34*25</calculatedColumnFormula>
    </tableColumn>
    <tableColumn id="4" xr3:uid="{B3BF45AC-D0F4-424C-BD28-18A9E7027C0F}" name="Rate"/>
    <tableColumn id="5" xr3:uid="{D9CF2063-F25F-4C05-8CED-701EC54D79FC}" name="total" totalsRowFunction="custom">
      <calculatedColumnFormula>D34*C34</calculatedColumnFormula>
      <totalsRowFormula>SUM(Table24[total])</totalsRow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98" headerRowBorderDxfId="97">
  <autoFilter ref="A4:H15" xr:uid="{A4C80688-A8BA-4BA7-90B4-791CD99446B4}"/>
  <sortState xmlns:xlrd2="http://schemas.microsoft.com/office/spreadsheetml/2017/richdata2" ref="A5:H5">
    <sortCondition ref="A4:A5"/>
  </sortState>
  <tableColumns count="8">
    <tableColumn id="1" xr3:uid="{4A818912-918E-4111-ACFC-BC93FEF7C1AD}" name="Date" dataDxfId="96" totalsRowDxfId="95"/>
    <tableColumn id="8" xr3:uid="{477ACFD5-62AF-4F69-974B-E9B974C11D7D}" name="Party Name" dataDxfId="94"/>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93">
      <calculatedColumnFormula>SUMIFS(Table14[Debit], Table14[Date], Table2[[#This Row],[Date]], Table14[Party], Table2[[#This Row],[Party Name]])</calculatedColumnFormula>
    </tableColumn>
    <tableColumn id="7" xr3:uid="{BB689DF2-5D1E-436D-84C4-9745D88E8F3D}" name="Balance" totalsRowFunction="sum" dataDxfId="92">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91" totalsRowDxfId="90"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89" totalsRowDxfId="88"/>
    <tableColumn id="2" xr3:uid="{053BFC14-4828-417C-9F9F-95B6E232A945}" name="Amount" totalsRowFunction="custom" dataDxfId="87" totalsRowDxfId="86"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85" totalsRowDxfId="84"/>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83" totalsRowDxfId="82"/>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81" totalsRowDxfId="80"/>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79">
      <calculatedColumnFormula>Billing!O5</calculatedColumnFormula>
    </tableColumn>
    <tableColumn id="2" xr3:uid="{7093A59E-B58F-487D-888A-9AA8156B5F9A}" name="Amount Paid" dataDxfId="78">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N1" zoomScale="126" workbookViewId="0">
      <selection activeCell="O15" sqref="O15"/>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55468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670982.07754206297</v>
      </c>
      <c r="D4">
        <v>10</v>
      </c>
      <c r="E4" s="14">
        <f>(SUMIFS(ledger!G:G, ledger!B:B, B4, ledger!E:E, "&lt;&gt;*RD*",ledger!D:D, "Silky") / 1.0936)*12 + (SUMIFS(ledger!G:G, ledger!B:B, B4, ledger!E:E, "&lt;&gt;*RD*",ledger!D:D, "Chamki") / 1.0936)*10</f>
        <v>6669548.2809070963</v>
      </c>
      <c r="I4" s="4" t="s">
        <v>9</v>
      </c>
      <c r="J4" s="5">
        <v>67143.379663496715</v>
      </c>
      <c r="K4" s="18">
        <v>671433.79663496721</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670982.07754206297</v>
      </c>
      <c r="K5" s="18">
        <v>6669548.2809070963</v>
      </c>
      <c r="O5" s="25" t="str" cm="1">
        <f t="array" ref="O5:O16">_xlfn.UNIQUE(Table1[Party Name])</f>
        <v>BSC</v>
      </c>
      <c r="P5" s="23" cm="1">
        <f t="array" ref="P5">_xlfn.BYROW(B26,_xlfn.LAMBDA(_xlpm.party,SUMIFS(ledger!G:G,ledger!B:B,_xlpm.party,ledger!E:E,"&lt;&gt;*RD*")))+_xlfn.IFNA(C44,0)</f>
        <v>1186829</v>
      </c>
      <c r="Q5" s="23" cm="1">
        <f t="array" ref="Q5">_xlfn.BYROW(B26, _xlfn.LAMBDA(_xlpm.party, SUMIFS(ledger!G:G, ledger!B:B, _xlpm.party, ledger!E:E, "&lt;&gt;*RD*") / 1.0936 ))+_xlfn.IFNA(D44,0)</f>
        <v>1085249.6342355525</v>
      </c>
      <c r="R5" s="23" cm="1">
        <f t="array" ref="R5">(_xlfn.BYROW(B26,_xlfn.LAMBDA(_xlpm.party,SUMIFS(ledger!G:G,ledger!B:B,_xlpm.party,ledger!E:E,"&lt;&gt;*RD*",ledger!D:D,"Chamki")+SUMIFS(ledger!G:G, ledger!B:B, _xlpm.party, ledger!E:E, "&lt;&gt;*RD*", ledger!D:D, "Crinkle")))/1.0936)+_xlfn.IFNA(E44,0)</f>
        <v>1070697.6956839797</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10706976.956839796</v>
      </c>
      <c r="U5" s="23" cm="1">
        <f t="array" ref="U5">(_xlfn.BYROW(B26,_xlfn.LAMBDA(_xlpm.party,SUMIFS(ledger!G:G,ledger!B:B,_xlpm.party,ledger!E:E,"&lt;&gt;*RD*",ledger!D:D, "Silky")/1.0936))* 12)+_xlfn.IFNA(H44,0)</f>
        <v>174623.26261887344</v>
      </c>
      <c r="V5" s="44">
        <f>T5+U5</f>
        <v>10881600.219458669</v>
      </c>
      <c r="W5" s="23">
        <f>(SUMIF(Table14[Party],O5,Table14[Credit]))+_xlfn.IFNA(J44,0)</f>
        <v>7158783</v>
      </c>
      <c r="X5" s="98">
        <f>V5-W5</f>
        <v>3722817.2194586694</v>
      </c>
      <c r="Y5" s="22">
        <v>10</v>
      </c>
      <c r="Z5" s="22">
        <v>12</v>
      </c>
    </row>
    <row r="6" spans="2:26" x14ac:dyDescent="0.3">
      <c r="B6" t="str">
        <f t="shared" si="0"/>
        <v>Arshad</v>
      </c>
      <c r="C6" s="18">
        <f>SUMIFS(ledger!G:G, ledger!B:B, B6, ledger!E:E, "&lt;&gt;*RD*") / 1.0936</f>
        <v>67143.379663496715</v>
      </c>
      <c r="D6">
        <v>10</v>
      </c>
      <c r="E6" s="14">
        <f>(SUMIFS(ledger!G:G, ledger!B:B, B6, ledger!E:E, "&lt;&gt;*RD*",ledger!D:D, "Silky") / 1.0936)*12 + (SUMIFS(ledger!G:G, ledger!B:B, B6, ledger!E:E, "&lt;&gt;*RD*",ledger!D:D, "Chamki") / 1.0936)*10</f>
        <v>671433.79663496721</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26294.806144842725</v>
      </c>
      <c r="D7">
        <v>10.5</v>
      </c>
      <c r="E7" s="14">
        <f>(SUMIFS(ledger!G:G, ledger!B:B, B7, ledger!E:E, "&lt;&gt;*RD*",ledger!D:D, "Silky") / 1.0936)*12 + (SUMIFS(ledger!G:G, ledger!B:B, B7, ledger!E:E, "&lt;&gt;*RD*",ledger!D:D, "Chamki") / 1.0936)*10.5</f>
        <v>276095.46452084859</v>
      </c>
      <c r="I7" s="4" t="s">
        <v>23</v>
      </c>
      <c r="J7" s="5">
        <v>26294.806144842725</v>
      </c>
      <c r="K7" s="18">
        <v>276095.46452084859</v>
      </c>
      <c r="O7" s="25" t="str">
        <v>Arshad</v>
      </c>
      <c r="P7" s="23" cm="1">
        <f t="array" ref="P7">_xlfn.BYROW(B28,_xlfn.LAMBDA(_xlpm.party,SUMIFS(ledger!G:G,ledger!B:B,_xlpm.party,ledger!E:E,"&lt;&gt;*RD*")))+_xlfn.IFNA(C46,0)</f>
        <v>157108</v>
      </c>
      <c r="Q7" s="23" cm="1">
        <f t="array" ref="Q7">_xlfn.BYROW(B28, _xlfn.LAMBDA(_xlpm.party, SUMIFS(ledger!G:G, ledger!B:B, _xlpm.party, ledger!E:E, "&lt;&gt;*RD*") / 1.0936 ))+_xlfn.IFNA(D46,0)</f>
        <v>143661.30212143381</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0</v>
      </c>
      <c r="V7" s="44">
        <f t="shared" si="1"/>
        <v>1436613.021214338</v>
      </c>
      <c r="W7" s="23">
        <f>(SUMIF(Table14[Party],O7,Table14[Credit]))+_xlfn.IFNA(J46,0)</f>
        <v>754210</v>
      </c>
      <c r="X7" s="98">
        <f>V7-W7</f>
        <v>682403.02121433802</v>
      </c>
      <c r="Y7" s="22">
        <v>10</v>
      </c>
      <c r="Z7" s="22">
        <v>12</v>
      </c>
    </row>
    <row r="8" spans="2:26" x14ac:dyDescent="0.3">
      <c r="B8" t="str">
        <f t="shared" si="0"/>
        <v>Sufi Nawaz Sahab</v>
      </c>
      <c r="C8" s="18">
        <f>SUMIFS(ledger!G:G, ledger!B:B, B8, ledger!E:E, "&lt;&gt;*RD*") / 1.0936</f>
        <v>437841.98975859547</v>
      </c>
      <c r="D8">
        <v>10</v>
      </c>
      <c r="E8" s="14">
        <f>((SUMIFS(ledger!G:G, ledger!B:B, B8, ledger!E:E, "&lt;&gt;*RD*",ledger!D:D, "Silky") / 1.0936) *12) + ((SUMIFS(ledger!G:G, ledger!B:B, B8, ledger!E:E, "&lt;&gt;*RD*",ledger!D:D, "Chamki") / 1.0936)* 9)</f>
        <v>4534081.9312362839</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8">
        <f t="shared" ref="X8:X17" si="2">V8-W8</f>
        <v>155.50863204104826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437841.98975859547</v>
      </c>
      <c r="K9" s="18">
        <v>4534081.9312362839</v>
      </c>
      <c r="O9" s="25" t="str">
        <v>Sufi Nawaz Sahab</v>
      </c>
      <c r="P9" s="23" cm="1">
        <f t="array" ref="P9">_xlfn.BYROW(B30,_xlfn.LAMBDA(_xlpm.party,SUMIFS(ledger!G:G,ledger!B:B,_xlpm.party,ledger!E:E,"&lt;&gt;*RD*")))+_xlfn.IFNA(C48,0)</f>
        <v>631359</v>
      </c>
      <c r="Q9" s="23" cm="1">
        <f t="array" ref="Q9">_xlfn.BYROW(B30, _xlfn.LAMBDA(_xlpm.party, SUMIFS(ledger!G:G, ledger!B:B, _xlpm.party, ledger!E:E, "&lt;&gt;*RD*") / 1.0936 ))+_xlfn.IFNA(D48,0)</f>
        <v>577321.68983174837</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217917.88588149232</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2615014.6305779079</v>
      </c>
      <c r="V9" s="44">
        <f t="shared" si="1"/>
        <v>5849648.8661302123</v>
      </c>
      <c r="W9" s="23">
        <f>(SUMIF(Table14[Party],O9,Table14[Credit]))+_xlfn.IFNA(J48,0)</f>
        <v>4079100</v>
      </c>
      <c r="X9" s="98">
        <f t="shared" si="2"/>
        <v>1770548.8661302123</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8">
        <f t="shared" si="2"/>
        <v>210570.59253840521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26105.523043160207</v>
      </c>
      <c r="E14" s="14">
        <f>(SUMIFS(ledger!G:G, ledger!B:B, B14, ledger!E:E, "&lt;&gt;*RD*",ledger!D:D, "Silky") / 1.0936)*12 + (SUMIFS(ledger!G:G, ledger!B:B, B14, ledger!E:E, "&lt;&gt;*RD*",ledger!D:D, "Chamki") / 1.0936)*10</f>
        <v>261055.23043160207</v>
      </c>
      <c r="I14" s="4" t="s">
        <v>263</v>
      </c>
      <c r="J14" s="5">
        <v>21310.35113386979</v>
      </c>
      <c r="K14" s="18">
        <v>213103.51133869789</v>
      </c>
      <c r="O14" s="114"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324</v>
      </c>
      <c r="J15" s="5">
        <v>26105.523043160207</v>
      </c>
      <c r="K15" s="18">
        <v>261055.23043160207</v>
      </c>
      <c r="O15" s="114" t="str">
        <v>Azam</v>
      </c>
      <c r="P15" s="23" cm="1">
        <f t="array" ref="P15">_xlfn.BYROW(B36,_xlfn.LAMBDA(_xlpm.party,SUMIFS(ledger!G:G,ledger!B:B,_xlpm.party,ledger!E:E,"&lt;&gt;*RD*")))+_xlfn.IFNA(C54,0)</f>
        <v>28549</v>
      </c>
      <c r="Q15" s="23" cm="1">
        <f t="array" ref="Q15">_xlfn.BYROW(B36, _xlfn.LAMBDA(_xlpm.party, SUMIFS(ledger!G:G, ledger!B:B, _xlpm.party, ledger!E:E, "&lt;&gt;*RD*") / 1.0936 ))+_xlfn.IFNA(D54,0)</f>
        <v>26105.523043160207</v>
      </c>
      <c r="R15" s="23" cm="1">
        <f t="array" ref="R15">(_xlfn.BYROW(B36,_xlfn.LAMBDA(_xlpm.party,SUMIFS(ledger!G:G,ledger!B:B,_xlpm.party,ledger!E:E,"&lt;&gt;*RD*",ledger!D:D,"Chamki")+SUMIFS(ledger!G:G, ledger!B:B, _xlpm.party, ledger!E:E, "&lt;&gt;*RD*", ledger!D:D, "Crinkle")))/1.0936)+_xlfn.IFNA(E54,0)</f>
        <v>26105.523043160207</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261055.23043160207</v>
      </c>
      <c r="U15" s="23" cm="1">
        <f t="array" ref="U15">(_xlfn.BYROW(B36,_xlfn.LAMBDA(_xlpm.party,SUMIFS(ledger!G:G,ledger!B:B,_xlpm.party,ledger!E:E,"&lt;&gt;*RD*",ledger!D:D, "Silky")/1.0936))* 12)+_xlfn.IFNA(H54,0)</f>
        <v>0</v>
      </c>
      <c r="V15" s="44">
        <f t="shared" si="4"/>
        <v>261055.23043160207</v>
      </c>
      <c r="W15" s="23">
        <f>(SUMIF(Table14[Party],O15,Table14[Credit]))+_xlfn.IFNA(J54,0)</f>
        <v>200000</v>
      </c>
      <c r="X15" s="42">
        <f t="shared" si="2"/>
        <v>61055.230431602075</v>
      </c>
      <c r="Y15" s="22">
        <v>10</v>
      </c>
      <c r="Z15" s="22">
        <v>12</v>
      </c>
    </row>
    <row r="16" spans="2:26" x14ac:dyDescent="0.3">
      <c r="B16" s="45" t="s">
        <v>29</v>
      </c>
      <c r="C16" s="46">
        <f>SUM(G26:G38)+SUM(H26:H38)</f>
        <v>14463824.067300659</v>
      </c>
      <c r="D16" t="s">
        <v>30</v>
      </c>
      <c r="I16" s="4" t="s">
        <v>28</v>
      </c>
      <c r="J16" s="14">
        <v>1422329.0051207021</v>
      </c>
      <c r="K16" s="14">
        <v>14351826.99341624</v>
      </c>
      <c r="O16" s="25">
        <v>0</v>
      </c>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14463824.067300659</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7">_xlfn.UNIQUE(Table1[Party Name])</f>
        <v>BSC</v>
      </c>
      <c r="C26" s="23" cm="1">
        <f t="array" ref="C26:C37">_xlfn.BYROW(_xlfn.ANCHORARRAY(B26),_xlfn.LAMBDA(_xlpm.party,SUMIFS(ledger!G:G,ledger!B:B,_xlpm.party,ledger!E:E,"&lt;&gt;*RD*")))</f>
        <v>733786</v>
      </c>
      <c r="D26" s="23" cm="1">
        <f t="array" ref="D26:D37">_xlfn.BYROW(_xlfn.ANCHORARRAY(B26), _xlfn.LAMBDA(_xlpm.party, SUMIFS(ledger!G:G, ledger!B:B, _xlpm.party, ledger!E:E, "&lt;&gt;*RD*") / 1.0936 ))</f>
        <v>670982.07754206297</v>
      </c>
      <c r="E26" s="71" cm="1">
        <f t="array" ref="E26:E37">(_xlfn.BYROW(_xlfn.ANCHORARRAY(B26),_xlfn.LAMBDA(_xlpm.party,SUMIFS(ledger!G:G,ledger!B:B,_xlpm.party,ledger!E:E,"&lt;&gt;*RD*",ledger!D:D,"Chamki")+SUMIFS(ledger!G:G, ledger!B:B, _xlpm.party, ledger!E:E, "&lt;&gt;*RD*", ledger!D:D, "Crinkle")))/1.0936)</f>
        <v>656430.13899049023</v>
      </c>
      <c r="F26" s="78" cm="1">
        <f t="array" ref="F26:F37">(_xlfn.BYROW(_xlfn.ANCHORARRAY(B26),_xlfn.LAMBDA(_xlpm.party,SUMIFS(ledger!G:G,ledger!B:B,_xlpm.party,ledger!E:E,"&lt;&gt;*RD*",ledger!D:D,"Silky")))/1.0936)</f>
        <v>14551.938551572788</v>
      </c>
      <c r="G26" s="23" cm="1">
        <f t="array" ref="G26">(_xlfn.BYROW(B26,_xlfn.LAMBDA(_xlpm.party,(SUMIFS(ledger!G:G,ledger!B:B,_xlpm.party,ledger!E:E,"&lt;&gt;*RD*",ledger!D:D, "Chamki")+SUMIFS(ledger!G:G, ledger!B:B, _xlpm.party, ledger!E:E, "&lt;&gt;*RD*", ledger!D:D, "Crinkle"))/1.0936))*L26)</f>
        <v>6564301.3899049023</v>
      </c>
      <c r="H26" s="23" cm="1">
        <f t="array" ref="H26">(_xlfn.BYROW(B26,_xlfn.LAMBDA(_xlpm.party,SUMIFS(ledger!G:G,ledger!B:B,_xlpm.party,ledger!E:E,"&lt;&gt;*RD*",ledger!D:D, "Silky")/1.0936))* M26)</f>
        <v>174623.26261887344</v>
      </c>
      <c r="I26" s="44">
        <f t="shared" ref="I26:I34" si="7">G26+H26</f>
        <v>6738924.6525237756</v>
      </c>
      <c r="J26" s="23">
        <f>(SUMIF(Table14[Party],B26,Table14[Credit]))</f>
        <v>3329945</v>
      </c>
      <c r="K26" s="42">
        <f>I26-J26</f>
        <v>3408979.6525237756</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73428</v>
      </c>
      <c r="D28" s="23">
        <v>67143.379663496715</v>
      </c>
      <c r="E28" s="71">
        <v>67143.379663496715</v>
      </c>
      <c r="F28" s="78">
        <v>0</v>
      </c>
      <c r="G28" s="23" cm="1">
        <f t="array" ref="G28">(_xlfn.BYROW(B28,_xlfn.LAMBDA(_xlpm.party,(SUMIFS(ledger!G:G,ledger!B:B,_xlpm.party,ledger!E:E,"&lt;&gt;*RD*",ledger!D:D, "Chamki")+SUMIFS(ledger!G:G, ledger!B:B, _xlpm.party, ledger!E:E, "&lt;&gt;*RD*", ledger!D:D, "Crinkle"))/1.0936))*L28)</f>
        <v>671433.79663496721</v>
      </c>
      <c r="H28" s="23" cm="1">
        <f t="array" ref="H28">(_xlfn.BYROW(B28,_xlfn.LAMBDA(_xlpm.party,SUMIFS(ledger!G:G,ledger!B:B,_xlpm.party,ledger!E:E,"&lt;&gt;*RD*",ledger!D:D, "Silky")/1.0936))* M28)</f>
        <v>0</v>
      </c>
      <c r="I28" s="44">
        <f t="shared" si="7"/>
        <v>671433.79663496721</v>
      </c>
      <c r="J28" s="23">
        <f>(SUMIF(Table14[Party],B28,Table14[Credit]))</f>
        <v>654210</v>
      </c>
      <c r="K28" s="42">
        <f>I28-J28</f>
        <v>17223.796634967206</v>
      </c>
      <c r="L28" s="22">
        <v>10</v>
      </c>
      <c r="M28" s="22">
        <v>12</v>
      </c>
    </row>
    <row r="29" spans="1:26" x14ac:dyDescent="0.3">
      <c r="B29" s="25" t="str">
        <v>Shehzad Kamoki</v>
      </c>
      <c r="C29" s="23">
        <v>28756</v>
      </c>
      <c r="D29" s="23">
        <v>26294.806144842725</v>
      </c>
      <c r="E29" s="71">
        <v>26294.806144842725</v>
      </c>
      <c r="F29" s="78">
        <v>0</v>
      </c>
      <c r="G29" s="23" cm="1">
        <f t="array" ref="G29">(_xlfn.BYROW(B29,_xlfn.LAMBDA(_xlpm.party,(SUMIFS(ledger!G:G,ledger!B:B,_xlpm.party,ledger!E:E,"&lt;&gt;*RD*",ledger!D:D, "Chamki")+SUMIFS(ledger!G:G, ledger!B:B, _xlpm.party, ledger!E:E, "&lt;&gt;*RD*", ledger!D:D, "Crinkle"))/1.0936))*L29)</f>
        <v>276095.46452084859</v>
      </c>
      <c r="H29" s="23" cm="1">
        <f t="array" ref="H29">(_xlfn.BYROW(B29,_xlfn.LAMBDA(_xlpm.party,SUMIFS(ledger!G:G,ledger!B:B,_xlpm.party,ledger!E:E,"&lt;&gt;*RD*",ledger!D:D, "Silky")/1.0936))* M29)</f>
        <v>0</v>
      </c>
      <c r="I29" s="44">
        <f t="shared" si="7"/>
        <v>276095.46452084859</v>
      </c>
      <c r="J29" s="23">
        <f>(SUMIF(Table14[Party],B29,Table14[Credit]))</f>
        <v>775940</v>
      </c>
      <c r="K29" s="42">
        <f t="shared" ref="K29:K32" si="8">I29-J29</f>
        <v>-499844.53547915141</v>
      </c>
      <c r="L29" s="22">
        <v>10.5</v>
      </c>
      <c r="M29" s="22">
        <v>13</v>
      </c>
    </row>
    <row r="30" spans="1:26" x14ac:dyDescent="0.3">
      <c r="B30" s="25" t="str">
        <v>Sufi Nawaz Sahab</v>
      </c>
      <c r="C30" s="23">
        <v>478824</v>
      </c>
      <c r="D30" s="23">
        <v>437841.98975859547</v>
      </c>
      <c r="E30" s="71">
        <v>240007.31528895395</v>
      </c>
      <c r="F30" s="78">
        <v>197834.67446964156</v>
      </c>
      <c r="G30" s="23" cm="1">
        <f t="array" ref="G30">(_xlfn.BYROW(B30,_xlfn.LAMBDA(_xlpm.party,(SUMIFS(ledger!G:G,ledger!B:B,_xlpm.party,ledger!E:E,"&lt;&gt;*RD*",ledger!D:D, "Chamki")+SUMIFS(ledger!G:G, ledger!B:B, _xlpm.party, ledger!E:E, "&lt;&gt;*RD*", ledger!D:D, "Crinkle"))/1.0936))*L30)</f>
        <v>2160065.8376005855</v>
      </c>
      <c r="H30" s="23" cm="1">
        <f t="array" ref="H30">(_xlfn.BYROW(B30,_xlfn.LAMBDA(_xlpm.party,SUMIFS(ledger!G:G,ledger!B:B,_xlpm.party,ledger!E:E,"&lt;&gt;*RD*",ledger!D:D, "Silky")/1.0936))* M30)</f>
        <v>2374016.0936356988</v>
      </c>
      <c r="I30" s="44">
        <f t="shared" si="7"/>
        <v>4534081.9312362839</v>
      </c>
      <c r="J30" s="23">
        <f>(SUMIF(Table14[Party],B30,Table14[Credit]))</f>
        <v>3779100</v>
      </c>
      <c r="K30" s="42">
        <f t="shared" si="8"/>
        <v>754981.93123628385</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2000000</v>
      </c>
      <c r="K31" s="42">
        <f t="shared" si="8"/>
        <v>-1053639.356254572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28549</v>
      </c>
      <c r="D36" s="23">
        <v>26105.523043160207</v>
      </c>
      <c r="E36" s="71">
        <v>26105.523043160207</v>
      </c>
      <c r="F36" s="22">
        <v>0</v>
      </c>
      <c r="G36" s="23" cm="1">
        <f t="array" ref="G36">(_xlfn.BYROW(B36,_xlfn.LAMBDA(_xlpm.party,(SUMIFS(ledger!G:G,ledger!B:B,_xlpm.party,ledger!E:E,"&lt;&gt;*RD*",ledger!D:D, "Chamki")+SUMIFS(ledger!G:G, ledger!B:B, _xlpm.party, ledger!E:E, "&lt;&gt;*RD*", ledger!D:D, "Crinkle"))/1.0936))*L36)</f>
        <v>261055.23043160207</v>
      </c>
      <c r="H36" s="23" cm="1">
        <f t="array" ref="H36">(_xlfn.BYROW(B36,_xlfn.LAMBDA(_xlpm.party,SUMIFS(ledger!G:G,ledger!B:B,_xlpm.party,ledger!E:E,"&lt;&gt;*RD*",ledger!D:D, "Silky")/1.0936))* M36)</f>
        <v>0</v>
      </c>
      <c r="I36" s="44">
        <f t="shared" si="10"/>
        <v>261055.23043160207</v>
      </c>
      <c r="J36" s="23">
        <f>SUMIF(Table14[Party], B36, Table14[Credit])</f>
        <v>200000</v>
      </c>
      <c r="K36" s="42">
        <f t="shared" si="9"/>
        <v>61055.230431602075</v>
      </c>
      <c r="L36" s="22">
        <v>10</v>
      </c>
      <c r="M36" s="22">
        <v>12</v>
      </c>
    </row>
    <row r="37" spans="2:13" x14ac:dyDescent="0.3">
      <c r="B37" s="25">
        <v>0</v>
      </c>
      <c r="C37" s="23">
        <v>0</v>
      </c>
      <c r="D37" s="23">
        <v>0</v>
      </c>
      <c r="E37" s="71">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5">+_xlfn.XLOOKUP(_xlfn.ANCHORARRAY(B26),[1]Billing!$B$21:$B$29,[1]Billing!$F$21:$F$29)</f>
        <v>0</v>
      </c>
      <c r="G44" s="23" cm="1">
        <f t="array" ref="G44:G55">_xlfn.XLOOKUP(_xlfn.ANCHORARRAY(B26),[1]Billing!$B$21:$B$29,[1]Billing!$G$21:$G$29)</f>
        <v>4142675.5669348943</v>
      </c>
      <c r="H44" s="23" cm="1">
        <f t="array" ref="H44:H55">+_xlfn.XLOOKUP(_xlfn.ANCHORARRAY(B26),[1]Billing!$B$21:$B$29,[1]Billing!$H$21:$H$29)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row r="55" spans="2:13" x14ac:dyDescent="0.3">
      <c r="B55">
        <v>0</v>
      </c>
      <c r="F55">
        <v>0</v>
      </c>
      <c r="G55">
        <v>0</v>
      </c>
      <c r="H55">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D23" sqref="D23"/>
    </sheetView>
  </sheetViews>
  <sheetFormatPr defaultRowHeight="14.4" x14ac:dyDescent="0.3"/>
  <cols>
    <col min="2" max="2" width="23.109375" customWidth="1"/>
    <col min="3" max="3" width="14.6640625" customWidth="1"/>
    <col min="4" max="4" width="16.6640625" bestFit="1" customWidth="1"/>
    <col min="5" max="5" width="20.44140625" customWidth="1"/>
    <col min="9" max="9" width="11.6640625" customWidth="1"/>
    <col min="10" max="10" width="12.88671875" customWidth="1"/>
  </cols>
  <sheetData>
    <row r="4" spans="2:10" ht="15.6" x14ac:dyDescent="0.3">
      <c r="C4" s="70"/>
      <c r="D4" s="70"/>
      <c r="I4" t="s">
        <v>36</v>
      </c>
      <c r="J4" t="str" cm="1">
        <f t="array" ref="J4:J15">_xlfn.UNIQUE(Table1[Party Name])</f>
        <v>BSC</v>
      </c>
    </row>
    <row r="5" spans="2:10" x14ac:dyDescent="0.3">
      <c r="J5" t="str">
        <v>Ejaz Sahab</v>
      </c>
    </row>
    <row r="6" spans="2:10" ht="21" x14ac:dyDescent="0.4">
      <c r="B6" s="72" t="s">
        <v>21</v>
      </c>
      <c r="J6" t="str">
        <v>Arshad</v>
      </c>
    </row>
    <row r="7" spans="2:10" ht="15.6" x14ac:dyDescent="0.3">
      <c r="B7" s="70" t="s">
        <v>38</v>
      </c>
      <c r="C7" s="70" t="s">
        <v>4</v>
      </c>
      <c r="D7" s="70" t="s">
        <v>312</v>
      </c>
      <c r="E7" s="70" t="s">
        <v>313</v>
      </c>
      <c r="J7" t="str">
        <v>Shehzad Kamoki</v>
      </c>
    </row>
    <row r="8" spans="2:10" ht="18" x14ac:dyDescent="0.35">
      <c r="B8" s="63" t="s">
        <v>39</v>
      </c>
      <c r="C8" s="74"/>
      <c r="D8" s="76" cm="1">
        <f t="array" ref="D8">_xlfn.XLOOKUP($B$6,_xlfn.ANCHORARRAY( Billing!O5), INDEX(Billing!P5:P19, _xlfn.SEQUENCE(ROWS(_xlfn.ANCHORARRAY(Billing!$O$5)))), "Not Found")</f>
        <v>1186829</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1085249.6342355525</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1070697.6956839797</v>
      </c>
      <c r="E12" s="103">
        <f ca="1">Table21[[#This Row],[gazana]]*Table21[[#This Row],[Rate]]</f>
        <v>10706976.956839796</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Azam</v>
      </c>
    </row>
    <row r="15" spans="2:10" ht="18.600000000000001" thickBot="1" x14ac:dyDescent="0.4">
      <c r="B15" s="73"/>
      <c r="C15" s="75"/>
      <c r="D15" s="75"/>
      <c r="E15" s="74"/>
      <c r="J15">
        <v>0</v>
      </c>
    </row>
    <row r="16" spans="2:10" ht="18.600000000000001" thickBot="1" x14ac:dyDescent="0.4">
      <c r="B16" s="63" t="s">
        <v>43</v>
      </c>
      <c r="C16" s="74"/>
      <c r="D16" s="102"/>
      <c r="E16" s="104">
        <f ca="1">E12+E14</f>
        <v>10881600.219458669</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7158783</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3722817.2194586694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18" workbookViewId="0">
      <selection activeCell="E13" sqref="E13"/>
    </sheetView>
  </sheetViews>
  <sheetFormatPr defaultRowHeight="14.4" x14ac:dyDescent="0.3"/>
  <cols>
    <col min="2" max="2" width="12.5546875" customWidth="1"/>
    <col min="3" max="3" width="14.5546875" customWidth="1"/>
    <col min="4" max="4" width="31.2187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Wood!N14-300*810</f>
        <v>6865460</v>
      </c>
      <c r="D4" t="s">
        <v>358</v>
      </c>
    </row>
    <row r="5" spans="1:4" x14ac:dyDescent="0.3">
      <c r="B5" t="s">
        <v>50</v>
      </c>
      <c r="C5" s="11">
        <f>SUM(Table8[Price])-Table24[[#Totals],[total]]</f>
        <v>949920</v>
      </c>
      <c r="D5" t="s">
        <v>359</v>
      </c>
    </row>
    <row r="6" spans="1:4" x14ac:dyDescent="0.3">
      <c r="B6" t="s">
        <v>51</v>
      </c>
      <c r="C6" s="11">
        <f>SUM(Table2[Price])-(6900*33)-(0.8*25000)</f>
        <v>685700</v>
      </c>
      <c r="D6" t="s">
        <v>361</v>
      </c>
    </row>
    <row r="7" spans="1:4" x14ac:dyDescent="0.3">
      <c r="B7" t="s">
        <v>52</v>
      </c>
      <c r="C7" s="11">
        <f>SUMIFS(Table14[Debit], Table14[Party],Table12[[#This Row],[Type]])</f>
        <v>62135</v>
      </c>
    </row>
    <row r="8" spans="1:4" x14ac:dyDescent="0.3">
      <c r="B8" t="s">
        <v>53</v>
      </c>
      <c r="C8" s="11">
        <f>Electricity!E3</f>
        <v>0</v>
      </c>
    </row>
    <row r="9" spans="1:4" x14ac:dyDescent="0.3">
      <c r="B9" t="s">
        <v>54</v>
      </c>
      <c r="C9" s="11">
        <f>Table11[[#Totals],[Amount]]+'Salary Acc'!I35</f>
        <v>1572400</v>
      </c>
    </row>
    <row r="10" spans="1:4" x14ac:dyDescent="0.3">
      <c r="B10" t="s">
        <v>55</v>
      </c>
      <c r="C10" s="11">
        <f>Table5[[#Totals],[Amount]]</f>
        <v>112148</v>
      </c>
    </row>
    <row r="11" spans="1:4" x14ac:dyDescent="0.3">
      <c r="B11" t="s">
        <v>56</v>
      </c>
      <c r="C11" s="11">
        <f>Table13[[#Totals],[Debit]]</f>
        <v>183370</v>
      </c>
    </row>
    <row r="12" spans="1:4" x14ac:dyDescent="0.3">
      <c r="B12" t="s">
        <v>57</v>
      </c>
      <c r="C12" s="11">
        <f>Table15[[#Totals],[Amount]]</f>
        <v>649754</v>
      </c>
    </row>
    <row r="13" spans="1:4" x14ac:dyDescent="0.3">
      <c r="C13" s="11"/>
    </row>
    <row r="14" spans="1:4" x14ac:dyDescent="0.3">
      <c r="C14" s="14">
        <f>SUM(Table12[Amount])</f>
        <v>11080887</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abSelected="1" zoomScale="111" workbookViewId="0">
      <selection activeCell="F21" sqref="F21"/>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68</v>
      </c>
      <c r="C2" s="11" t="s">
        <v>69</v>
      </c>
    </row>
    <row r="3" spans="1:4" x14ac:dyDescent="0.3">
      <c r="B3" s="11" t="s">
        <v>0</v>
      </c>
      <c r="C3" s="11">
        <f ca="1">Billing!C18 + SUMIFS(Table14[Credit], Table14[Party], "Transport")</f>
        <v>14463824.067300659</v>
      </c>
      <c r="D3" t="s">
        <v>70</v>
      </c>
    </row>
    <row r="4" spans="1:4" x14ac:dyDescent="0.3">
      <c r="B4" s="11" t="s">
        <v>46</v>
      </c>
      <c r="C4" s="11">
        <f>Table12[[#Totals],[Amount]]</f>
        <v>11080887</v>
      </c>
    </row>
    <row r="5" spans="1:4" x14ac:dyDescent="0.3">
      <c r="A5" s="6"/>
      <c r="B5" s="15" t="s">
        <v>71</v>
      </c>
      <c r="C5" s="15">
        <f ca="1">C3-C4</f>
        <v>3382937.0673006587</v>
      </c>
    </row>
    <row r="10" spans="1:4" ht="15" thickBot="1" x14ac:dyDescent="0.35">
      <c r="B10" t="s">
        <v>68</v>
      </c>
      <c r="C10" s="14" t="s">
        <v>69</v>
      </c>
    </row>
    <row r="11" spans="1:4" x14ac:dyDescent="0.3">
      <c r="B11" s="64" t="s">
        <v>0</v>
      </c>
      <c r="C11" s="65">
        <f ca="1">C3</f>
        <v>14463824.067300659</v>
      </c>
    </row>
    <row r="12" spans="1:4" x14ac:dyDescent="0.3">
      <c r="B12" s="66" t="s">
        <v>72</v>
      </c>
      <c r="C12" s="67">
        <f>SUM(Table14[Credit])</f>
        <v>11324846</v>
      </c>
    </row>
    <row r="13" spans="1:4" ht="15" thickBot="1" x14ac:dyDescent="0.35">
      <c r="B13" s="82" t="s">
        <v>101</v>
      </c>
      <c r="C13" s="81">
        <f ca="1">(C11-C12)</f>
        <v>3138978.0673006587</v>
      </c>
    </row>
    <row r="14" spans="1:4" ht="15" thickBot="1" x14ac:dyDescent="0.35">
      <c r="B14" s="66"/>
      <c r="C14" s="67"/>
    </row>
    <row r="15" spans="1:4" x14ac:dyDescent="0.3">
      <c r="B15" s="64" t="s">
        <v>46</v>
      </c>
      <c r="C15" s="65">
        <f>C4</f>
        <v>11080887</v>
      </c>
    </row>
    <row r="16" spans="1:4" x14ac:dyDescent="0.3">
      <c r="B16" s="66" t="s">
        <v>73</v>
      </c>
      <c r="C16" s="67">
        <f>SUM(Table14[Debit])</f>
        <v>11353933</v>
      </c>
    </row>
    <row r="17" spans="2:6" ht="15" thickBot="1" x14ac:dyDescent="0.35">
      <c r="B17" s="82" t="s">
        <v>74</v>
      </c>
      <c r="C17" s="81">
        <f>C15-C16</f>
        <v>-273046</v>
      </c>
    </row>
    <row r="18" spans="2:6" ht="15" thickBot="1" x14ac:dyDescent="0.35">
      <c r="B18" s="66"/>
      <c r="C18" s="67"/>
    </row>
    <row r="19" spans="2:6" ht="15" thickBot="1" x14ac:dyDescent="0.35">
      <c r="B19" s="83" t="s">
        <v>75</v>
      </c>
      <c r="C19" s="84">
        <f>Table18[[#Totals],[amount]]</f>
        <v>-29087</v>
      </c>
    </row>
    <row r="20" spans="2:6" ht="15" thickBot="1" x14ac:dyDescent="0.35">
      <c r="B20" s="79"/>
      <c r="C20" s="80"/>
    </row>
    <row r="21" spans="2:6" ht="15" thickBot="1" x14ac:dyDescent="0.35">
      <c r="B21" s="68" t="s">
        <v>76</v>
      </c>
      <c r="C21" s="69">
        <f ca="1">(C13-C17)+C19</f>
        <v>3382937.0673006587</v>
      </c>
      <c r="E21" s="87" t="s">
        <v>77</v>
      </c>
      <c r="F21" s="88">
        <f ca="1">C5*0.05</f>
        <v>169146.85336503293</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13" workbookViewId="0">
      <selection activeCell="D30" sqref="D30"/>
    </sheetView>
  </sheetViews>
  <sheetFormatPr defaultRowHeight="14.4" x14ac:dyDescent="0.3"/>
  <cols>
    <col min="2" max="2" width="10.44140625" bestFit="1" customWidth="1"/>
    <col min="4" max="4" width="9.33203125" customWidth="1"/>
  </cols>
  <sheetData>
    <row r="2" spans="2:6" x14ac:dyDescent="0.3">
      <c r="B2" t="s">
        <v>78</v>
      </c>
      <c r="C2" t="s">
        <v>47</v>
      </c>
      <c r="D2" t="s">
        <v>73</v>
      </c>
      <c r="E2" t="s">
        <v>72</v>
      </c>
      <c r="F2" t="s">
        <v>79</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7250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46000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183370</v>
      </c>
      <c r="E35">
        <f>SUBTOTAL(109,Table13[Credit])</f>
        <v>0</v>
      </c>
      <c r="F35">
        <f>Table13[[#Totals],[Debit]]-Table13[[#Totals],[Credit]]</f>
        <v>183370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66"/>
  <sheetViews>
    <sheetView zoomScale="104" workbookViewId="0">
      <selection sqref="A1:J134"/>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 style="10" bestFit="1" customWidth="1"/>
    <col min="5" max="5" width="15.5546875" style="10" bestFit="1" customWidth="1"/>
    <col min="6" max="6" width="17.5546875" style="10" bestFit="1" customWidth="1"/>
    <col min="7" max="7" width="12.6640625" style="10" bestFit="1" customWidth="1"/>
    <col min="8" max="8" width="18" style="10" bestFit="1" customWidth="1"/>
    <col min="9" max="9" width="12.6640625" style="10" bestFit="1" customWidth="1"/>
    <col min="10" max="10" width="17.5546875" style="10" bestFit="1" customWidth="1"/>
    <col min="11" max="11" width="12.332031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78</v>
      </c>
      <c r="B1" s="30" t="s">
        <v>2</v>
      </c>
      <c r="C1" s="30" t="s">
        <v>80</v>
      </c>
      <c r="D1" s="30" t="s">
        <v>81</v>
      </c>
      <c r="E1" s="30" t="s">
        <v>82</v>
      </c>
      <c r="F1" s="30" t="s">
        <v>83</v>
      </c>
      <c r="G1" s="30" t="s">
        <v>84</v>
      </c>
      <c r="H1" s="31" t="s">
        <v>85</v>
      </c>
      <c r="I1" s="31" t="s">
        <v>86</v>
      </c>
      <c r="J1" s="31" t="s">
        <v>87</v>
      </c>
      <c r="K1" s="31" t="s">
        <v>43</v>
      </c>
    </row>
    <row r="2" spans="1:28" hidden="1" x14ac:dyDescent="0.3">
      <c r="A2" s="28">
        <v>45886</v>
      </c>
      <c r="B2" s="29" t="s">
        <v>21</v>
      </c>
      <c r="C2" s="29" t="s">
        <v>88</v>
      </c>
      <c r="D2" s="29" t="s">
        <v>89</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hidden="1" x14ac:dyDescent="0.3">
      <c r="A3" s="28">
        <v>45886</v>
      </c>
      <c r="B3" s="29" t="s">
        <v>22</v>
      </c>
      <c r="C3" s="29" t="s">
        <v>88</v>
      </c>
      <c r="D3" s="29" t="s">
        <v>89</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hidden="1" x14ac:dyDescent="0.3">
      <c r="A4" s="28">
        <v>45886</v>
      </c>
      <c r="B4" s="29" t="s">
        <v>9</v>
      </c>
      <c r="C4" s="29" t="s">
        <v>88</v>
      </c>
      <c r="D4" s="29" t="s">
        <v>89</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hidden="1" x14ac:dyDescent="0.3">
      <c r="A5" s="28">
        <v>45886</v>
      </c>
      <c r="B5" s="29" t="s">
        <v>23</v>
      </c>
      <c r="C5" s="29" t="s">
        <v>88</v>
      </c>
      <c r="D5" s="29" t="s">
        <v>89</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hidden="1" x14ac:dyDescent="0.3">
      <c r="A6" s="28">
        <v>45886</v>
      </c>
      <c r="B6" s="29" t="s">
        <v>24</v>
      </c>
      <c r="C6" s="29" t="s">
        <v>88</v>
      </c>
      <c r="D6" s="29" t="s">
        <v>89</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hidden="1" x14ac:dyDescent="0.3">
      <c r="A7" s="28">
        <v>45886</v>
      </c>
      <c r="B7" s="29" t="s">
        <v>25</v>
      </c>
      <c r="C7" s="29" t="s">
        <v>88</v>
      </c>
      <c r="D7" s="29" t="s">
        <v>89</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hidden="1" x14ac:dyDescent="0.3">
      <c r="A8" s="28">
        <v>45886</v>
      </c>
      <c r="B8" s="29" t="s">
        <v>26</v>
      </c>
      <c r="C8" s="29" t="s">
        <v>88</v>
      </c>
      <c r="D8" s="29" t="s">
        <v>90</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hidden="1" x14ac:dyDescent="0.3">
      <c r="A9" s="28">
        <v>45886</v>
      </c>
      <c r="B9" s="29" t="s">
        <v>27</v>
      </c>
      <c r="C9" s="29" t="s">
        <v>88</v>
      </c>
      <c r="D9" s="29" t="s">
        <v>89</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hidden="1" x14ac:dyDescent="0.3">
      <c r="A10" s="28">
        <v>45886</v>
      </c>
      <c r="B10" s="29" t="s">
        <v>24</v>
      </c>
      <c r="C10" s="29" t="s">
        <v>88</v>
      </c>
      <c r="D10" s="29" t="s">
        <v>91</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hidden="1" x14ac:dyDescent="0.3">
      <c r="A11" s="28">
        <v>45888</v>
      </c>
      <c r="B11" s="29" t="s">
        <v>21</v>
      </c>
      <c r="C11" s="29">
        <v>716</v>
      </c>
      <c r="D11" s="29" t="s">
        <v>89</v>
      </c>
      <c r="E11" s="11">
        <v>1605</v>
      </c>
      <c r="F11" s="11">
        <v>103550</v>
      </c>
      <c r="G11" s="11">
        <v>43689</v>
      </c>
      <c r="H11" s="32" t="str">
        <f>_xlfn.XLOOKUP(Table1[[#This Row],[Shipment Number]], 'pivot '!A:A,'pivot '!G:G, "NF")</f>
        <v>NF</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hidden="1" x14ac:dyDescent="0.3">
      <c r="A12" s="28">
        <v>45885</v>
      </c>
      <c r="B12" s="29" t="s">
        <v>25</v>
      </c>
      <c r="C12" s="29">
        <v>721</v>
      </c>
      <c r="D12" s="29" t="s">
        <v>89</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hidden="1" x14ac:dyDescent="0.3">
      <c r="A13" s="28">
        <v>45888</v>
      </c>
      <c r="B13" s="29" t="s">
        <v>26</v>
      </c>
      <c r="C13" s="29">
        <v>722</v>
      </c>
      <c r="D13" s="29" t="s">
        <v>89</v>
      </c>
      <c r="E13" s="11">
        <v>1646</v>
      </c>
      <c r="F13" s="11">
        <v>24008</v>
      </c>
      <c r="G13" s="11">
        <v>25952</v>
      </c>
      <c r="H13" s="32" t="str">
        <f>_xlfn.XLOOKUP(Table1[[#This Row],[Shipment Number]], 'pivot '!A:A,'pivot '!G:G, "NF")</f>
        <v>NF</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hidden="1" x14ac:dyDescent="0.3">
      <c r="A14" s="28">
        <v>45888</v>
      </c>
      <c r="B14" s="29" t="s">
        <v>21</v>
      </c>
      <c r="C14" s="29">
        <v>723</v>
      </c>
      <c r="D14" s="29" t="s">
        <v>89</v>
      </c>
      <c r="E14" s="11">
        <v>1605</v>
      </c>
      <c r="F14" s="11">
        <v>103550</v>
      </c>
      <c r="G14" s="11">
        <v>8742</v>
      </c>
      <c r="H14" s="32" t="str">
        <f>_xlfn.XLOOKUP(Table1[[#This Row],[Shipment Number]], 'pivot '!A:A,'pivot '!G:G, "NF")</f>
        <v>NF</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hidden="1" x14ac:dyDescent="0.3">
      <c r="A15" s="28">
        <v>45890</v>
      </c>
      <c r="B15" s="29" t="s">
        <v>25</v>
      </c>
      <c r="C15" s="29">
        <v>724</v>
      </c>
      <c r="D15" s="29" t="s">
        <v>89</v>
      </c>
      <c r="E15" s="11">
        <v>1640</v>
      </c>
      <c r="F15" s="11">
        <v>50373</v>
      </c>
      <c r="G15" s="11">
        <v>48705</v>
      </c>
      <c r="H15" s="32" t="str">
        <f>_xlfn.XLOOKUP(Table1[[#This Row],[Shipment Number]], 'pivot '!A:A,'pivot '!G:G, "NF")</f>
        <v>NF</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hidden="1" x14ac:dyDescent="0.3">
      <c r="A16" s="28">
        <v>45890</v>
      </c>
      <c r="B16" s="29" t="s">
        <v>25</v>
      </c>
      <c r="C16" s="29">
        <v>725</v>
      </c>
      <c r="D16" s="29" t="s">
        <v>89</v>
      </c>
      <c r="E16" s="11">
        <v>1649</v>
      </c>
      <c r="F16" s="11">
        <v>3826</v>
      </c>
      <c r="G16" s="11">
        <v>4140</v>
      </c>
      <c r="H16" s="32" t="str">
        <f>_xlfn.XLOOKUP(Table1[[#This Row],[Shipment Number]], 'pivot '!A:A,'pivot '!G:G, "NF")</f>
        <v>NF</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hidden="1" x14ac:dyDescent="0.3">
      <c r="A17" s="28">
        <v>45890</v>
      </c>
      <c r="B17" s="29" t="s">
        <v>21</v>
      </c>
      <c r="C17" s="29">
        <v>726</v>
      </c>
      <c r="D17" s="29" t="s">
        <v>89</v>
      </c>
      <c r="E17" s="20">
        <v>1607</v>
      </c>
      <c r="F17" s="11">
        <f>101237-40502</f>
        <v>60735</v>
      </c>
      <c r="G17" s="11">
        <v>1980</v>
      </c>
      <c r="H17" s="32" t="str">
        <f>_xlfn.XLOOKUP(Table1[[#This Row],[Shipment Number]], 'pivot '!A:A,'pivot '!G:G, "NF")</f>
        <v>NF</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hidden="1" x14ac:dyDescent="0.3">
      <c r="A18" s="28">
        <v>45891</v>
      </c>
      <c r="B18" s="29" t="s">
        <v>37</v>
      </c>
      <c r="C18" s="29">
        <v>727</v>
      </c>
      <c r="D18" s="29" t="s">
        <v>89</v>
      </c>
      <c r="E18" s="11">
        <v>1647</v>
      </c>
      <c r="F18" s="11">
        <v>20004</v>
      </c>
      <c r="G18" s="11">
        <v>21621</v>
      </c>
      <c r="H18" s="32" t="str">
        <f>_xlfn.XLOOKUP(Table1[[#This Row],[Shipment Number]], 'pivot '!A:A,'pivot '!G:G, "NF")</f>
        <v>NF</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hidden="1" x14ac:dyDescent="0.3">
      <c r="A19" s="28">
        <v>45891</v>
      </c>
      <c r="B19" s="29" t="s">
        <v>21</v>
      </c>
      <c r="C19" s="29">
        <v>728</v>
      </c>
      <c r="D19" s="29" t="s">
        <v>89</v>
      </c>
      <c r="E19" s="20">
        <v>1607</v>
      </c>
      <c r="F19" s="11">
        <f>101237-40502</f>
        <v>60735</v>
      </c>
      <c r="G19" s="11">
        <v>6406</v>
      </c>
      <c r="H19" s="32" t="str">
        <f>_xlfn.XLOOKUP(Table1[[#This Row],[Shipment Number]], 'pivot '!A:A,'pivot '!G:G, "NF")</f>
        <v>NF</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hidden="1" x14ac:dyDescent="0.3">
      <c r="A20" s="28">
        <v>45891</v>
      </c>
      <c r="B20" s="29" t="s">
        <v>9</v>
      </c>
      <c r="C20" s="29">
        <v>729</v>
      </c>
      <c r="D20" s="29" t="s">
        <v>89</v>
      </c>
      <c r="E20" s="11">
        <v>1643</v>
      </c>
      <c r="F20" s="11">
        <v>26739</v>
      </c>
      <c r="G20" s="11">
        <v>7452</v>
      </c>
      <c r="H20" s="32" t="str">
        <f>_xlfn.XLOOKUP(Table1[[#This Row],[Shipment Number]], 'pivot '!A:A,'pivot '!G:G, "NF")</f>
        <v>NF</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hidden="1" x14ac:dyDescent="0.3">
      <c r="A21" s="28">
        <v>45891</v>
      </c>
      <c r="B21" s="29" t="s">
        <v>25</v>
      </c>
      <c r="C21" s="29">
        <v>731</v>
      </c>
      <c r="D21" s="29" t="s">
        <v>89</v>
      </c>
      <c r="E21" s="11">
        <v>1640</v>
      </c>
      <c r="F21" s="11">
        <v>50373</v>
      </c>
      <c r="G21" s="11">
        <v>5597</v>
      </c>
      <c r="H21" s="32" t="str">
        <f>_xlfn.XLOOKUP(Table1[[#This Row],[Shipment Number]], 'pivot '!A:A,'pivot '!G:G, "NF")</f>
        <v>NF</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hidden="1" x14ac:dyDescent="0.3">
      <c r="A22" s="28">
        <v>45892</v>
      </c>
      <c r="B22" s="29" t="s">
        <v>9</v>
      </c>
      <c r="C22" s="29">
        <v>732</v>
      </c>
      <c r="D22" s="29" t="s">
        <v>89</v>
      </c>
      <c r="E22" s="11">
        <v>1643</v>
      </c>
      <c r="F22" s="11">
        <v>26739</v>
      </c>
      <c r="G22" s="11">
        <v>21167</v>
      </c>
      <c r="H22" s="32" t="str">
        <f>_xlfn.XLOOKUP(Table1[[#This Row],[Shipment Number]], 'pivot '!A:A,'pivot '!G:G, "NF")</f>
        <v>NF</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hidden="1" x14ac:dyDescent="0.3">
      <c r="A23" s="28">
        <v>45892</v>
      </c>
      <c r="B23" s="29" t="s">
        <v>9</v>
      </c>
      <c r="C23" s="29">
        <v>733</v>
      </c>
      <c r="D23" s="29" t="s">
        <v>89</v>
      </c>
      <c r="E23" s="11" t="s">
        <v>92</v>
      </c>
      <c r="F23" s="11"/>
      <c r="G23" s="11">
        <v>2010</v>
      </c>
      <c r="H23" s="32" t="str">
        <f>_xlfn.XLOOKUP(Table1[[#This Row],[Shipment Number]], 'pivot '!A:A,'pivot '!G:G, "NF")</f>
        <v>NF</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hidden="1" x14ac:dyDescent="0.3">
      <c r="A24" s="28">
        <v>45892</v>
      </c>
      <c r="B24" s="29" t="s">
        <v>21</v>
      </c>
      <c r="C24" s="29">
        <v>734</v>
      </c>
      <c r="D24" s="29" t="s">
        <v>89</v>
      </c>
      <c r="E24" s="11">
        <v>1605</v>
      </c>
      <c r="F24" s="11">
        <v>103550</v>
      </c>
      <c r="G24" s="11">
        <v>16253</v>
      </c>
      <c r="H24" s="32" t="str">
        <f>_xlfn.XLOOKUP(Table1[[#This Row],[Shipment Number]], 'pivot '!A:A,'pivot '!G:G, "NF")</f>
        <v>NF</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hidden="1" x14ac:dyDescent="0.3">
      <c r="A25" s="28">
        <v>45892</v>
      </c>
      <c r="B25" s="29" t="s">
        <v>21</v>
      </c>
      <c r="C25" s="29">
        <v>735</v>
      </c>
      <c r="D25" s="29" t="s">
        <v>89</v>
      </c>
      <c r="E25" s="11">
        <v>1605</v>
      </c>
      <c r="F25" s="11">
        <v>103550</v>
      </c>
      <c r="G25" s="11">
        <v>33788</v>
      </c>
      <c r="H25" s="32" t="str">
        <f>_xlfn.XLOOKUP(Table1[[#This Row],[Shipment Number]], 'pivot '!A:A,'pivot '!G:G, "NF")</f>
        <v>NF</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hidden="1" x14ac:dyDescent="0.3">
      <c r="A26" s="28">
        <v>45892</v>
      </c>
      <c r="B26" s="29" t="s">
        <v>21</v>
      </c>
      <c r="C26" s="29">
        <v>736</v>
      </c>
      <c r="D26" s="29" t="s">
        <v>89</v>
      </c>
      <c r="E26" s="20">
        <v>1607</v>
      </c>
      <c r="F26" s="11">
        <f>101237-40502</f>
        <v>60735</v>
      </c>
      <c r="G26" s="11">
        <v>8575</v>
      </c>
      <c r="H26" s="32" t="str">
        <f>_xlfn.XLOOKUP(Table1[[#This Row],[Shipment Number]], 'pivot '!A:A,'pivot '!G:G, "NF")</f>
        <v>NF</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hidden="1" x14ac:dyDescent="0.3">
      <c r="A27" s="28">
        <v>45892</v>
      </c>
      <c r="B27" s="29" t="s">
        <v>24</v>
      </c>
      <c r="C27" s="29">
        <v>737</v>
      </c>
      <c r="D27" s="29" t="s">
        <v>89</v>
      </c>
      <c r="E27" s="11">
        <v>1644</v>
      </c>
      <c r="F27" s="11">
        <v>32450</v>
      </c>
      <c r="G27" s="11">
        <v>4298</v>
      </c>
      <c r="H27" s="32" t="str">
        <f>_xlfn.XLOOKUP(Table1[[#This Row],[Shipment Number]], 'pivot '!A:A,'pivot '!G:G, "NF")</f>
        <v>NF</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hidden="1" x14ac:dyDescent="0.3">
      <c r="A28" s="28">
        <v>45894</v>
      </c>
      <c r="B28" s="29" t="s">
        <v>21</v>
      </c>
      <c r="C28" s="29">
        <v>738</v>
      </c>
      <c r="D28" s="29" t="s">
        <v>89</v>
      </c>
      <c r="E28" s="11">
        <v>1651</v>
      </c>
      <c r="F28" s="11">
        <v>20493</v>
      </c>
      <c r="G28" s="11">
        <v>22478</v>
      </c>
      <c r="H28" s="32" t="str">
        <f>_xlfn.XLOOKUP(Table1[[#This Row],[Shipment Number]], 'pivot '!A:A,'pivot '!G:G, "NF")</f>
        <v>NF</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hidden="1" x14ac:dyDescent="0.3">
      <c r="A29" s="28">
        <v>45894</v>
      </c>
      <c r="B29" s="29" t="s">
        <v>21</v>
      </c>
      <c r="C29" s="29">
        <v>739</v>
      </c>
      <c r="D29" s="29" t="s">
        <v>89</v>
      </c>
      <c r="E29" s="20">
        <v>1607</v>
      </c>
      <c r="F29" s="11">
        <f>101237-40502</f>
        <v>60735</v>
      </c>
      <c r="G29" s="11">
        <v>8540</v>
      </c>
      <c r="H29" s="32" t="str">
        <f>_xlfn.XLOOKUP(Table1[[#This Row],[Shipment Number]], 'pivot '!A:A,'pivot '!G:G, "NF")</f>
        <v>NF</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hidden="1" x14ac:dyDescent="0.3">
      <c r="A30" s="28">
        <v>45894</v>
      </c>
      <c r="B30" s="29" t="s">
        <v>21</v>
      </c>
      <c r="C30" s="29">
        <v>740</v>
      </c>
      <c r="D30" s="29" t="s">
        <v>89</v>
      </c>
      <c r="E30" s="11">
        <v>1641</v>
      </c>
      <c r="F30" s="11">
        <v>6605</v>
      </c>
      <c r="G30" s="11">
        <v>7214</v>
      </c>
      <c r="H30" s="32" t="str">
        <f>_xlfn.XLOOKUP(Table1[[#This Row],[Shipment Number]], 'pivot '!A:A,'pivot '!G:G, "NF")</f>
        <v>NF</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hidden="1" x14ac:dyDescent="0.3">
      <c r="A31" s="28">
        <v>45894</v>
      </c>
      <c r="B31" s="29" t="s">
        <v>21</v>
      </c>
      <c r="C31" s="29">
        <v>741</v>
      </c>
      <c r="D31" s="29" t="s">
        <v>89</v>
      </c>
      <c r="E31" s="11">
        <v>1605</v>
      </c>
      <c r="F31" s="11">
        <v>103550</v>
      </c>
      <c r="G31" s="11">
        <v>6688</v>
      </c>
      <c r="H31" s="32" t="str">
        <f>_xlfn.XLOOKUP(Table1[[#This Row],[Shipment Number]], 'pivot '!A:A,'pivot '!G:G, "NF")</f>
        <v>NF</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hidden="1" x14ac:dyDescent="0.3">
      <c r="A32" s="28">
        <v>45894</v>
      </c>
      <c r="B32" s="29" t="s">
        <v>21</v>
      </c>
      <c r="C32" s="29">
        <v>742</v>
      </c>
      <c r="D32" s="29" t="s">
        <v>89</v>
      </c>
      <c r="E32" s="11">
        <v>1652</v>
      </c>
      <c r="F32" s="11">
        <v>10175</v>
      </c>
      <c r="G32" s="11">
        <v>1914</v>
      </c>
      <c r="H32" s="32" t="str">
        <f>_xlfn.XLOOKUP(Table1[[#This Row],[Shipment Number]], 'pivot '!A:A,'pivot '!G:G, "NF")</f>
        <v>NF</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hidden="1" x14ac:dyDescent="0.3">
      <c r="A33" s="28">
        <v>45894</v>
      </c>
      <c r="B33" s="29" t="s">
        <v>21</v>
      </c>
      <c r="C33" s="29">
        <v>743</v>
      </c>
      <c r="D33" s="29" t="s">
        <v>89</v>
      </c>
      <c r="E33" s="11">
        <v>1652</v>
      </c>
      <c r="F33" s="11">
        <v>10175</v>
      </c>
      <c r="G33" s="11">
        <v>9214</v>
      </c>
      <c r="H33" s="32" t="str">
        <f>_xlfn.XLOOKUP(Table1[[#This Row],[Shipment Number]], 'pivot '!A:A,'pivot '!G:G, "NF")</f>
        <v>NF</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hidden="1" x14ac:dyDescent="0.3">
      <c r="A34" s="28">
        <v>45894</v>
      </c>
      <c r="B34" s="29" t="s">
        <v>21</v>
      </c>
      <c r="C34" s="29">
        <v>744</v>
      </c>
      <c r="D34" s="29" t="s">
        <v>89</v>
      </c>
      <c r="E34" s="11">
        <v>1655</v>
      </c>
      <c r="F34" s="11">
        <v>167135</v>
      </c>
      <c r="G34" s="11">
        <v>21448</v>
      </c>
      <c r="H34" s="32" t="str">
        <f>_xlfn.XLOOKUP(Table1[[#This Row],[Shipment Number]], 'pivot '!A:A,'pivot '!G:G, "NF")</f>
        <v>NF</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hidden="1" x14ac:dyDescent="0.3">
      <c r="A35" s="28">
        <v>45894</v>
      </c>
      <c r="B35" s="29" t="s">
        <v>24</v>
      </c>
      <c r="C35" s="29">
        <v>745</v>
      </c>
      <c r="D35" s="29" t="s">
        <v>89</v>
      </c>
      <c r="E35" s="11">
        <v>1644</v>
      </c>
      <c r="F35" s="11">
        <v>32450</v>
      </c>
      <c r="G35" s="11">
        <v>11858</v>
      </c>
      <c r="H35" s="32" t="str">
        <f>_xlfn.XLOOKUP(Table1[[#This Row],[Shipment Number]], 'pivot '!A:A,'pivot '!G:G, "NF")</f>
        <v>NF</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hidden="1" x14ac:dyDescent="0.3">
      <c r="A36" s="28">
        <v>45895</v>
      </c>
      <c r="B36" s="29" t="s">
        <v>24</v>
      </c>
      <c r="C36" s="29">
        <v>746</v>
      </c>
      <c r="D36" s="29" t="s">
        <v>89</v>
      </c>
      <c r="E36" s="11">
        <v>1644</v>
      </c>
      <c r="F36" s="11">
        <v>32450</v>
      </c>
      <c r="G36" s="11">
        <v>18918</v>
      </c>
      <c r="H36" s="32" t="str">
        <f>_xlfn.XLOOKUP(Table1[[#This Row],[Shipment Number]], 'pivot '!A:A,'pivot '!G:G, "NF")</f>
        <v>NF</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hidden="1" x14ac:dyDescent="0.3">
      <c r="A37" s="28">
        <v>45896</v>
      </c>
      <c r="B37" s="29" t="s">
        <v>21</v>
      </c>
      <c r="C37" s="29">
        <v>747</v>
      </c>
      <c r="D37" s="29" t="s">
        <v>89</v>
      </c>
      <c r="E37" s="11">
        <v>1655</v>
      </c>
      <c r="F37" s="11">
        <v>167135</v>
      </c>
      <c r="G37" s="11">
        <v>19780</v>
      </c>
      <c r="H37" s="32" t="str">
        <f>_xlfn.XLOOKUP(Table1[[#This Row],[Shipment Number]], 'pivot '!A:A,'pivot '!G:G, "NF")</f>
        <v>NF</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hidden="1" x14ac:dyDescent="0.3">
      <c r="A38" s="28">
        <v>45896</v>
      </c>
      <c r="B38" s="29" t="s">
        <v>24</v>
      </c>
      <c r="C38" s="29">
        <v>748</v>
      </c>
      <c r="D38" s="29" t="s">
        <v>89</v>
      </c>
      <c r="E38" s="11">
        <v>1650</v>
      </c>
      <c r="F38" s="11">
        <v>30156</v>
      </c>
      <c r="G38" s="11">
        <v>4342</v>
      </c>
      <c r="H38" s="32" t="str">
        <f>_xlfn.XLOOKUP(Table1[[#This Row],[Shipment Number]], 'pivot '!A:A,'pivot '!G:G, "NF")</f>
        <v>NF</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hidden="1" x14ac:dyDescent="0.3">
      <c r="A39" s="28">
        <v>45896</v>
      </c>
      <c r="B39" s="29" t="s">
        <v>24</v>
      </c>
      <c r="C39" s="29">
        <v>749</v>
      </c>
      <c r="D39" s="29" t="s">
        <v>89</v>
      </c>
      <c r="E39" s="11">
        <v>1650</v>
      </c>
      <c r="F39" s="11">
        <v>30156</v>
      </c>
      <c r="G39" s="11">
        <v>28098</v>
      </c>
      <c r="H39" s="32" t="str">
        <f>_xlfn.XLOOKUP(Table1[[#This Row],[Shipment Number]], 'pivot '!A:A,'pivot '!G:G, "NF")</f>
        <v>NF</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hidden="1" x14ac:dyDescent="0.3">
      <c r="A40" s="28">
        <v>45896</v>
      </c>
      <c r="B40" s="29" t="s">
        <v>24</v>
      </c>
      <c r="C40" s="29">
        <v>750</v>
      </c>
      <c r="D40" s="29" t="s">
        <v>89</v>
      </c>
      <c r="E40" s="11">
        <v>1653</v>
      </c>
      <c r="F40" s="11">
        <v>21812</v>
      </c>
      <c r="G40" s="11">
        <v>13125</v>
      </c>
      <c r="H40" s="32" t="str">
        <f>_xlfn.XLOOKUP(Table1[[#This Row],[Shipment Number]], 'pivot '!A:A,'pivot '!G:G, "NF")</f>
        <v>NF</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hidden="1" x14ac:dyDescent="0.3">
      <c r="A41" s="28">
        <v>45897</v>
      </c>
      <c r="B41" s="29" t="s">
        <v>25</v>
      </c>
      <c r="C41" s="29">
        <v>751</v>
      </c>
      <c r="D41" s="29" t="s">
        <v>89</v>
      </c>
      <c r="E41" s="20" t="s">
        <v>243</v>
      </c>
      <c r="F41" s="11">
        <v>40502</v>
      </c>
      <c r="G41" s="11">
        <v>33502</v>
      </c>
      <c r="H41" s="32" t="str">
        <f>_xlfn.XLOOKUP(Table1[[#This Row],[Shipment Number]], 'pivot '!A:A,'pivot '!G:G, "NF")</f>
        <v>NF</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hidden="1" x14ac:dyDescent="0.3">
      <c r="A42" s="28">
        <v>45897</v>
      </c>
      <c r="B42" s="29" t="s">
        <v>21</v>
      </c>
      <c r="C42" s="29">
        <v>752</v>
      </c>
      <c r="D42" s="29" t="s">
        <v>89</v>
      </c>
      <c r="E42" s="11">
        <v>1655</v>
      </c>
      <c r="F42" s="11">
        <v>167135</v>
      </c>
      <c r="G42" s="11">
        <v>11702</v>
      </c>
      <c r="H42" s="32" t="str">
        <f>_xlfn.XLOOKUP(Table1[[#This Row],[Shipment Number]], 'pivot '!A:A,'pivot '!G:G, "NF")</f>
        <v>NF</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hidden="1" x14ac:dyDescent="0.3">
      <c r="A43" s="28">
        <v>45898</v>
      </c>
      <c r="B43" s="29" t="s">
        <v>21</v>
      </c>
      <c r="C43" s="29">
        <v>753</v>
      </c>
      <c r="D43" s="29" t="s">
        <v>89</v>
      </c>
      <c r="E43" s="11">
        <v>1655</v>
      </c>
      <c r="F43" s="11">
        <v>167135</v>
      </c>
      <c r="G43" s="11">
        <v>26158</v>
      </c>
      <c r="H43" s="32" t="str">
        <f>_xlfn.XLOOKUP(Table1[[#This Row],[Shipment Number]], 'pivot '!A:A,'pivot '!G:G, "NF")</f>
        <v>NF</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hidden="1" x14ac:dyDescent="0.3">
      <c r="A44" s="28">
        <v>45898</v>
      </c>
      <c r="B44" s="29" t="s">
        <v>24</v>
      </c>
      <c r="C44" s="29">
        <v>754</v>
      </c>
      <c r="D44" s="29" t="s">
        <v>89</v>
      </c>
      <c r="E44" s="11">
        <v>1653</v>
      </c>
      <c r="F44" s="11">
        <v>21812</v>
      </c>
      <c r="G44" s="11">
        <v>10346</v>
      </c>
      <c r="H44" s="32" t="str">
        <f>_xlfn.XLOOKUP(Table1[[#This Row],[Shipment Number]], 'pivot '!A:A,'pivot '!G:G, "NF")</f>
        <v>NF</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hidden="1" x14ac:dyDescent="0.3">
      <c r="A45" s="28">
        <v>45898</v>
      </c>
      <c r="B45" s="29" t="s">
        <v>21</v>
      </c>
      <c r="C45" s="29">
        <v>755</v>
      </c>
      <c r="D45" s="29" t="s">
        <v>90</v>
      </c>
      <c r="E45" s="11">
        <v>1628</v>
      </c>
      <c r="F45" s="11">
        <v>48198</v>
      </c>
      <c r="G45" s="11">
        <v>7587</v>
      </c>
      <c r="H45" s="32" t="str">
        <f>_xlfn.XLOOKUP(Table1[[#This Row],[Shipment Number]], 'pivot '!A:A,'pivot '!G:G, "NF")</f>
        <v>NF</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hidden="1" x14ac:dyDescent="0.3">
      <c r="A46" s="28">
        <v>45898</v>
      </c>
      <c r="B46" s="29" t="s">
        <v>9</v>
      </c>
      <c r="C46" s="29">
        <v>756</v>
      </c>
      <c r="D46" s="29" t="s">
        <v>89</v>
      </c>
      <c r="E46" s="11" t="s">
        <v>92</v>
      </c>
      <c r="F46" s="11"/>
      <c r="G46" s="11">
        <v>2244</v>
      </c>
      <c r="H46" s="32" t="str">
        <f>_xlfn.XLOOKUP(Table1[[#This Row],[Shipment Number]], 'pivot '!A:A,'pivot '!G:G, "NF")</f>
        <v>NF</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hidden="1" x14ac:dyDescent="0.3">
      <c r="A47" s="28">
        <v>45899</v>
      </c>
      <c r="B47" s="29" t="s">
        <v>24</v>
      </c>
      <c r="C47" s="29">
        <v>757</v>
      </c>
      <c r="D47" s="29" t="s">
        <v>91</v>
      </c>
      <c r="E47" s="11">
        <v>1662</v>
      </c>
      <c r="F47" s="11">
        <v>13594</v>
      </c>
      <c r="G47" s="11">
        <v>14872</v>
      </c>
      <c r="H47" s="32" t="str">
        <f>_xlfn.XLOOKUP(Table1[[#This Row],[Shipment Number]], 'pivot '!A:A,'pivot '!G:G, "NF")</f>
        <v>NF</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hidden="1" x14ac:dyDescent="0.3">
      <c r="A48" s="28">
        <v>45899</v>
      </c>
      <c r="B48" s="29" t="s">
        <v>24</v>
      </c>
      <c r="C48" s="29">
        <v>758</v>
      </c>
      <c r="D48" s="29" t="s">
        <v>91</v>
      </c>
      <c r="E48" s="11">
        <v>1663</v>
      </c>
      <c r="F48" s="11">
        <v>10374</v>
      </c>
      <c r="G48" s="11">
        <v>11018</v>
      </c>
      <c r="H48" s="32" t="str">
        <f>_xlfn.XLOOKUP(Table1[[#This Row],[Shipment Number]], 'pivot '!A:A,'pivot '!G:G, "NF")</f>
        <v>NF</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hidden="1" x14ac:dyDescent="0.3">
      <c r="A49" s="28">
        <v>45899</v>
      </c>
      <c r="B49" s="29" t="s">
        <v>263</v>
      </c>
      <c r="C49" s="29">
        <v>759</v>
      </c>
      <c r="D49" s="29" t="s">
        <v>89</v>
      </c>
      <c r="E49" s="11">
        <v>1598</v>
      </c>
      <c r="F49" s="11">
        <v>22631</v>
      </c>
      <c r="G49" s="11">
        <v>23305</v>
      </c>
      <c r="H49" s="32" t="str">
        <f>_xlfn.XLOOKUP(Table1[[#This Row],[Shipment Number]], 'pivot '!A:A,'pivot '!G:G, "NF")</f>
        <v>NF</v>
      </c>
      <c r="I49" s="32">
        <f>IF(Table1[[#This Row],[Shipment Number]]="RD",0,Table1[[#This Row],[Tiyaar/gaz]]/1.0936)</f>
        <v>21310.35113386979</v>
      </c>
      <c r="J49" s="32">
        <f>Table1[[#This Row],[tiyar/meters]]*12</f>
        <v>255724.21360643749</v>
      </c>
      <c r="K49" s="29"/>
      <c r="P49"/>
      <c r="Q49"/>
      <c r="R49"/>
      <c r="S49"/>
      <c r="T49"/>
      <c r="U49"/>
      <c r="V49"/>
      <c r="W49"/>
      <c r="X49"/>
      <c r="Y49"/>
    </row>
    <row r="50" spans="1:25" hidden="1" x14ac:dyDescent="0.3">
      <c r="A50" s="28">
        <v>45899</v>
      </c>
      <c r="B50" s="29" t="s">
        <v>25</v>
      </c>
      <c r="C50" s="29">
        <v>760</v>
      </c>
      <c r="D50" s="29" t="s">
        <v>89</v>
      </c>
      <c r="E50" s="11" t="s">
        <v>243</v>
      </c>
      <c r="F50" s="11">
        <v>40502</v>
      </c>
      <c r="G50" s="11">
        <v>9308</v>
      </c>
      <c r="H50" s="32" t="str">
        <f>_xlfn.XLOOKUP(Table1[[#This Row],[Shipment Number]], 'pivot '!A:A,'pivot '!G:G, "NF")</f>
        <v>NF</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hidden="1" x14ac:dyDescent="0.3">
      <c r="A51" s="28">
        <v>45900</v>
      </c>
      <c r="B51" s="29" t="s">
        <v>21</v>
      </c>
      <c r="C51" s="29">
        <v>761</v>
      </c>
      <c r="D51" s="29" t="s">
        <v>89</v>
      </c>
      <c r="E51" s="11">
        <v>1655</v>
      </c>
      <c r="F51" s="11">
        <v>167135</v>
      </c>
      <c r="G51" s="11">
        <v>20380</v>
      </c>
      <c r="H51" s="32" t="str">
        <f>_xlfn.XLOOKUP(Table1[[#This Row],[Shipment Number]], 'pivot '!A:A,'pivot '!G:G, "NF")</f>
        <v>NF</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hidden="1" x14ac:dyDescent="0.3">
      <c r="A52" s="28">
        <v>45900</v>
      </c>
      <c r="B52" s="29" t="s">
        <v>24</v>
      </c>
      <c r="C52" s="29">
        <v>762</v>
      </c>
      <c r="D52" s="29" t="s">
        <v>91</v>
      </c>
      <c r="E52" s="11">
        <v>1661</v>
      </c>
      <c r="F52" s="11">
        <v>6217</v>
      </c>
      <c r="G52" s="11">
        <v>7020</v>
      </c>
      <c r="H52" s="32" t="str">
        <f>_xlfn.XLOOKUP(Table1[[#This Row],[Shipment Number]], 'pivot '!A:A,'pivot '!G:G, "NF")</f>
        <v>NF</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hidden="1" x14ac:dyDescent="0.3">
      <c r="A53" s="28">
        <v>45900</v>
      </c>
      <c r="B53" s="29" t="s">
        <v>21</v>
      </c>
      <c r="C53" s="29">
        <v>763</v>
      </c>
      <c r="D53" s="29" t="s">
        <v>89</v>
      </c>
      <c r="E53" s="11">
        <v>1658</v>
      </c>
      <c r="F53" s="11">
        <v>26004</v>
      </c>
      <c r="G53" s="11">
        <v>2776</v>
      </c>
      <c r="H53" s="32" t="str">
        <f>_xlfn.XLOOKUP(Table1[[#This Row],[Shipment Number]], 'pivot '!A:A,'pivot '!G:G, "NF")</f>
        <v>NF</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hidden="1" x14ac:dyDescent="0.3">
      <c r="A54" s="28">
        <v>45900</v>
      </c>
      <c r="B54" s="29" t="s">
        <v>21</v>
      </c>
      <c r="C54" s="29">
        <v>764</v>
      </c>
      <c r="D54" s="29" t="s">
        <v>89</v>
      </c>
      <c r="E54" s="11">
        <v>1658</v>
      </c>
      <c r="F54" s="11">
        <v>26004</v>
      </c>
      <c r="G54" s="11">
        <v>25394</v>
      </c>
      <c r="H54" s="32" t="str">
        <f>_xlfn.XLOOKUP(Table1[[#This Row],[Shipment Number]], 'pivot '!A:A,'pivot '!G:G, "NF")</f>
        <v>NF</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hidden="1" x14ac:dyDescent="0.3">
      <c r="A55" s="28">
        <v>45900</v>
      </c>
      <c r="B55" s="29" t="s">
        <v>21</v>
      </c>
      <c r="C55" s="29">
        <v>765</v>
      </c>
      <c r="D55" s="29" t="s">
        <v>89</v>
      </c>
      <c r="E55" s="11">
        <v>1655</v>
      </c>
      <c r="F55" s="11">
        <v>167135</v>
      </c>
      <c r="G55" s="11">
        <v>10496</v>
      </c>
      <c r="H55" s="32" t="str">
        <f>_xlfn.XLOOKUP(Table1[[#This Row],[Shipment Number]], 'pivot '!A:A,'pivot '!G:G, "NF")</f>
        <v>NF</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hidden="1" x14ac:dyDescent="0.3">
      <c r="A56" s="28">
        <v>45900</v>
      </c>
      <c r="B56" s="29" t="s">
        <v>21</v>
      </c>
      <c r="C56" s="29">
        <v>766</v>
      </c>
      <c r="D56" s="29" t="s">
        <v>89</v>
      </c>
      <c r="E56" s="11">
        <v>1607</v>
      </c>
      <c r="F56" s="11">
        <f t="shared" ref="F56:F57" si="0">101237-40502</f>
        <v>60735</v>
      </c>
      <c r="G56" s="11">
        <v>9552</v>
      </c>
      <c r="H56" s="32" t="str">
        <f>_xlfn.XLOOKUP(Table1[[#This Row],[Shipment Number]], 'pivot '!A:A,'pivot '!G:G, "NF")</f>
        <v>NF</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hidden="1" x14ac:dyDescent="0.3">
      <c r="A57" s="28">
        <v>45900</v>
      </c>
      <c r="B57" s="29" t="s">
        <v>21</v>
      </c>
      <c r="C57" s="29">
        <v>767</v>
      </c>
      <c r="D57" s="29" t="s">
        <v>89</v>
      </c>
      <c r="E57" s="11">
        <v>1607</v>
      </c>
      <c r="F57" s="11">
        <f t="shared" si="0"/>
        <v>60735</v>
      </c>
      <c r="G57" s="11">
        <v>13908</v>
      </c>
      <c r="H57" s="32" t="str">
        <f>_xlfn.XLOOKUP(Table1[[#This Row],[Shipment Number]], 'pivot '!A:A,'pivot '!G:G, "NF")</f>
        <v>NF</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hidden="1" x14ac:dyDescent="0.3">
      <c r="A58" s="28">
        <v>45900</v>
      </c>
      <c r="B58" s="29" t="s">
        <v>37</v>
      </c>
      <c r="C58" s="29">
        <v>768</v>
      </c>
      <c r="D58" s="29" t="s">
        <v>89</v>
      </c>
      <c r="E58" s="11">
        <v>1656</v>
      </c>
      <c r="F58" s="11">
        <v>9784</v>
      </c>
      <c r="G58" s="11">
        <v>10672</v>
      </c>
      <c r="H58" s="32" t="str">
        <f>_xlfn.XLOOKUP(Table1[[#This Row],[Shipment Number]], 'pivot '!A:A,'pivot '!G:G, "NF")</f>
        <v>NF</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hidden="1" x14ac:dyDescent="0.3">
      <c r="A59" s="28">
        <v>45900</v>
      </c>
      <c r="B59" s="29" t="s">
        <v>24</v>
      </c>
      <c r="C59" s="29">
        <v>769</v>
      </c>
      <c r="D59" s="29" t="s">
        <v>89</v>
      </c>
      <c r="E59" s="11">
        <v>1654</v>
      </c>
      <c r="F59" s="11">
        <v>14999</v>
      </c>
      <c r="G59" s="11">
        <v>15800</v>
      </c>
      <c r="H59" s="32" t="str">
        <f>_xlfn.XLOOKUP(Table1[[#This Row],[Shipment Number]], 'pivot '!A:A,'pivot '!G:G, "NF")</f>
        <v>NF</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hidden="1" x14ac:dyDescent="0.3">
      <c r="A60" s="28">
        <v>45900</v>
      </c>
      <c r="B60" s="29" t="s">
        <v>24</v>
      </c>
      <c r="C60" s="29">
        <v>770</v>
      </c>
      <c r="D60" s="29" t="s">
        <v>89</v>
      </c>
      <c r="E60" s="11">
        <v>1659</v>
      </c>
      <c r="F60" s="11">
        <v>21934</v>
      </c>
      <c r="G60" s="11">
        <v>6612</v>
      </c>
      <c r="H60" s="32" t="str">
        <f>_xlfn.XLOOKUP(Table1[[#This Row],[Shipment Number]], 'pivot '!A:A,'pivot '!G:G, "NF")</f>
        <v>NF</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hidden="1" x14ac:dyDescent="0.3">
      <c r="A61" s="28">
        <v>45901</v>
      </c>
      <c r="B61" s="29" t="s">
        <v>21</v>
      </c>
      <c r="C61" s="29">
        <v>771</v>
      </c>
      <c r="D61" s="29" t="s">
        <v>89</v>
      </c>
      <c r="E61" s="11">
        <v>1607</v>
      </c>
      <c r="F61" s="11">
        <f>101239-40502</f>
        <v>60737</v>
      </c>
      <c r="G61" s="11">
        <v>10650</v>
      </c>
      <c r="H61" s="32" t="str">
        <f>_xlfn.XLOOKUP(Table1[[#This Row],[Shipment Number]], 'pivot '!A:A,'pivot '!G:G, "NF")</f>
        <v>NF</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hidden="1" x14ac:dyDescent="0.3">
      <c r="A62" s="28">
        <v>45901</v>
      </c>
      <c r="B62" s="29" t="s">
        <v>24</v>
      </c>
      <c r="C62" s="29">
        <v>772</v>
      </c>
      <c r="D62" s="29" t="s">
        <v>89</v>
      </c>
      <c r="E62" s="11">
        <v>1659</v>
      </c>
      <c r="F62" s="11">
        <v>21934</v>
      </c>
      <c r="G62" s="11">
        <v>17302</v>
      </c>
      <c r="H62" s="32" t="str">
        <f>_xlfn.XLOOKUP(Table1[[#This Row],[Shipment Number]], 'pivot '!A:A,'pivot '!G:G, "NF")</f>
        <v>NF</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hidden="1" x14ac:dyDescent="0.3">
      <c r="A63" s="28">
        <v>45901</v>
      </c>
      <c r="B63" s="29" t="s">
        <v>24</v>
      </c>
      <c r="C63" s="29">
        <v>773</v>
      </c>
      <c r="D63" s="29" t="s">
        <v>91</v>
      </c>
      <c r="E63" s="11">
        <v>1669</v>
      </c>
      <c r="F63" s="11">
        <v>30140</v>
      </c>
      <c r="G63" s="11">
        <v>8444</v>
      </c>
      <c r="H63" s="32" t="str">
        <f>_xlfn.XLOOKUP(Table1[[#This Row],[Shipment Number]], 'pivot '!A:A,'pivot '!G:G, "NF")</f>
        <v>NF</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hidden="1" x14ac:dyDescent="0.3">
      <c r="A64" s="28">
        <v>45902</v>
      </c>
      <c r="B64" s="29" t="s">
        <v>24</v>
      </c>
      <c r="C64" s="29">
        <v>774</v>
      </c>
      <c r="D64" s="29" t="s">
        <v>91</v>
      </c>
      <c r="E64" s="11">
        <v>1669</v>
      </c>
      <c r="F64" s="11">
        <v>30140</v>
      </c>
      <c r="G64" s="11">
        <v>24391</v>
      </c>
      <c r="H64" s="32" t="str">
        <f>_xlfn.XLOOKUP(Table1[[#This Row],[Shipment Number]], 'pivot '!A:A,'pivot '!G:G, "NF")</f>
        <v>NF</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hidden="1" x14ac:dyDescent="0.3">
      <c r="A65" s="28">
        <v>45902</v>
      </c>
      <c r="B65" s="29" t="s">
        <v>24</v>
      </c>
      <c r="C65" s="29">
        <v>775</v>
      </c>
      <c r="D65" s="29" t="s">
        <v>91</v>
      </c>
      <c r="E65" s="11">
        <v>1666</v>
      </c>
      <c r="F65" s="11">
        <v>9346</v>
      </c>
      <c r="G65" s="11">
        <v>5084</v>
      </c>
      <c r="H65" s="32" t="str">
        <f>_xlfn.XLOOKUP(Table1[[#This Row],[Shipment Number]], 'pivot '!A:A,'pivot '!G:G, "NF")</f>
        <v>NF</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hidden="1" x14ac:dyDescent="0.3">
      <c r="A66" s="28">
        <v>45902</v>
      </c>
      <c r="B66" s="29" t="s">
        <v>21</v>
      </c>
      <c r="C66" s="29">
        <v>776</v>
      </c>
      <c r="D66" s="29" t="s">
        <v>89</v>
      </c>
      <c r="E66" s="11">
        <v>1607</v>
      </c>
      <c r="F66" s="11">
        <v>60737</v>
      </c>
      <c r="G66" s="11">
        <v>4760</v>
      </c>
      <c r="H66" s="32" t="str">
        <f>_xlfn.XLOOKUP(Table1[[#This Row],[Shipment Number]], 'pivot '!A:A,'pivot '!G:G, "NF")</f>
        <v>NF</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hidden="1" x14ac:dyDescent="0.3">
      <c r="A67" s="28">
        <v>45902</v>
      </c>
      <c r="B67" s="29" t="s">
        <v>21</v>
      </c>
      <c r="C67" s="29">
        <v>777</v>
      </c>
      <c r="D67" s="29" t="s">
        <v>89</v>
      </c>
      <c r="E67" s="11">
        <v>1605</v>
      </c>
      <c r="F67" s="11">
        <v>103550</v>
      </c>
      <c r="G67" s="11">
        <v>888</v>
      </c>
      <c r="H67" s="32" t="str">
        <f>_xlfn.XLOOKUP(Table1[[#This Row],[Shipment Number]], 'pivot '!A:A,'pivot '!G:G, "NF")</f>
        <v>NF</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hidden="1" x14ac:dyDescent="0.3">
      <c r="A68" s="28">
        <v>45902</v>
      </c>
      <c r="B68" s="29" t="s">
        <v>21</v>
      </c>
      <c r="C68" s="29">
        <v>778</v>
      </c>
      <c r="D68" s="29" t="s">
        <v>89</v>
      </c>
      <c r="E68" s="11">
        <v>1655</v>
      </c>
      <c r="F68" s="11">
        <v>167135</v>
      </c>
      <c r="G68" s="11">
        <v>7900</v>
      </c>
      <c r="H68" s="32" t="str">
        <f>_xlfn.XLOOKUP(Table1[[#This Row],[Shipment Number]], 'pivot '!A:A,'pivot '!G:G, "NF")</f>
        <v>NF</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hidden="1" x14ac:dyDescent="0.3">
      <c r="A69" s="28">
        <v>45903</v>
      </c>
      <c r="B69" s="29" t="s">
        <v>21</v>
      </c>
      <c r="C69" s="29">
        <v>779</v>
      </c>
      <c r="D69" s="29" t="s">
        <v>89</v>
      </c>
      <c r="E69" s="11">
        <v>1655</v>
      </c>
      <c r="F69" s="11">
        <v>167135</v>
      </c>
      <c r="G69" s="11">
        <v>17788</v>
      </c>
      <c r="H69" s="32" t="str">
        <f>_xlfn.XLOOKUP(Table1[[#This Row],[Shipment Number]], 'pivot '!A:A,'pivot '!G:G, "NF")</f>
        <v>NF</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hidden="1" x14ac:dyDescent="0.3">
      <c r="A70" s="28">
        <v>45903</v>
      </c>
      <c r="B70" s="29" t="s">
        <v>21</v>
      </c>
      <c r="C70" s="29">
        <v>780</v>
      </c>
      <c r="D70" s="29" t="s">
        <v>89</v>
      </c>
      <c r="E70" s="11">
        <v>1657</v>
      </c>
      <c r="F70" s="11">
        <v>55567</v>
      </c>
      <c r="G70" s="11">
        <v>19577</v>
      </c>
      <c r="H70" s="32" t="str">
        <f>_xlfn.XLOOKUP(Table1[[#This Row],[Shipment Number]], 'pivot '!A:A,'pivot '!G:G, "NF")</f>
        <v>NF</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hidden="1" x14ac:dyDescent="0.3">
      <c r="A71" s="28">
        <v>45903</v>
      </c>
      <c r="B71" s="29" t="s">
        <v>9</v>
      </c>
      <c r="C71" s="29">
        <v>781</v>
      </c>
      <c r="D71" s="29" t="s">
        <v>89</v>
      </c>
      <c r="E71" s="11">
        <v>1676</v>
      </c>
      <c r="F71" s="11">
        <v>30009</v>
      </c>
      <c r="G71" s="11">
        <v>12687</v>
      </c>
      <c r="H71" s="32" t="str">
        <f>_xlfn.XLOOKUP(Table1[[#This Row],[Shipment Number]], 'pivot '!A:A,'pivot '!G:G, "NF")</f>
        <v>NF</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hidden="1" x14ac:dyDescent="0.3">
      <c r="A72" s="28">
        <v>45905</v>
      </c>
      <c r="B72" s="29" t="s">
        <v>21</v>
      </c>
      <c r="C72" s="29">
        <v>782</v>
      </c>
      <c r="D72" s="29" t="s">
        <v>89</v>
      </c>
      <c r="E72" s="11">
        <v>1655</v>
      </c>
      <c r="F72" s="11">
        <v>167135</v>
      </c>
      <c r="G72" s="11">
        <v>14207</v>
      </c>
      <c r="H72" s="32" t="str">
        <f>_xlfn.XLOOKUP(Table1[[#This Row],[Shipment Number]], 'pivot '!A:A,'pivot '!G:G, "NF")</f>
        <v>NF</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hidden="1" x14ac:dyDescent="0.3">
      <c r="A73" s="28">
        <v>45905</v>
      </c>
      <c r="B73" s="29" t="s">
        <v>9</v>
      </c>
      <c r="C73" s="29">
        <v>783</v>
      </c>
      <c r="D73" s="29" t="s">
        <v>89</v>
      </c>
      <c r="E73" s="11">
        <v>1676</v>
      </c>
      <c r="F73" s="11">
        <v>30009</v>
      </c>
      <c r="G73" s="11">
        <v>19240</v>
      </c>
      <c r="H73" s="32" t="str">
        <f>_xlfn.XLOOKUP(Table1[[#This Row],[Shipment Number]], 'pivot '!A:A,'pivot '!G:G, "NF")</f>
        <v>NF</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hidden="1" x14ac:dyDescent="0.3">
      <c r="A74" s="28">
        <v>45905</v>
      </c>
      <c r="B74" s="29" t="s">
        <v>21</v>
      </c>
      <c r="C74" s="29">
        <v>784</v>
      </c>
      <c r="D74" s="29" t="s">
        <v>89</v>
      </c>
      <c r="E74" s="11">
        <v>1657</v>
      </c>
      <c r="F74" s="11">
        <v>55576</v>
      </c>
      <c r="G74" s="11">
        <v>13299</v>
      </c>
      <c r="H74" s="32" t="str">
        <f>_xlfn.XLOOKUP(Table1[[#This Row],[Shipment Number]], 'pivot '!A:A,'pivot '!G:G, "NF")</f>
        <v>NF</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hidden="1" x14ac:dyDescent="0.3">
      <c r="A75" s="28">
        <v>45907</v>
      </c>
      <c r="B75" s="29" t="s">
        <v>24</v>
      </c>
      <c r="C75" s="29">
        <v>785</v>
      </c>
      <c r="D75" s="29" t="s">
        <v>91</v>
      </c>
      <c r="E75" s="11">
        <v>1683</v>
      </c>
      <c r="F75" s="11">
        <v>6915</v>
      </c>
      <c r="G75" s="11">
        <v>7664</v>
      </c>
      <c r="H75" s="32" t="str">
        <f>_xlfn.XLOOKUP(Table1[[#This Row],[Shipment Number]], 'pivot '!A:A,'pivot '!G:G, "NF")</f>
        <v>NF</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hidden="1" x14ac:dyDescent="0.3">
      <c r="A76" s="28">
        <v>45907</v>
      </c>
      <c r="B76" s="29" t="s">
        <v>24</v>
      </c>
      <c r="C76" s="29">
        <v>786</v>
      </c>
      <c r="D76" s="29" t="s">
        <v>91</v>
      </c>
      <c r="E76" s="11">
        <v>1666</v>
      </c>
      <c r="F76" s="11">
        <v>9346</v>
      </c>
      <c r="G76" s="11">
        <v>5132</v>
      </c>
      <c r="H76" s="32" t="str">
        <f>_xlfn.XLOOKUP(Table1[[#This Row],[Shipment Number]], 'pivot '!A:A,'pivot '!G:G, "NF")</f>
        <v>NF</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hidden="1" x14ac:dyDescent="0.3">
      <c r="A77" s="28">
        <v>45907</v>
      </c>
      <c r="B77" s="29" t="s">
        <v>24</v>
      </c>
      <c r="C77" s="29">
        <v>787</v>
      </c>
      <c r="D77" s="29" t="s">
        <v>91</v>
      </c>
      <c r="E77" s="11">
        <v>1673</v>
      </c>
      <c r="F77" s="11">
        <v>16493</v>
      </c>
      <c r="G77" s="11">
        <v>18066</v>
      </c>
      <c r="H77" s="32" t="str">
        <f>_xlfn.XLOOKUP(Table1[[#This Row],[Shipment Number]], 'pivot '!A:A,'pivot '!G:G, "NF")</f>
        <v>NF</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hidden="1" x14ac:dyDescent="0.3">
      <c r="A78" s="28">
        <v>45907</v>
      </c>
      <c r="B78" s="29" t="s">
        <v>24</v>
      </c>
      <c r="C78" s="29">
        <v>788</v>
      </c>
      <c r="D78" s="29" t="s">
        <v>91</v>
      </c>
      <c r="E78" s="11">
        <v>1679</v>
      </c>
      <c r="F78" s="11">
        <v>11403</v>
      </c>
      <c r="G78" s="11">
        <v>12318</v>
      </c>
      <c r="H78" s="32" t="str">
        <f>_xlfn.XLOOKUP(Table1[[#This Row],[Shipment Number]], 'pivot '!A:A,'pivot '!G:G, "NF")</f>
        <v>NF</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hidden="1" x14ac:dyDescent="0.3">
      <c r="A79" s="28">
        <v>45907</v>
      </c>
      <c r="B79" s="29" t="s">
        <v>24</v>
      </c>
      <c r="C79" s="29">
        <v>789</v>
      </c>
      <c r="D79" s="29" t="s">
        <v>89</v>
      </c>
      <c r="E79" s="11">
        <v>1668</v>
      </c>
      <c r="F79" s="11">
        <v>22329</v>
      </c>
      <c r="G79" s="11">
        <v>23797</v>
      </c>
      <c r="H79" s="32" t="str">
        <f>_xlfn.XLOOKUP(Table1[[#This Row],[Shipment Number]], 'pivot '!A:A,'pivot '!G:G, "NF")</f>
        <v>NF</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hidden="1" x14ac:dyDescent="0.3">
      <c r="A80" s="28">
        <v>45907</v>
      </c>
      <c r="B80" s="29" t="s">
        <v>21</v>
      </c>
      <c r="C80" s="29">
        <v>790</v>
      </c>
      <c r="D80" s="29" t="s">
        <v>89</v>
      </c>
      <c r="E80" s="11">
        <v>1655</v>
      </c>
      <c r="F80" s="11">
        <v>167135</v>
      </c>
      <c r="G80" s="11">
        <v>27148</v>
      </c>
      <c r="H80" s="32" t="str">
        <f>_xlfn.XLOOKUP(Table1[[#This Row],[Shipment Number]], 'pivot '!A:A,'pivot '!G:G, "NF")</f>
        <v>NF</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hidden="1" x14ac:dyDescent="0.3">
      <c r="A81" s="28">
        <v>45908</v>
      </c>
      <c r="B81" s="29" t="s">
        <v>21</v>
      </c>
      <c r="C81" s="29">
        <v>791</v>
      </c>
      <c r="D81" s="29" t="s">
        <v>89</v>
      </c>
      <c r="E81" s="11">
        <v>1657</v>
      </c>
      <c r="F81" s="11">
        <v>55576</v>
      </c>
      <c r="G81" s="11">
        <v>17480</v>
      </c>
      <c r="H81" s="32" t="str">
        <f>_xlfn.XLOOKUP(Table1[[#This Row],[Shipment Number]], 'pivot '!A:A,'pivot '!G:G, "NF")</f>
        <v>NF</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hidden="1" x14ac:dyDescent="0.3">
      <c r="A82" s="28">
        <v>45908</v>
      </c>
      <c r="B82" s="29" t="s">
        <v>24</v>
      </c>
      <c r="C82" s="29">
        <v>792</v>
      </c>
      <c r="D82" s="29" t="s">
        <v>89</v>
      </c>
      <c r="E82" s="11">
        <v>1664</v>
      </c>
      <c r="F82" s="11">
        <v>22553</v>
      </c>
      <c r="G82" s="11">
        <v>22158</v>
      </c>
      <c r="H82" s="32" t="str">
        <f>_xlfn.XLOOKUP(Table1[[#This Row],[Shipment Number]], 'pivot '!A:A,'pivot '!G:G, "NF")</f>
        <v>NF</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hidden="1" x14ac:dyDescent="0.3">
      <c r="A83" s="28">
        <v>45908</v>
      </c>
      <c r="B83" s="29" t="s">
        <v>24</v>
      </c>
      <c r="C83" s="29">
        <v>793</v>
      </c>
      <c r="D83" s="29" t="s">
        <v>89</v>
      </c>
      <c r="E83" s="11">
        <v>1660</v>
      </c>
      <c r="F83" s="11">
        <v>10383</v>
      </c>
      <c r="G83" s="11">
        <v>11184</v>
      </c>
      <c r="H83" s="32" t="str">
        <f>_xlfn.XLOOKUP(Table1[[#This Row],[Shipment Number]], 'pivot '!A:A,'pivot '!G:G, "NF")</f>
        <v>NF</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hidden="1" x14ac:dyDescent="0.3">
      <c r="A84" s="28">
        <v>45908</v>
      </c>
      <c r="B84" s="29" t="s">
        <v>24</v>
      </c>
      <c r="C84" s="29">
        <v>794</v>
      </c>
      <c r="D84" s="29" t="s">
        <v>89</v>
      </c>
      <c r="E84" s="11">
        <v>1678</v>
      </c>
      <c r="F84" s="11">
        <v>13434</v>
      </c>
      <c r="G84" s="11">
        <v>14474</v>
      </c>
      <c r="H84" s="32" t="str">
        <f>_xlfn.XLOOKUP(Table1[[#This Row],[Shipment Number]], 'pivot '!A:A,'pivot '!G:G, "NF")</f>
        <v>NF</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hidden="1" x14ac:dyDescent="0.3">
      <c r="A85" s="28">
        <v>45908</v>
      </c>
      <c r="B85" s="29" t="s">
        <v>24</v>
      </c>
      <c r="C85" s="29">
        <v>795</v>
      </c>
      <c r="D85" s="29" t="s">
        <v>89</v>
      </c>
      <c r="E85" s="11">
        <v>1677</v>
      </c>
      <c r="F85" s="11">
        <v>3511</v>
      </c>
      <c r="G85" s="11">
        <v>3774</v>
      </c>
      <c r="H85" s="32" t="str">
        <f>_xlfn.XLOOKUP(Table1[[#This Row],[Shipment Number]], 'pivot '!A:A,'pivot '!G:G, "NF")</f>
        <v>NF</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hidden="1" x14ac:dyDescent="0.3">
      <c r="A86" s="28">
        <v>45909</v>
      </c>
      <c r="B86" s="29" t="s">
        <v>21</v>
      </c>
      <c r="C86" s="29">
        <v>796</v>
      </c>
      <c r="D86" s="29" t="s">
        <v>89</v>
      </c>
      <c r="E86" s="11">
        <v>1657</v>
      </c>
      <c r="F86" s="11">
        <v>55576</v>
      </c>
      <c r="G86" s="11">
        <v>8892</v>
      </c>
      <c r="H86" s="32" t="str">
        <f>_xlfn.XLOOKUP(Table1[[#This Row],[Shipment Number]], 'pivot '!A:A,'pivot '!G:G, "NF")</f>
        <v>NF</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hidden="1" x14ac:dyDescent="0.3">
      <c r="A87" s="28">
        <v>45909</v>
      </c>
      <c r="B87" s="29" t="s">
        <v>24</v>
      </c>
      <c r="C87" s="29">
        <v>797</v>
      </c>
      <c r="D87" s="29" t="s">
        <v>89</v>
      </c>
      <c r="E87" s="11">
        <v>1667</v>
      </c>
      <c r="F87" s="11">
        <v>14638</v>
      </c>
      <c r="G87" s="11">
        <v>4334</v>
      </c>
      <c r="H87" s="32" t="str">
        <f>_xlfn.XLOOKUP(Table1[[#This Row],[Shipment Number]], 'pivot '!A:A,'pivot '!G:G, "NF")</f>
        <v>NF</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hidden="1" x14ac:dyDescent="0.3">
      <c r="A88" s="28">
        <v>45909</v>
      </c>
      <c r="B88" s="29" t="s">
        <v>22</v>
      </c>
      <c r="C88" s="29">
        <v>798</v>
      </c>
      <c r="D88" s="29" t="s">
        <v>89</v>
      </c>
      <c r="E88" s="11">
        <v>1675</v>
      </c>
      <c r="F88" s="11">
        <v>25085</v>
      </c>
      <c r="G88" s="11">
        <v>13135</v>
      </c>
      <c r="H88" s="32" t="str">
        <f>_xlfn.XLOOKUP(Table1[[#This Row],[Shipment Number]], 'pivot '!A:A,'pivot '!G:G, "NF")</f>
        <v>NF</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hidden="1" x14ac:dyDescent="0.3">
      <c r="A89" s="28">
        <v>45909</v>
      </c>
      <c r="B89" s="29" t="s">
        <v>22</v>
      </c>
      <c r="C89" s="29">
        <v>799</v>
      </c>
      <c r="D89" s="29" t="s">
        <v>89</v>
      </c>
      <c r="E89" s="11">
        <v>1675</v>
      </c>
      <c r="F89" s="11">
        <v>25085</v>
      </c>
      <c r="G89" s="11">
        <v>13937</v>
      </c>
      <c r="H89" s="32" t="str">
        <f>_xlfn.XLOOKUP(Table1[[#This Row],[Shipment Number]], 'pivot '!A:A,'pivot '!G:G, "NF")</f>
        <v>NF</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hidden="1" x14ac:dyDescent="0.3">
      <c r="A90" s="28">
        <v>45909</v>
      </c>
      <c r="B90" s="29" t="s">
        <v>24</v>
      </c>
      <c r="C90" s="29">
        <v>800</v>
      </c>
      <c r="D90" s="29" t="s">
        <v>89</v>
      </c>
      <c r="E90" s="11">
        <v>1667</v>
      </c>
      <c r="F90" s="11">
        <v>14638</v>
      </c>
      <c r="G90" s="11">
        <v>11348</v>
      </c>
      <c r="H90" s="32" t="str">
        <f>_xlfn.XLOOKUP(Table1[[#This Row],[Shipment Number]], 'pivot '!A:A,'pivot '!G:G, "NF")</f>
        <v>NF</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hidden="1" x14ac:dyDescent="0.3">
      <c r="A91" s="28">
        <v>45909</v>
      </c>
      <c r="B91" s="29" t="s">
        <v>21</v>
      </c>
      <c r="C91" s="29">
        <v>801</v>
      </c>
      <c r="D91" s="29" t="s">
        <v>89</v>
      </c>
      <c r="E91" s="11">
        <v>1681</v>
      </c>
      <c r="F91" s="11">
        <v>24262</v>
      </c>
      <c r="G91" s="11">
        <v>6181</v>
      </c>
      <c r="H91" s="32" t="str">
        <f>_xlfn.XLOOKUP(Table1[[#This Row],[Shipment Number]], 'pivot '!A:A,'pivot '!G:G, "NF")</f>
        <v>NF</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hidden="1" x14ac:dyDescent="0.3">
      <c r="A92" s="28">
        <v>45910</v>
      </c>
      <c r="B92" s="29" t="s">
        <v>21</v>
      </c>
      <c r="C92" s="29">
        <v>802</v>
      </c>
      <c r="D92" s="29" t="s">
        <v>89</v>
      </c>
      <c r="E92" s="11">
        <v>1681</v>
      </c>
      <c r="F92" s="11">
        <v>24262</v>
      </c>
      <c r="G92" s="11">
        <v>20149</v>
      </c>
      <c r="H92" s="32" t="str">
        <f>_xlfn.XLOOKUP(Table1[[#This Row],[Shipment Number]], 'pivot '!A:A,'pivot '!G:G, "NF")</f>
        <v>NF</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hidden="1" x14ac:dyDescent="0.3">
      <c r="A93" s="28">
        <v>45910</v>
      </c>
      <c r="B93" s="29" t="s">
        <v>324</v>
      </c>
      <c r="C93" s="29">
        <v>803</v>
      </c>
      <c r="D93" s="29" t="s">
        <v>89</v>
      </c>
      <c r="E93" s="11">
        <v>1674</v>
      </c>
      <c r="F93" s="11">
        <v>26274</v>
      </c>
      <c r="G93" s="11">
        <v>24694</v>
      </c>
      <c r="H93" s="32" t="str">
        <f>_xlfn.XLOOKUP(Table1[[#This Row],[Shipment Number]], 'pivot '!A:A,'pivot '!G:G, "NF")</f>
        <v>NF</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hidden="1" x14ac:dyDescent="0.3">
      <c r="A94" s="28">
        <v>45911</v>
      </c>
      <c r="B94" s="29" t="s">
        <v>24</v>
      </c>
      <c r="C94" s="29">
        <v>804</v>
      </c>
      <c r="D94" s="29" t="s">
        <v>89</v>
      </c>
      <c r="E94" s="11">
        <v>1680</v>
      </c>
      <c r="F94" s="11">
        <v>22040</v>
      </c>
      <c r="G94" s="11">
        <v>8999</v>
      </c>
      <c r="H94" s="32" t="str">
        <f>_xlfn.XLOOKUP(Table1[[#This Row],[Shipment Number]], 'pivot '!A:A,'pivot '!G:G, "NF")</f>
        <v>NF</v>
      </c>
      <c r="I94" s="32">
        <f>IF(Table1[[#This Row],[Shipment Number]]="RD",0,Table1[[#This Row],[Tiyaar/gaz]]/1.0936)</f>
        <v>8228.7856620336515</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74059.070958302866</v>
      </c>
      <c r="K94" s="29"/>
      <c r="P94"/>
      <c r="Q94"/>
    </row>
    <row r="95" spans="1:17" hidden="1" x14ac:dyDescent="0.3">
      <c r="A95" s="28">
        <v>45911</v>
      </c>
      <c r="B95" s="29" t="s">
        <v>24</v>
      </c>
      <c r="C95" s="29">
        <v>805</v>
      </c>
      <c r="D95" s="29" t="s">
        <v>89</v>
      </c>
      <c r="E95" s="11">
        <v>1682</v>
      </c>
      <c r="F95" s="11">
        <v>13196</v>
      </c>
      <c r="G95" s="11">
        <v>9858</v>
      </c>
      <c r="H95" s="32" t="str">
        <f>_xlfn.XLOOKUP(Table1[[#This Row],[Shipment Number]], 'pivot '!A:A,'pivot '!G:G, "NF")</f>
        <v>NF</v>
      </c>
      <c r="I95" s="32">
        <f>IF(Table1[[#This Row],[Shipment Number]]="RD",0,Table1[[#This Row],[Tiyaar/gaz]]/1.0936)</f>
        <v>9014.2648134601332</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81128.383321141198</v>
      </c>
      <c r="K95" s="29"/>
      <c r="O95"/>
      <c r="P95"/>
      <c r="Q95"/>
    </row>
    <row r="96" spans="1:17" hidden="1" x14ac:dyDescent="0.3">
      <c r="A96" s="28">
        <v>45911</v>
      </c>
      <c r="B96" s="29" t="s">
        <v>23</v>
      </c>
      <c r="C96" s="29">
        <v>806</v>
      </c>
      <c r="D96" s="29" t="s">
        <v>89</v>
      </c>
      <c r="E96" s="11">
        <v>1633</v>
      </c>
      <c r="F96" s="11">
        <v>26624</v>
      </c>
      <c r="G96" s="11">
        <v>28756</v>
      </c>
      <c r="H96" s="32" t="str">
        <f>_xlfn.XLOOKUP(Table1[[#This Row],[Shipment Number]], 'pivot '!A:A,'pivot '!G:G, "NF")</f>
        <v>NF</v>
      </c>
      <c r="I96" s="32">
        <f>IF(Table1[[#This Row],[Shipment Number]]="RD",0,Table1[[#This Row],[Tiyaar/gaz]]/1.0936)</f>
        <v>26294.806144842725</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276095.46452084859</v>
      </c>
      <c r="K96" s="29"/>
      <c r="O96"/>
      <c r="P96"/>
      <c r="Q96"/>
    </row>
    <row r="97" spans="1:17" hidden="1" x14ac:dyDescent="0.3">
      <c r="A97" s="109">
        <v>45911</v>
      </c>
      <c r="B97" s="110"/>
      <c r="C97" s="110">
        <v>807</v>
      </c>
      <c r="D97" s="110"/>
      <c r="E97" s="111"/>
      <c r="F97" s="111"/>
      <c r="G97" s="111"/>
      <c r="H97" s="112" t="e">
        <f>_xlfn.XLOOKUP(Table1[[#This Row],[Shipment Number]], 'pivot '!A:A,'pivot '!G:G, "NF")</f>
        <v>#DIV/0!</v>
      </c>
      <c r="I97" s="112">
        <f>IF(Table1[[#This Row],[Shipment Number]]="RD",0,Table1[[#This Row],[Tiyaar/gaz]]/1.0936)</f>
        <v>0</v>
      </c>
      <c r="J97" s="112"/>
      <c r="K97" s="29"/>
      <c r="O97"/>
      <c r="P97"/>
      <c r="Q97"/>
    </row>
    <row r="98" spans="1:17" hidden="1" x14ac:dyDescent="0.3">
      <c r="A98" s="28">
        <v>45912</v>
      </c>
      <c r="B98" s="29" t="s">
        <v>324</v>
      </c>
      <c r="C98" s="29">
        <v>808</v>
      </c>
      <c r="D98" s="29" t="s">
        <v>89</v>
      </c>
      <c r="E98" s="11">
        <v>1674</v>
      </c>
      <c r="F98" s="11">
        <v>26274</v>
      </c>
      <c r="G98" s="11">
        <v>3855</v>
      </c>
      <c r="H98" s="32" t="str">
        <f>_xlfn.XLOOKUP(Table1[[#This Row],[Shipment Number]], 'pivot '!A:A,'pivot '!G:G, "NF")</f>
        <v>NF</v>
      </c>
      <c r="I98" s="32">
        <f>IF(Table1[[#This Row],[Shipment Number]]="RD",0,Table1[[#This Row],[Tiyaar/gaz]]/1.0936)</f>
        <v>3525.0548646671546</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35250.548646671545</v>
      </c>
      <c r="K98" s="29"/>
      <c r="L98"/>
      <c r="M98"/>
      <c r="O98"/>
      <c r="P98"/>
      <c r="Q98"/>
    </row>
    <row r="99" spans="1:17" hidden="1" x14ac:dyDescent="0.3">
      <c r="A99" s="28">
        <v>45912</v>
      </c>
      <c r="B99" s="29" t="s">
        <v>24</v>
      </c>
      <c r="C99" s="29">
        <v>809</v>
      </c>
      <c r="D99" s="29" t="s">
        <v>89</v>
      </c>
      <c r="E99" s="11">
        <v>1664</v>
      </c>
      <c r="F99" s="11">
        <v>22559</v>
      </c>
      <c r="G99" s="11">
        <v>2228</v>
      </c>
      <c r="H99" s="32" t="str">
        <f>_xlfn.XLOOKUP(Table1[[#This Row],[Shipment Number]], 'pivot '!A:A,'pivot '!G:G, "NF")</f>
        <v>NF</v>
      </c>
      <c r="I99" s="32">
        <f>IF(Table1[[#This Row],[Shipment Number]]="RD",0,Table1[[#This Row],[Tiyaar/gaz]]/1.0936)</f>
        <v>2037.3079736649599</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18335.771762984641</v>
      </c>
      <c r="K99" s="29"/>
      <c r="L99"/>
      <c r="M99"/>
      <c r="O99"/>
      <c r="P99"/>
      <c r="Q99"/>
    </row>
    <row r="100" spans="1:17" hidden="1" x14ac:dyDescent="0.3">
      <c r="A100" s="28">
        <v>45912</v>
      </c>
      <c r="B100" s="29" t="s">
        <v>24</v>
      </c>
      <c r="C100" s="29">
        <v>810</v>
      </c>
      <c r="D100" s="29" t="s">
        <v>91</v>
      </c>
      <c r="E100" s="11">
        <v>1685</v>
      </c>
      <c r="F100" s="11">
        <v>30020</v>
      </c>
      <c r="G100" s="11">
        <v>19760</v>
      </c>
      <c r="H100" s="32" t="str">
        <f>_xlfn.XLOOKUP(Table1[[#This Row],[Shipment Number]], 'pivot '!A:A,'pivot '!G:G, "NF")</f>
        <v>NF</v>
      </c>
      <c r="I100" s="32">
        <f>IF(Table1[[#This Row],[Shipment Number]]="RD",0,Table1[[#This Row],[Tiyaar/gaz]]/1.0936)</f>
        <v>18068.763716166792</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216825.16459400149</v>
      </c>
      <c r="K100" s="29"/>
      <c r="L100"/>
      <c r="M100"/>
      <c r="O100"/>
      <c r="P100"/>
      <c r="Q100"/>
    </row>
    <row r="101" spans="1:17" hidden="1" x14ac:dyDescent="0.3">
      <c r="A101" s="28">
        <v>45912</v>
      </c>
      <c r="B101" s="29" t="s">
        <v>24</v>
      </c>
      <c r="C101" s="29">
        <v>811</v>
      </c>
      <c r="D101" s="29" t="s">
        <v>91</v>
      </c>
      <c r="E101" s="11">
        <v>1686</v>
      </c>
      <c r="F101" s="11">
        <v>13670</v>
      </c>
      <c r="G101" s="11">
        <v>14695</v>
      </c>
      <c r="H101" s="32" t="str">
        <f>_xlfn.XLOOKUP(Table1[[#This Row],[Shipment Number]], 'pivot '!A:A,'pivot '!G:G, "NF")</f>
        <v>NF</v>
      </c>
      <c r="I101" s="32">
        <f>IF(Table1[[#This Row],[Shipment Number]]="RD",0,Table1[[#This Row],[Tiyaar/gaz]]/1.0936)</f>
        <v>13437.271397220191</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161247.2567666423</v>
      </c>
      <c r="K101" s="29"/>
      <c r="L101"/>
      <c r="M101"/>
      <c r="N101"/>
      <c r="O101"/>
      <c r="P101"/>
      <c r="Q101"/>
    </row>
    <row r="102" spans="1:17" hidden="1" x14ac:dyDescent="0.3">
      <c r="A102" s="28">
        <v>45912</v>
      </c>
      <c r="B102" s="29" t="s">
        <v>24</v>
      </c>
      <c r="C102" s="29">
        <v>812</v>
      </c>
      <c r="D102" s="29" t="s">
        <v>91</v>
      </c>
      <c r="E102" s="11">
        <v>1685</v>
      </c>
      <c r="F102" s="11">
        <v>30020</v>
      </c>
      <c r="G102" s="11">
        <v>6490</v>
      </c>
      <c r="H102" s="32" t="str">
        <f>_xlfn.XLOOKUP(Table1[[#This Row],[Shipment Number]], 'pivot '!A:A,'pivot '!G:G, "NF")</f>
        <v>NF</v>
      </c>
      <c r="I102" s="32">
        <f>IF(Table1[[#This Row],[Shipment Number]]="RD",0,Table1[[#This Row],[Tiyaar/gaz]]/1.0936)</f>
        <v>5934.5281638624729</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71214.337966349674</v>
      </c>
      <c r="K102" s="29"/>
      <c r="L102"/>
      <c r="M102"/>
      <c r="N102"/>
      <c r="O102"/>
      <c r="P102"/>
      <c r="Q102"/>
    </row>
    <row r="103" spans="1:17" hidden="1" x14ac:dyDescent="0.3">
      <c r="A103" s="28">
        <v>45912</v>
      </c>
      <c r="B103" s="29" t="s">
        <v>24</v>
      </c>
      <c r="C103" s="29">
        <v>813</v>
      </c>
      <c r="D103" s="29" t="s">
        <v>91</v>
      </c>
      <c r="E103" s="11">
        <v>1685</v>
      </c>
      <c r="F103" s="11">
        <v>30020</v>
      </c>
      <c r="G103" s="11">
        <v>6448</v>
      </c>
      <c r="H103" s="32" t="str">
        <f>_xlfn.XLOOKUP(Table1[[#This Row],[Shipment Number]], 'pivot '!A:A,'pivot '!G:G, "NF")</f>
        <v>NF</v>
      </c>
      <c r="I103" s="32">
        <f>IF(Table1[[#This Row],[Shipment Number]]="RD",0,Table1[[#This Row],[Tiyaar/gaz]]/1.0936)</f>
        <v>5896.1228968544265</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70753.474762253114</v>
      </c>
      <c r="K103" s="29"/>
      <c r="L103"/>
      <c r="M103"/>
      <c r="N103"/>
      <c r="O103"/>
      <c r="P103"/>
      <c r="Q103"/>
    </row>
    <row r="104" spans="1:17" hidden="1" x14ac:dyDescent="0.3">
      <c r="A104" s="28">
        <v>45912</v>
      </c>
      <c r="B104" s="29" t="s">
        <v>21</v>
      </c>
      <c r="C104" s="29">
        <v>814</v>
      </c>
      <c r="D104" s="29" t="s">
        <v>89</v>
      </c>
      <c r="E104" s="11">
        <v>1692</v>
      </c>
      <c r="F104" s="11">
        <v>23245</v>
      </c>
      <c r="G104" s="11">
        <v>13600</v>
      </c>
      <c r="H104" s="32" t="str">
        <f>_xlfn.XLOOKUP(Table1[[#This Row],[Shipment Number]], 'pivot '!A:A,'pivot '!G:G, "NF")</f>
        <v>NF</v>
      </c>
      <c r="I104" s="32">
        <f>IF(Table1[[#This Row],[Shipment Number]]="RD",0,Table1[[#This Row],[Tiyaar/gaz]]/1.0936)</f>
        <v>12435.991221653256</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124359.91221653255</v>
      </c>
      <c r="K104" s="29"/>
      <c r="L104"/>
      <c r="M104"/>
      <c r="N104"/>
      <c r="O104"/>
      <c r="P104"/>
      <c r="Q104"/>
    </row>
    <row r="105" spans="1:17" hidden="1" x14ac:dyDescent="0.3">
      <c r="A105" s="28">
        <v>45912</v>
      </c>
      <c r="B105" s="29" t="s">
        <v>21</v>
      </c>
      <c r="C105" s="29">
        <v>815</v>
      </c>
      <c r="D105" s="29" t="s">
        <v>89</v>
      </c>
      <c r="E105" s="11">
        <v>1693</v>
      </c>
      <c r="F105" s="11">
        <v>26200</v>
      </c>
      <c r="G105" s="11">
        <v>4344</v>
      </c>
      <c r="H105" s="32" t="str">
        <f>_xlfn.XLOOKUP(Table1[[#This Row],[Shipment Number]], 'pivot '!A:A,'pivot '!G:G, "NF")</f>
        <v>NF</v>
      </c>
      <c r="I105" s="32">
        <f>IF(Table1[[#This Row],[Shipment Number]]="RD",0,Table1[[#This Row],[Tiyaar/gaz]]/1.0936)</f>
        <v>3972.2019019751283</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39722.019019751286</v>
      </c>
      <c r="K105" s="29"/>
      <c r="L105"/>
      <c r="M105"/>
      <c r="N105"/>
      <c r="O105"/>
    </row>
    <row r="106" spans="1:17" hidden="1" x14ac:dyDescent="0.3">
      <c r="A106" s="28">
        <v>45912</v>
      </c>
      <c r="B106" s="29" t="s">
        <v>21</v>
      </c>
      <c r="C106" s="29">
        <v>816</v>
      </c>
      <c r="D106" s="29" t="s">
        <v>89</v>
      </c>
      <c r="E106" s="11">
        <v>1700</v>
      </c>
      <c r="F106" s="11">
        <v>6411</v>
      </c>
      <c r="G106" s="11">
        <v>2202</v>
      </c>
      <c r="H106" s="32" t="str">
        <f>_xlfn.XLOOKUP(Table1[[#This Row],[Shipment Number]], 'pivot '!A:A,'pivot '!G:G, "NF")</f>
        <v>NF</v>
      </c>
      <c r="I106" s="32">
        <f>IF(Table1[[#This Row],[Shipment Number]]="RD",0,Table1[[#This Row],[Tiyaar/gaz]]/1.0936)</f>
        <v>2013.5332845647404</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20135.332845647405</v>
      </c>
      <c r="K106" s="29"/>
      <c r="L106"/>
      <c r="M106"/>
      <c r="N106"/>
      <c r="O106"/>
    </row>
    <row r="107" spans="1:17" hidden="1" x14ac:dyDescent="0.3">
      <c r="A107" s="28">
        <v>45912</v>
      </c>
      <c r="B107" s="29" t="s">
        <v>21</v>
      </c>
      <c r="C107" s="29">
        <v>817</v>
      </c>
      <c r="D107" s="29" t="s">
        <v>91</v>
      </c>
      <c r="E107" s="11">
        <v>1672</v>
      </c>
      <c r="F107" s="11">
        <v>1553</v>
      </c>
      <c r="G107" s="11">
        <v>1676</v>
      </c>
      <c r="H107" s="32" t="str">
        <f>_xlfn.XLOOKUP(Table1[[#This Row],[Shipment Number]], 'pivot '!A:A,'pivot '!G:G, "NF")</f>
        <v>NF</v>
      </c>
      <c r="I107" s="32">
        <f>IF(Table1[[#This Row],[Shipment Number]]="RD",0,Table1[[#This Row],[Tiyaar/gaz]]/1.0936)</f>
        <v>1532.5530358449159</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18390.636430138991</v>
      </c>
      <c r="K107" s="29"/>
      <c r="L107"/>
      <c r="M107"/>
      <c r="N107"/>
      <c r="O107"/>
    </row>
    <row r="108" spans="1:17" hidden="1" x14ac:dyDescent="0.3">
      <c r="A108" s="28">
        <v>45913</v>
      </c>
      <c r="B108" s="29" t="s">
        <v>21</v>
      </c>
      <c r="C108" s="113">
        <v>818</v>
      </c>
      <c r="D108" s="113" t="s">
        <v>89</v>
      </c>
      <c r="E108" s="11">
        <v>1705</v>
      </c>
      <c r="F108" s="11">
        <v>29554</v>
      </c>
      <c r="G108" s="11">
        <v>14923</v>
      </c>
      <c r="H108" s="32" t="str">
        <f>_xlfn.XLOOKUP(Table1[[#This Row],[Shipment Number]], 'pivot '!A:A,'pivot '!G:G, "NF")</f>
        <v>NF</v>
      </c>
      <c r="I108" s="32">
        <f>IF(Table1[[#This Row],[Shipment Number]]="RD",0,Table1[[#This Row],[Tiyaar/gaz]]/1.0936)</f>
        <v>13645.757132406732</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136457.57132406731</v>
      </c>
      <c r="K108" s="29"/>
      <c r="L108"/>
      <c r="M108"/>
      <c r="N108"/>
      <c r="O108"/>
    </row>
    <row r="109" spans="1:17" hidden="1" x14ac:dyDescent="0.3">
      <c r="A109" s="28">
        <v>45913</v>
      </c>
      <c r="B109" s="29" t="s">
        <v>21</v>
      </c>
      <c r="C109" s="29">
        <v>819</v>
      </c>
      <c r="D109" s="29" t="s">
        <v>89</v>
      </c>
      <c r="E109" s="11">
        <v>1692</v>
      </c>
      <c r="F109" s="11">
        <v>23245</v>
      </c>
      <c r="G109" s="11">
        <v>11388</v>
      </c>
      <c r="H109" s="32" t="str">
        <f>_xlfn.XLOOKUP(Table1[[#This Row],[Shipment Number]], 'pivot '!A:A,'pivot '!G:G, "NF")</f>
        <v>NF</v>
      </c>
      <c r="I109" s="32">
        <f>IF(Table1[[#This Row],[Shipment Number]]="RD",0,Table1[[#This Row],[Tiyaar/gaz]]/1.0936)</f>
        <v>10413.313825896124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104133.13825896125</v>
      </c>
      <c r="K109" s="29"/>
      <c r="L109"/>
      <c r="M109"/>
      <c r="N109"/>
      <c r="O109"/>
    </row>
    <row r="110" spans="1:17" hidden="1" x14ac:dyDescent="0.3">
      <c r="A110" s="28">
        <v>45913</v>
      </c>
      <c r="B110" s="29" t="s">
        <v>21</v>
      </c>
      <c r="C110" s="29">
        <v>820</v>
      </c>
      <c r="D110" s="29" t="s">
        <v>89</v>
      </c>
      <c r="E110" s="11">
        <v>1693</v>
      </c>
      <c r="F110" s="11">
        <v>26200</v>
      </c>
      <c r="G110" s="11">
        <v>24722</v>
      </c>
      <c r="H110" s="32" t="str">
        <f>_xlfn.XLOOKUP(Table1[[#This Row],[Shipment Number]], 'pivot '!A:A,'pivot '!G:G, "NF")</f>
        <v>NF</v>
      </c>
      <c r="I110" s="32">
        <f>IF(Table1[[#This Row],[Shipment Number]]="RD",0,Table1[[#This Row],[Tiyaar/gaz]]/1.0936)</f>
        <v>22606.071689831751</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226060.71689831751</v>
      </c>
      <c r="K110" s="29"/>
      <c r="L110"/>
      <c r="M110"/>
      <c r="N110"/>
      <c r="O110"/>
    </row>
    <row r="111" spans="1:17" hidden="1" x14ac:dyDescent="0.3">
      <c r="A111" s="28">
        <v>45915</v>
      </c>
      <c r="B111" s="29" t="s">
        <v>24</v>
      </c>
      <c r="C111" s="113">
        <v>821</v>
      </c>
      <c r="D111" s="29" t="s">
        <v>91</v>
      </c>
      <c r="E111" s="11">
        <v>1704</v>
      </c>
      <c r="F111" s="11">
        <v>5059</v>
      </c>
      <c r="G111" s="11">
        <v>5368</v>
      </c>
      <c r="H111" s="32" t="str">
        <f>_xlfn.XLOOKUP(Table1[[#This Row],[Shipment Number]], 'pivot '!A:A,'pivot '!G:G, "NF")</f>
        <v>NF</v>
      </c>
      <c r="I111" s="32">
        <f>IF(Table1[[#This Row],[Shipment Number]]="RD",0,Table1[[#This Row],[Tiyaar/gaz]]/1.0936)</f>
        <v>4908.5588880760797</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58902.706656912953</v>
      </c>
      <c r="K111" s="29"/>
      <c r="L111"/>
      <c r="M111"/>
      <c r="N111"/>
      <c r="O111"/>
    </row>
    <row r="112" spans="1:17" hidden="1" x14ac:dyDescent="0.3">
      <c r="A112" s="28">
        <v>45915</v>
      </c>
      <c r="B112" s="29" t="s">
        <v>24</v>
      </c>
      <c r="C112" s="29">
        <v>822</v>
      </c>
      <c r="D112" s="29" t="s">
        <v>91</v>
      </c>
      <c r="E112" s="11">
        <v>1689</v>
      </c>
      <c r="F112" s="11">
        <v>4020</v>
      </c>
      <c r="G112" s="11">
        <v>4290</v>
      </c>
      <c r="H112" s="32" t="str">
        <f>_xlfn.XLOOKUP(Table1[[#This Row],[Shipment Number]], 'pivot '!A:A,'pivot '!G:G, "NF")</f>
        <v>NF</v>
      </c>
      <c r="I112" s="32">
        <f>IF(Table1[[#This Row],[Shipment Number]]="RD",0,Table1[[#This Row],[Tiyaar/gaz]]/1.0936)</f>
        <v>3922.823701536211</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47073.884418434536</v>
      </c>
      <c r="K112" s="29"/>
      <c r="L112"/>
      <c r="M112"/>
      <c r="N112"/>
      <c r="O112"/>
    </row>
    <row r="113" spans="1:15" hidden="1" x14ac:dyDescent="0.3">
      <c r="A113" s="28">
        <v>45915</v>
      </c>
      <c r="B113" s="29" t="s">
        <v>24</v>
      </c>
      <c r="C113" s="29">
        <v>823</v>
      </c>
      <c r="D113" s="29" t="s">
        <v>91</v>
      </c>
      <c r="E113" s="11" t="s">
        <v>343</v>
      </c>
      <c r="F113" s="11">
        <v>12126</v>
      </c>
      <c r="G113" s="11">
        <v>13282</v>
      </c>
      <c r="H113" s="32" t="str">
        <f>_xlfn.XLOOKUP(Table1[[#This Row],[Shipment Number]], 'pivot '!A:A,'pivot '!G:G, "NF")</f>
        <v>NF</v>
      </c>
      <c r="I113" s="32">
        <f>IF(Table1[[#This Row],[Shipment Number]]="RD",0,Table1[[#This Row],[Tiyaar/gaz]]/1.0936)</f>
        <v>12145.208485735187</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145742.50182882225</v>
      </c>
      <c r="K113" s="29"/>
      <c r="L113"/>
      <c r="M113"/>
      <c r="N113"/>
      <c r="O113"/>
    </row>
    <row r="114" spans="1:15" hidden="1" x14ac:dyDescent="0.3">
      <c r="A114" s="28">
        <v>45915</v>
      </c>
      <c r="B114" s="29" t="s">
        <v>24</v>
      </c>
      <c r="C114" s="113">
        <v>824</v>
      </c>
      <c r="D114" s="29" t="s">
        <v>91</v>
      </c>
      <c r="E114" s="11">
        <v>1699</v>
      </c>
      <c r="F114" s="11">
        <v>30110</v>
      </c>
      <c r="G114" s="11">
        <v>26000</v>
      </c>
      <c r="H114" s="32" t="str">
        <f>_xlfn.XLOOKUP(Table1[[#This Row],[Shipment Number]], 'pivot '!A:A,'pivot '!G:G, "NF")</f>
        <v>NF</v>
      </c>
      <c r="I114" s="32">
        <f>IF(Table1[[#This Row],[Shipment Number]]="RD",0,Table1[[#This Row],[Tiyaar/gaz]]/1.0936)</f>
        <v>23774.689100219461</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285296.26920263353</v>
      </c>
      <c r="K114" s="29"/>
      <c r="L114"/>
      <c r="M114"/>
      <c r="N114"/>
      <c r="O114"/>
    </row>
    <row r="115" spans="1:15" hidden="1" x14ac:dyDescent="0.3">
      <c r="A115" s="28">
        <v>45915</v>
      </c>
      <c r="B115" s="29" t="s">
        <v>24</v>
      </c>
      <c r="C115" s="29">
        <v>825</v>
      </c>
      <c r="D115" s="29" t="s">
        <v>91</v>
      </c>
      <c r="E115" s="11">
        <v>1699</v>
      </c>
      <c r="F115" s="11">
        <v>30110</v>
      </c>
      <c r="G115" s="11">
        <v>6010</v>
      </c>
      <c r="H115" s="32" t="str">
        <f>_xlfn.XLOOKUP(Table1[[#This Row],[Shipment Number]], 'pivot '!A:A,'pivot '!G:G, "NF")</f>
        <v>NF</v>
      </c>
      <c r="I115" s="32">
        <f>IF(Table1[[#This Row],[Shipment Number]]="RD",0,Table1[[#This Row],[Tiyaar/gaz]]/1.0936)</f>
        <v>5495.6108266276524</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65947.329919531825</v>
      </c>
      <c r="K115" s="29"/>
      <c r="L115"/>
      <c r="M115"/>
      <c r="N115"/>
      <c r="O115"/>
    </row>
    <row r="116" spans="1:15" hidden="1" x14ac:dyDescent="0.3">
      <c r="A116" s="109">
        <v>45915</v>
      </c>
      <c r="B116" s="110"/>
      <c r="C116" s="110">
        <v>826</v>
      </c>
      <c r="D116" s="110"/>
      <c r="E116" s="111"/>
      <c r="F116" s="11"/>
      <c r="G116" s="11"/>
      <c r="H116" s="32" t="e">
        <f>_xlfn.XLOOKUP(Table1[[#This Row],[Shipment Number]], 'pivot '!A:A,'pivot '!G:G, "NF")</f>
        <v>#DIV/0!</v>
      </c>
      <c r="I116" s="32">
        <f>IF(Table1[[#This Row],[Shipment Number]]="RD",0,Table1[[#This Row],[Tiyaar/gaz]]/1.0936)</f>
        <v>0</v>
      </c>
      <c r="J116" s="32"/>
      <c r="K116" s="29"/>
      <c r="L116"/>
      <c r="M116"/>
      <c r="N116"/>
    </row>
    <row r="117" spans="1:15" hidden="1" x14ac:dyDescent="0.3">
      <c r="A117" s="28">
        <v>45915</v>
      </c>
      <c r="B117" s="29" t="s">
        <v>21</v>
      </c>
      <c r="C117" s="29">
        <v>827</v>
      </c>
      <c r="D117" s="29" t="s">
        <v>91</v>
      </c>
      <c r="E117" s="11">
        <v>1695</v>
      </c>
      <c r="F117" s="11">
        <v>12790</v>
      </c>
      <c r="G117" s="11">
        <v>5756</v>
      </c>
      <c r="H117" s="32" t="str">
        <f>_xlfn.XLOOKUP(Table1[[#This Row],[Shipment Number]], 'pivot '!A:A,'pivot '!G:G, "NF")</f>
        <v>NF</v>
      </c>
      <c r="I117" s="32">
        <f>IF(Table1[[#This Row],[Shipment Number]]="RD",0,Table1[[#This Row],[Tiyaar/gaz]]/1.0936)</f>
        <v>5263.3504023408932</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63160.204828090718</v>
      </c>
      <c r="K117" s="29"/>
      <c r="L117"/>
      <c r="M117"/>
      <c r="N117"/>
    </row>
    <row r="118" spans="1:15" hidden="1" x14ac:dyDescent="0.3">
      <c r="A118" s="28">
        <v>45915</v>
      </c>
      <c r="B118" s="29" t="s">
        <v>21</v>
      </c>
      <c r="C118" s="29">
        <v>828</v>
      </c>
      <c r="D118" s="29" t="s">
        <v>91</v>
      </c>
      <c r="E118" s="11">
        <v>1695</v>
      </c>
      <c r="F118" s="11">
        <v>12790</v>
      </c>
      <c r="G118" s="11">
        <v>8482</v>
      </c>
      <c r="H118" s="32" t="str">
        <f>_xlfn.XLOOKUP(Table1[[#This Row],[Shipment Number]], 'pivot '!A:A,'pivot '!G:G, "NF")</f>
        <v>NF</v>
      </c>
      <c r="I118" s="32">
        <f>IF(Table1[[#This Row],[Shipment Number]]="RD",0,Table1[[#This Row],[Tiyaar/gaz]]/1.0936)</f>
        <v>7756.0351133869799</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93072.421360643755</v>
      </c>
      <c r="K118" s="29"/>
      <c r="L118"/>
      <c r="M118"/>
      <c r="N118"/>
    </row>
    <row r="119" spans="1:15" hidden="1" x14ac:dyDescent="0.3">
      <c r="A119" s="28">
        <v>45916</v>
      </c>
      <c r="B119" s="29" t="s">
        <v>21</v>
      </c>
      <c r="C119" s="29">
        <v>829</v>
      </c>
      <c r="D119" s="29" t="s">
        <v>89</v>
      </c>
      <c r="E119" s="11">
        <v>1712</v>
      </c>
      <c r="F119" s="11">
        <v>25583</v>
      </c>
      <c r="G119" s="11">
        <v>28055</v>
      </c>
      <c r="H119" s="32" t="str">
        <f>_xlfn.XLOOKUP(Table1[[#This Row],[Shipment Number]], 'pivot '!A:A,'pivot '!G:G, "NF")</f>
        <v>NF</v>
      </c>
      <c r="I119" s="32">
        <f>IF(Table1[[#This Row],[Shipment Number]]="RD",0,Table1[[#This Row],[Tiyaar/gaz]]/1.0936)</f>
        <v>25653.803950256039</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256538.03950256039</v>
      </c>
      <c r="K119" s="29"/>
      <c r="L119"/>
      <c r="M119"/>
      <c r="N119"/>
    </row>
    <row r="120" spans="1:15" hidden="1" x14ac:dyDescent="0.3">
      <c r="A120" s="28">
        <v>45916</v>
      </c>
      <c r="B120" s="29" t="s">
        <v>21</v>
      </c>
      <c r="C120" s="29">
        <v>830</v>
      </c>
      <c r="D120" s="29" t="s">
        <v>89</v>
      </c>
      <c r="E120" s="11">
        <v>1705</v>
      </c>
      <c r="F120" s="11">
        <v>29554</v>
      </c>
      <c r="G120" s="11">
        <v>17655</v>
      </c>
      <c r="H120" s="32" t="str">
        <f>_xlfn.XLOOKUP(Table1[[#This Row],[Shipment Number]], 'pivot '!A:A,'pivot '!G:G, "NF")</f>
        <v>NF</v>
      </c>
      <c r="I120" s="32">
        <f>IF(Table1[[#This Row],[Shipment Number]]="RD",0,Table1[[#This Row],[Tiyaar/gaz]]/1.0936)</f>
        <v>16143.928310168252</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161439.28310168252</v>
      </c>
      <c r="K120" s="29"/>
      <c r="L120"/>
      <c r="M120"/>
      <c r="N120"/>
    </row>
    <row r="121" spans="1:15" hidden="1" x14ac:dyDescent="0.3">
      <c r="A121" s="28">
        <v>45916</v>
      </c>
      <c r="B121" s="29" t="s">
        <v>21</v>
      </c>
      <c r="C121" s="29">
        <v>831</v>
      </c>
      <c r="D121" s="29" t="s">
        <v>89</v>
      </c>
      <c r="E121" s="11">
        <v>1700</v>
      </c>
      <c r="F121" s="11">
        <v>6411</v>
      </c>
      <c r="G121" s="11">
        <v>4700</v>
      </c>
      <c r="H121" s="32" t="str">
        <f>_xlfn.XLOOKUP(Table1[[#This Row],[Shipment Number]], 'pivot '!A:A,'pivot '!G:G, "NF")</f>
        <v>NF</v>
      </c>
      <c r="I121" s="32">
        <f>IF(Table1[[#This Row],[Shipment Number]]="RD",0,Table1[[#This Row],[Tiyaar/gaz]]/1.0936)</f>
        <v>4297.7322604242872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42977.322604242872</v>
      </c>
      <c r="K121" s="29"/>
      <c r="L121"/>
      <c r="M121"/>
      <c r="N121"/>
    </row>
    <row r="122" spans="1:15" hidden="1" x14ac:dyDescent="0.3">
      <c r="A122" s="28">
        <v>45916</v>
      </c>
      <c r="B122" s="29" t="s">
        <v>24</v>
      </c>
      <c r="C122" s="29">
        <v>832</v>
      </c>
      <c r="D122" s="29" t="s">
        <v>89</v>
      </c>
      <c r="E122" s="11">
        <v>1680</v>
      </c>
      <c r="F122" s="11">
        <v>22040</v>
      </c>
      <c r="G122" s="11">
        <v>15076</v>
      </c>
      <c r="H122" s="32" t="str">
        <f>_xlfn.XLOOKUP(Table1[[#This Row],[Shipment Number]], 'pivot '!A:A,'pivot '!G:G, "NF")</f>
        <v>NF</v>
      </c>
      <c r="I122" s="32">
        <f>IF(Table1[[#This Row],[Shipment Number]]="RD",0,Table1[[#This Row],[Tiyaar/gaz]]/1.0936)</f>
        <v>13785.662033650331</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124070.95830285297</v>
      </c>
      <c r="K122" s="29"/>
      <c r="L122"/>
      <c r="M122"/>
      <c r="N122"/>
    </row>
    <row r="123" spans="1:15" hidden="1" x14ac:dyDescent="0.3">
      <c r="A123" s="28">
        <v>45916</v>
      </c>
      <c r="B123" s="29" t="s">
        <v>24</v>
      </c>
      <c r="C123" s="29">
        <v>833</v>
      </c>
      <c r="D123" s="29" t="s">
        <v>89</v>
      </c>
      <c r="E123" s="11">
        <v>1682</v>
      </c>
      <c r="F123" s="11">
        <v>13196</v>
      </c>
      <c r="G123" s="11">
        <v>4543</v>
      </c>
      <c r="H123" s="32" t="str">
        <f>_xlfn.XLOOKUP(Table1[[#This Row],[Shipment Number]], 'pivot '!A:A,'pivot '!G:G, "NF")</f>
        <v>NF</v>
      </c>
      <c r="I123" s="32">
        <f>IF(Table1[[#This Row],[Shipment Number]]="RD",0,Table1[[#This Row],[Tiyaar/gaz]]/1.0936)</f>
        <v>4154.1697147037312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37387.527432333583</v>
      </c>
      <c r="K123" s="29"/>
      <c r="L123"/>
      <c r="M123"/>
      <c r="N123"/>
    </row>
    <row r="124" spans="1:15" hidden="1" x14ac:dyDescent="0.3">
      <c r="A124" s="28">
        <v>45916</v>
      </c>
      <c r="B124" s="29" t="s">
        <v>21</v>
      </c>
      <c r="C124" s="29">
        <v>834</v>
      </c>
      <c r="D124" s="29" t="s">
        <v>89</v>
      </c>
      <c r="E124" s="11">
        <v>1708</v>
      </c>
      <c r="F124" s="11">
        <v>19011</v>
      </c>
      <c r="G124" s="11">
        <v>11193</v>
      </c>
      <c r="H124" s="32" t="str">
        <f>_xlfn.XLOOKUP(Table1[[#This Row],[Shipment Number]], 'pivot '!A:A,'pivot '!G:G, "NF")</f>
        <v>NF</v>
      </c>
      <c r="I124" s="32">
        <f>IF(Table1[[#This Row],[Shipment Number]]="RD",0,Table1[[#This Row],[Tiyaar/gaz]]/1.0936)</f>
        <v>10235.003657644478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102350.03657644478</v>
      </c>
      <c r="K124" s="29"/>
      <c r="L124"/>
      <c r="M124"/>
      <c r="N124"/>
    </row>
    <row r="125" spans="1:15" x14ac:dyDescent="0.3">
      <c r="A125" s="28">
        <v>45917</v>
      </c>
      <c r="B125" s="29" t="s">
        <v>21</v>
      </c>
      <c r="C125" s="29">
        <v>842</v>
      </c>
      <c r="D125" s="29" t="s">
        <v>89</v>
      </c>
      <c r="E125" s="11">
        <v>1716</v>
      </c>
      <c r="F125" s="11">
        <v>80183</v>
      </c>
      <c r="G125" s="11">
        <v>924</v>
      </c>
      <c r="H125" s="32">
        <f>_xlfn.XLOOKUP(Table1[[#This Row],[Shipment Number]], 'pivot '!A:A,'pivot '!G:G, "NF")</f>
        <v>3.760062901467677</v>
      </c>
      <c r="I125" s="32">
        <f>IF(Table1[[#This Row],[Shipment Number]]="RD",0,Table1[[#This Row],[Tiyaar/gaz]]/1.0936)</f>
        <v>844.9158741770301</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8449.1587417703013</v>
      </c>
      <c r="K125" s="29"/>
      <c r="L125"/>
      <c r="M125"/>
      <c r="N125"/>
    </row>
    <row r="126" spans="1:15" x14ac:dyDescent="0.3">
      <c r="A126" s="28">
        <v>45918</v>
      </c>
      <c r="B126" s="29" t="s">
        <v>21</v>
      </c>
      <c r="C126" s="29">
        <v>845</v>
      </c>
      <c r="D126" s="29" t="s">
        <v>89</v>
      </c>
      <c r="E126" s="11">
        <v>1716</v>
      </c>
      <c r="F126" s="11">
        <v>80183</v>
      </c>
      <c r="G126" s="11">
        <v>3747</v>
      </c>
      <c r="H126" s="32">
        <f>_xlfn.XLOOKUP(Table1[[#This Row],[Shipment Number]], 'pivot '!A:A,'pivot '!G:G, "NF")</f>
        <v>3.760062901467677</v>
      </c>
      <c r="I126" s="32">
        <f>IF(Table1[[#This Row],[Shipment Number]]="RD",0,Table1[[#This Row],[Tiyaar/gaz]]/1.0936)</f>
        <v>3426.2984637893201</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34262.984637893198</v>
      </c>
      <c r="K126" s="29"/>
      <c r="L126"/>
      <c r="M126"/>
      <c r="N126"/>
    </row>
    <row r="127" spans="1:15" hidden="1" x14ac:dyDescent="0.3">
      <c r="A127" s="29"/>
      <c r="B127" s="29"/>
      <c r="C127" s="29"/>
      <c r="D127" s="29"/>
      <c r="E127" s="11"/>
      <c r="F127" s="11"/>
      <c r="G127" s="11"/>
      <c r="H127" s="32"/>
      <c r="I127" s="32"/>
      <c r="J127" s="32"/>
      <c r="K127" s="29"/>
      <c r="L127"/>
      <c r="M127"/>
      <c r="N127"/>
    </row>
    <row r="128" spans="1:15" x14ac:dyDescent="0.3">
      <c r="A128" s="28">
        <v>45919</v>
      </c>
      <c r="B128" s="29" t="s">
        <v>9</v>
      </c>
      <c r="C128" s="29">
        <v>848</v>
      </c>
      <c r="D128" s="29" t="s">
        <v>89</v>
      </c>
      <c r="E128" s="11">
        <v>1716</v>
      </c>
      <c r="F128" s="11">
        <v>12058</v>
      </c>
      <c r="G128" s="11">
        <v>12882</v>
      </c>
      <c r="H128" s="32">
        <f>_xlfn.XLOOKUP(Table1[[#This Row],[Shipment Number]], 'pivot '!A:A,'pivot '!G:G, "NF")</f>
        <v>3.760062901467677</v>
      </c>
      <c r="I128" s="32">
        <f>IF(Table1[[#This Row],[Shipment Number]]="RD",0,Table1[[#This Row],[Tiyaar/gaz]]/1.0936)</f>
        <v>11779.444038039504</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117794.44038039504</v>
      </c>
      <c r="K128" s="29"/>
      <c r="L128"/>
      <c r="M128"/>
      <c r="N128"/>
    </row>
    <row r="129" spans="1:14" x14ac:dyDescent="0.3">
      <c r="A129" s="28">
        <v>45919</v>
      </c>
      <c r="B129" s="29" t="s">
        <v>21</v>
      </c>
      <c r="C129" s="29">
        <v>850</v>
      </c>
      <c r="D129" s="29" t="s">
        <v>89</v>
      </c>
      <c r="E129" s="11">
        <v>1716</v>
      </c>
      <c r="F129" s="11">
        <v>80183</v>
      </c>
      <c r="G129" s="11">
        <v>11023</v>
      </c>
      <c r="H129" s="32">
        <f>_xlfn.XLOOKUP(Table1[[#This Row],[Shipment Number]], 'pivot '!A:A,'pivot '!G:G, "NF")</f>
        <v>3.760062901467677</v>
      </c>
      <c r="I129" s="32">
        <f>IF(Table1[[#This Row],[Shipment Number]]="RD",0,Table1[[#This Row],[Tiyaar/gaz]]/1.0936)</f>
        <v>10079.553767373813</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100795.53767373813</v>
      </c>
      <c r="K129" s="29"/>
      <c r="L129"/>
      <c r="M129"/>
      <c r="N129"/>
    </row>
    <row r="130" spans="1:14" x14ac:dyDescent="0.3">
      <c r="A130" s="28">
        <v>45919</v>
      </c>
      <c r="B130" s="29" t="s">
        <v>21</v>
      </c>
      <c r="C130" s="29">
        <v>851</v>
      </c>
      <c r="D130" s="29" t="s">
        <v>89</v>
      </c>
      <c r="E130" s="11">
        <v>1716</v>
      </c>
      <c r="F130" s="11">
        <v>80183</v>
      </c>
      <c r="G130" s="11">
        <v>37847</v>
      </c>
      <c r="H130" s="32">
        <f>_xlfn.XLOOKUP(Table1[[#This Row],[Shipment Number]], 'pivot '!A:A,'pivot '!G:G, "NF")</f>
        <v>3.760062901467677</v>
      </c>
      <c r="I130" s="32">
        <f>IF(Table1[[#This Row],[Shipment Number]]="RD",0,Table1[[#This Row],[Tiyaar/gaz]]/1.0936)</f>
        <v>34607.717629846382</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346077.17629846383</v>
      </c>
      <c r="K130" s="29"/>
      <c r="L130"/>
      <c r="M130"/>
      <c r="N130"/>
    </row>
    <row r="131" spans="1:14" x14ac:dyDescent="0.3">
      <c r="A131" s="28">
        <v>45920</v>
      </c>
      <c r="B131" s="29" t="s">
        <v>21</v>
      </c>
      <c r="C131" s="29">
        <v>855</v>
      </c>
      <c r="D131" s="29" t="s">
        <v>89</v>
      </c>
      <c r="E131" s="11">
        <v>1716</v>
      </c>
      <c r="F131" s="11">
        <v>80183</v>
      </c>
      <c r="G131" s="11">
        <v>17968</v>
      </c>
      <c r="H131" s="32">
        <f>_xlfn.XLOOKUP(Table1[[#This Row],[Shipment Number]], 'pivot '!A:A,'pivot '!G:G, "NF")</f>
        <v>3.760062901467677</v>
      </c>
      <c r="I131" s="32">
        <f>IF(Table1[[#This Row],[Shipment Number]]="RD",0,Table1[[#This Row],[Tiyaar/gaz]]/1.0936)</f>
        <v>16430.138990490126</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164301.38990490127</v>
      </c>
      <c r="K131" s="29"/>
      <c r="L131"/>
      <c r="M131"/>
      <c r="N131"/>
    </row>
    <row r="132" spans="1:14" x14ac:dyDescent="0.3">
      <c r="A132"/>
      <c r="B132"/>
      <c r="C132"/>
      <c r="D132"/>
      <c r="E132" s="14"/>
      <c r="F132" s="14"/>
      <c r="G132" s="14"/>
      <c r="H132" s="50"/>
      <c r="I132" s="50" cm="1">
        <f t="array" aca="1" ref="I132" ca="1">SUMPRODUCT( SUBTOTAL(109, OFFSET(Table1[tiyar/meters], ROW(Table1[tiyar/meters])-MIN(ROW(Table1[tiyar/meters])), 0, 1)), --(Table1[Bill Number]&lt;&gt;"July Closing CF") )</f>
        <v>77168.068763716175</v>
      </c>
      <c r="J132" s="50" cm="1">
        <f t="array" aca="1" ref="J132" ca="1">SUMPRODUCT( SUBTOTAL(109, OFFSET(Table1[billing], ROW(Table1[billing])-MIN(ROW(Table1[billing])), 0, 1)), --(Table1[Bill Number]&lt;&gt;"July Closing CF") )</f>
        <v>771680.68763716181</v>
      </c>
      <c r="K132" s="115">
        <f>SUMIFS(Table1[billing], Table1[Bill Number], "&lt;&gt;July Closing CF")</f>
        <v>14463824.067300657</v>
      </c>
      <c r="L132"/>
      <c r="M132"/>
      <c r="N132"/>
    </row>
    <row r="139" spans="1:14" x14ac:dyDescent="0.3">
      <c r="D139" s="3" t="s">
        <v>2</v>
      </c>
      <c r="E139" t="s">
        <v>93</v>
      </c>
    </row>
    <row r="140" spans="1:14" x14ac:dyDescent="0.3">
      <c r="D140" s="3" t="s">
        <v>78</v>
      </c>
      <c r="E140" t="s">
        <v>93</v>
      </c>
    </row>
    <row r="141" spans="1:14" x14ac:dyDescent="0.3">
      <c r="D141" s="3" t="s">
        <v>82</v>
      </c>
      <c r="E141" t="s">
        <v>93</v>
      </c>
    </row>
    <row r="143" spans="1:14" x14ac:dyDescent="0.3">
      <c r="D143" s="3" t="s">
        <v>6</v>
      </c>
      <c r="E143" t="s">
        <v>94</v>
      </c>
      <c r="F143" t="s">
        <v>95</v>
      </c>
      <c r="G143" t="s">
        <v>96</v>
      </c>
      <c r="I143" s="3" t="s">
        <v>6</v>
      </c>
      <c r="J143" t="s">
        <v>95</v>
      </c>
      <c r="K143" t="s">
        <v>96</v>
      </c>
    </row>
    <row r="144" spans="1:14" x14ac:dyDescent="0.3">
      <c r="D144" s="16" t="s">
        <v>88</v>
      </c>
      <c r="E144" s="118"/>
      <c r="F144" s="33">
        <v>972869.42209217278</v>
      </c>
      <c r="G144" s="118">
        <v>9667907.8714703731</v>
      </c>
      <c r="I144" s="27">
        <v>45885</v>
      </c>
      <c r="J144" s="50">
        <v>2050.1097293343087</v>
      </c>
      <c r="K144" s="14">
        <v>20501.097293343086</v>
      </c>
    </row>
    <row r="145" spans="4:11" x14ac:dyDescent="0.3">
      <c r="D145" s="16">
        <v>716</v>
      </c>
      <c r="E145" s="118">
        <v>43689</v>
      </c>
      <c r="F145" s="33">
        <v>39949.70738844185</v>
      </c>
      <c r="G145" s="118">
        <v>399497.07388441847</v>
      </c>
      <c r="I145" s="27">
        <v>45886</v>
      </c>
      <c r="J145" s="50">
        <v>972869.42209217278</v>
      </c>
      <c r="K145" s="14">
        <v>9667907.8714703731</v>
      </c>
    </row>
    <row r="146" spans="4:11" x14ac:dyDescent="0.3">
      <c r="D146" s="16">
        <v>722</v>
      </c>
      <c r="E146" s="118">
        <v>25952</v>
      </c>
      <c r="F146" s="33">
        <v>23730.797366495979</v>
      </c>
      <c r="G146" s="118">
        <v>237307.97366495978</v>
      </c>
      <c r="I146" s="27">
        <v>45888</v>
      </c>
      <c r="J146" s="50">
        <v>71674.286759327006</v>
      </c>
      <c r="K146" s="14">
        <v>716742.86759327003</v>
      </c>
    </row>
    <row r="147" spans="4:11" x14ac:dyDescent="0.3">
      <c r="D147" s="16">
        <v>723</v>
      </c>
      <c r="E147" s="118">
        <v>8742</v>
      </c>
      <c r="F147" s="33">
        <v>7993.7820043891743</v>
      </c>
      <c r="G147" s="118">
        <v>79937.820043891741</v>
      </c>
      <c r="I147" s="27">
        <v>45890</v>
      </c>
      <c r="J147" s="50">
        <v>50132.589612289696</v>
      </c>
      <c r="K147" s="14">
        <v>501325.89612289687</v>
      </c>
    </row>
    <row r="148" spans="4:11" x14ac:dyDescent="0.3">
      <c r="D148" s="16">
        <v>724</v>
      </c>
      <c r="E148" s="118">
        <v>48705</v>
      </c>
      <c r="F148" s="33">
        <v>44536.393562545723</v>
      </c>
      <c r="G148" s="118">
        <v>445363.9356254572</v>
      </c>
      <c r="I148" s="27">
        <v>45891</v>
      </c>
      <c r="J148" s="50">
        <v>37560.351133869786</v>
      </c>
      <c r="K148" s="14">
        <v>375603.51133869792</v>
      </c>
    </row>
    <row r="149" spans="4:11" x14ac:dyDescent="0.3">
      <c r="D149" s="16">
        <v>725</v>
      </c>
      <c r="E149" s="118">
        <v>4140</v>
      </c>
      <c r="F149" s="33">
        <v>3785.6620336503297</v>
      </c>
      <c r="G149" s="118">
        <v>37856.6203365033</v>
      </c>
      <c r="I149" s="27">
        <v>45892</v>
      </c>
      <c r="J149" s="50">
        <v>76884.601316752029</v>
      </c>
      <c r="K149" s="14">
        <v>764915.87417703005</v>
      </c>
    </row>
    <row r="150" spans="4:11" x14ac:dyDescent="0.3">
      <c r="D150" s="16">
        <v>726</v>
      </c>
      <c r="E150" s="118">
        <v>1980</v>
      </c>
      <c r="F150" s="33">
        <v>1810.534016093636</v>
      </c>
      <c r="G150" s="118">
        <v>18105.340160936361</v>
      </c>
      <c r="I150" s="27">
        <v>45894</v>
      </c>
      <c r="J150" s="50">
        <v>81706.291148500371</v>
      </c>
      <c r="K150" s="14">
        <v>806219.82443306514</v>
      </c>
    </row>
    <row r="151" spans="4:11" x14ac:dyDescent="0.3">
      <c r="D151" s="16">
        <v>727</v>
      </c>
      <c r="E151" s="118">
        <v>21621</v>
      </c>
      <c r="F151" s="33">
        <v>19770.48280907096</v>
      </c>
      <c r="G151" s="118">
        <v>197704.82809070961</v>
      </c>
      <c r="I151" s="27">
        <v>45895</v>
      </c>
      <c r="J151" s="50">
        <v>17298.829553767377</v>
      </c>
      <c r="K151" s="14">
        <v>155689.46598390638</v>
      </c>
    </row>
    <row r="152" spans="4:11" x14ac:dyDescent="0.3">
      <c r="D152" s="16">
        <v>728</v>
      </c>
      <c r="E152" s="118">
        <v>6406</v>
      </c>
      <c r="F152" s="33">
        <v>5857.7176298463792</v>
      </c>
      <c r="G152" s="118">
        <v>58577.17629846379</v>
      </c>
      <c r="I152" s="27">
        <v>45896</v>
      </c>
      <c r="J152" s="50">
        <v>59752.194586686186</v>
      </c>
      <c r="K152" s="14">
        <v>555856.80321872712</v>
      </c>
    </row>
    <row r="153" spans="4:11" x14ac:dyDescent="0.3">
      <c r="D153" s="16">
        <v>729</v>
      </c>
      <c r="E153" s="118">
        <v>7452</v>
      </c>
      <c r="F153" s="33">
        <v>6814.1916605705928</v>
      </c>
      <c r="G153" s="118">
        <v>68141.916605705934</v>
      </c>
      <c r="I153" s="27">
        <v>45897</v>
      </c>
      <c r="J153" s="50">
        <v>41335.040234089247</v>
      </c>
      <c r="K153" s="14">
        <v>413350.40234089253</v>
      </c>
    </row>
    <row r="154" spans="4:11" x14ac:dyDescent="0.3">
      <c r="D154" s="16">
        <v>731</v>
      </c>
      <c r="E154" s="118">
        <v>5597</v>
      </c>
      <c r="F154" s="33">
        <v>5117.9590343818581</v>
      </c>
      <c r="G154" s="118">
        <v>51179.590343818578</v>
      </c>
      <c r="I154" s="27">
        <v>45898</v>
      </c>
      <c r="J154" s="50">
        <v>40317.300658376014</v>
      </c>
      <c r="K154" s="14">
        <v>393712.50914411119</v>
      </c>
    </row>
    <row r="155" spans="4:11" x14ac:dyDescent="0.3">
      <c r="D155" s="16">
        <v>732</v>
      </c>
      <c r="E155" s="118">
        <v>21167</v>
      </c>
      <c r="F155" s="33">
        <v>19355.340160936357</v>
      </c>
      <c r="G155" s="118">
        <v>193553.40160936356</v>
      </c>
      <c r="I155" s="27">
        <v>45899</v>
      </c>
      <c r="J155" s="50">
        <v>53495.793708851503</v>
      </c>
      <c r="K155" s="14">
        <v>624926.84711046098</v>
      </c>
    </row>
    <row r="156" spans="4:11" x14ac:dyDescent="0.3">
      <c r="D156" s="16">
        <v>733</v>
      </c>
      <c r="E156" s="118">
        <v>2010</v>
      </c>
      <c r="F156" s="33">
        <v>0</v>
      </c>
      <c r="G156" s="118">
        <v>0</v>
      </c>
      <c r="I156" s="27">
        <v>45900</v>
      </c>
      <c r="J156" s="50">
        <v>112115.94732991954</v>
      </c>
      <c r="K156" s="14">
        <v>1113504.0234089247</v>
      </c>
    </row>
    <row r="157" spans="4:11" x14ac:dyDescent="0.3">
      <c r="D157" s="16">
        <v>734</v>
      </c>
      <c r="E157" s="118">
        <v>16253</v>
      </c>
      <c r="F157" s="33">
        <v>14861.923920994881</v>
      </c>
      <c r="G157" s="118">
        <v>148619.23920994881</v>
      </c>
      <c r="I157" s="27">
        <v>45901</v>
      </c>
      <c r="J157" s="50">
        <v>33280.907095830291</v>
      </c>
      <c r="K157" s="14">
        <v>332430.50475493784</v>
      </c>
    </row>
    <row r="158" spans="4:11" x14ac:dyDescent="0.3">
      <c r="D158" s="16">
        <v>735</v>
      </c>
      <c r="E158" s="118">
        <v>33788</v>
      </c>
      <c r="F158" s="33">
        <v>30896.122896854427</v>
      </c>
      <c r="G158" s="118">
        <v>308961.22896854428</v>
      </c>
      <c r="I158" s="27">
        <v>45902</v>
      </c>
      <c r="J158" s="50">
        <v>39340.709583028533</v>
      </c>
      <c r="K158" s="14">
        <v>447311.63130943681</v>
      </c>
    </row>
    <row r="159" spans="4:11" x14ac:dyDescent="0.3">
      <c r="D159" s="16">
        <v>736</v>
      </c>
      <c r="E159" s="118">
        <v>8575</v>
      </c>
      <c r="F159" s="33">
        <v>7841.0753474762259</v>
      </c>
      <c r="G159" s="118">
        <v>78410.753474762256</v>
      </c>
      <c r="I159" s="27">
        <v>45903</v>
      </c>
      <c r="J159" s="50">
        <v>45768.105340160946</v>
      </c>
      <c r="K159" s="14">
        <v>457681.05340160942</v>
      </c>
    </row>
    <row r="160" spans="4:11" x14ac:dyDescent="0.3">
      <c r="D160" s="16">
        <v>737</v>
      </c>
      <c r="E160" s="118">
        <v>4298</v>
      </c>
      <c r="F160" s="33">
        <v>3930.1389904901248</v>
      </c>
      <c r="G160" s="118">
        <v>35371.250914411125</v>
      </c>
      <c r="I160" s="27">
        <v>45905</v>
      </c>
      <c r="J160" s="50">
        <v>42745.062179956112</v>
      </c>
      <c r="K160" s="14">
        <v>427450.62179956108</v>
      </c>
    </row>
    <row r="161" spans="4:11" x14ac:dyDescent="0.3">
      <c r="D161" s="16">
        <v>738</v>
      </c>
      <c r="E161" s="118">
        <v>22478</v>
      </c>
      <c r="F161" s="33">
        <v>20554.133138258963</v>
      </c>
      <c r="G161" s="118">
        <v>205541.33138258965</v>
      </c>
      <c r="I161" s="27">
        <v>45907</v>
      </c>
      <c r="J161" s="50">
        <v>86068.946598390641</v>
      </c>
      <c r="K161" s="14">
        <v>917897.76883686916</v>
      </c>
    </row>
    <row r="162" spans="4:11" x14ac:dyDescent="0.3">
      <c r="D162" s="16">
        <v>739</v>
      </c>
      <c r="E162" s="118">
        <v>8540</v>
      </c>
      <c r="F162" s="33">
        <v>7809.0709583028538</v>
      </c>
      <c r="G162" s="118">
        <v>78090.70958302854</v>
      </c>
      <c r="I162" s="27">
        <v>45908</v>
      </c>
      <c r="J162" s="50">
        <v>63158.376005852238</v>
      </c>
      <c r="K162" s="14">
        <v>584409.29041697143</v>
      </c>
    </row>
    <row r="163" spans="4:11" x14ac:dyDescent="0.3">
      <c r="D163" s="16">
        <v>740</v>
      </c>
      <c r="E163" s="118">
        <v>7214</v>
      </c>
      <c r="F163" s="33">
        <v>6596.5618141916611</v>
      </c>
      <c r="G163" s="118">
        <v>65965.61814191661</v>
      </c>
      <c r="I163" s="27">
        <v>45909</v>
      </c>
      <c r="J163" s="50">
        <v>52877.651792245801</v>
      </c>
      <c r="K163" s="14">
        <v>514436.72275054874</v>
      </c>
    </row>
    <row r="164" spans="4:11" x14ac:dyDescent="0.3">
      <c r="D164" s="16">
        <v>741</v>
      </c>
      <c r="E164" s="118">
        <v>6688</v>
      </c>
      <c r="F164" s="33">
        <v>6115.5815654718363</v>
      </c>
      <c r="G164" s="118">
        <v>61155.815654718361</v>
      </c>
      <c r="I164" s="27">
        <v>45910</v>
      </c>
      <c r="J164" s="50">
        <v>41004.937820043895</v>
      </c>
      <c r="K164" s="14">
        <v>410049.37820043898</v>
      </c>
    </row>
    <row r="165" spans="4:11" x14ac:dyDescent="0.3">
      <c r="D165" s="16">
        <v>742</v>
      </c>
      <c r="E165" s="118">
        <v>1914</v>
      </c>
      <c r="F165" s="33">
        <v>1750.1828822238481</v>
      </c>
      <c r="G165" s="118">
        <v>17501.82882223848</v>
      </c>
      <c r="I165" s="27">
        <v>45911</v>
      </c>
      <c r="J165" s="50">
        <v>43537.856620336512</v>
      </c>
      <c r="K165" s="14">
        <v>431282.91880029265</v>
      </c>
    </row>
    <row r="166" spans="4:11" x14ac:dyDescent="0.3">
      <c r="D166" s="16">
        <v>743</v>
      </c>
      <c r="E166" s="118">
        <v>9214</v>
      </c>
      <c r="F166" s="33">
        <v>8425.3840526700806</v>
      </c>
      <c r="G166" s="118">
        <v>84253.840526700806</v>
      </c>
      <c r="I166" s="27">
        <v>45912</v>
      </c>
      <c r="J166" s="50">
        <v>68853.328456474032</v>
      </c>
      <c r="K166" s="14">
        <v>776234.45501097292</v>
      </c>
    </row>
    <row r="167" spans="4:11" x14ac:dyDescent="0.3">
      <c r="D167" s="16">
        <v>744</v>
      </c>
      <c r="E167" s="118">
        <v>21448</v>
      </c>
      <c r="F167" s="33">
        <v>19612.289685442578</v>
      </c>
      <c r="G167" s="118">
        <v>196122.89685442578</v>
      </c>
      <c r="I167" s="27">
        <v>45913</v>
      </c>
      <c r="J167" s="50">
        <v>46665.142648134613</v>
      </c>
      <c r="K167" s="14">
        <v>466651.42648134608</v>
      </c>
    </row>
    <row r="168" spans="4:11" x14ac:dyDescent="0.3">
      <c r="D168" s="16">
        <v>745</v>
      </c>
      <c r="E168" s="118">
        <v>11858</v>
      </c>
      <c r="F168" s="33">
        <v>10843.087051938552</v>
      </c>
      <c r="G168" s="118">
        <v>97587.783467446963</v>
      </c>
      <c r="I168" s="27">
        <v>45915</v>
      </c>
      <c r="J168" s="50">
        <v>63266.276517922459</v>
      </c>
      <c r="K168" s="14">
        <v>759195.31821506959</v>
      </c>
    </row>
    <row r="169" spans="4:11" x14ac:dyDescent="0.3">
      <c r="D169" s="16">
        <v>746</v>
      </c>
      <c r="E169" s="118">
        <v>18918</v>
      </c>
      <c r="F169" s="33">
        <v>17298.829553767377</v>
      </c>
      <c r="G169" s="118">
        <v>155689.46598390638</v>
      </c>
      <c r="I169" s="27">
        <v>45916</v>
      </c>
      <c r="J169" s="50">
        <v>74270.299926847132</v>
      </c>
      <c r="K169" s="14">
        <v>724763.16752011713</v>
      </c>
    </row>
    <row r="170" spans="4:11" x14ac:dyDescent="0.3">
      <c r="D170" s="16">
        <v>747</v>
      </c>
      <c r="E170" s="118">
        <v>19780</v>
      </c>
      <c r="F170" s="33">
        <v>18087.051938551573</v>
      </c>
      <c r="G170" s="118">
        <v>180870.51938551571</v>
      </c>
      <c r="I170" s="27">
        <v>45917</v>
      </c>
      <c r="J170" s="50">
        <v>844.9158741770301</v>
      </c>
      <c r="K170" s="14">
        <v>8449.1587417703013</v>
      </c>
    </row>
    <row r="171" spans="4:11" x14ac:dyDescent="0.3">
      <c r="D171" s="16">
        <v>748</v>
      </c>
      <c r="E171" s="118">
        <v>4342</v>
      </c>
      <c r="F171" s="33">
        <v>3970.3730797366497</v>
      </c>
      <c r="G171" s="118">
        <v>35733.35771762985</v>
      </c>
      <c r="I171" s="27">
        <v>45918</v>
      </c>
      <c r="J171" s="50">
        <v>3426.2984637893201</v>
      </c>
      <c r="K171" s="14">
        <v>34262.984637893198</v>
      </c>
    </row>
    <row r="172" spans="4:11" x14ac:dyDescent="0.3">
      <c r="D172" s="16">
        <v>749</v>
      </c>
      <c r="E172" s="118">
        <v>28098</v>
      </c>
      <c r="F172" s="33">
        <v>25693.123628383324</v>
      </c>
      <c r="G172" s="118">
        <v>231238.11265544992</v>
      </c>
      <c r="I172" s="27">
        <v>45919</v>
      </c>
      <c r="J172" s="50">
        <v>56466.715435259699</v>
      </c>
      <c r="K172" s="14">
        <v>564667.15435259696</v>
      </c>
    </row>
    <row r="173" spans="4:11" x14ac:dyDescent="0.3">
      <c r="D173" s="16">
        <v>750</v>
      </c>
      <c r="E173" s="118">
        <v>13125</v>
      </c>
      <c r="F173" s="33">
        <v>12001.645940014632</v>
      </c>
      <c r="G173" s="118">
        <v>108014.81346013169</v>
      </c>
      <c r="I173" s="27" t="s">
        <v>112</v>
      </c>
      <c r="J173" s="50"/>
      <c r="K173" s="14"/>
    </row>
    <row r="174" spans="4:11" x14ac:dyDescent="0.3">
      <c r="D174" s="16">
        <v>721</v>
      </c>
      <c r="E174" s="118">
        <v>2242</v>
      </c>
      <c r="F174" s="33">
        <v>2050.1097293343087</v>
      </c>
      <c r="G174" s="118">
        <v>20501.097293343086</v>
      </c>
      <c r="I174" s="27">
        <v>45920</v>
      </c>
      <c r="J174" s="50">
        <v>16430.138990490126</v>
      </c>
      <c r="K174" s="14">
        <v>164301.38990490127</v>
      </c>
    </row>
    <row r="175" spans="4:11" x14ac:dyDescent="0.3">
      <c r="D175" s="16">
        <v>751</v>
      </c>
      <c r="E175" s="118">
        <v>33502</v>
      </c>
      <c r="F175" s="33">
        <v>30634.601316752014</v>
      </c>
      <c r="G175" s="118">
        <v>306346.01316752017</v>
      </c>
      <c r="I175" s="27" t="s">
        <v>28</v>
      </c>
      <c r="J175" s="50">
        <v>2395198.4272128749</v>
      </c>
      <c r="K175" s="14">
        <v>24131731.938771036</v>
      </c>
    </row>
    <row r="176" spans="4:11" x14ac:dyDescent="0.3">
      <c r="D176" s="16">
        <v>752</v>
      </c>
      <c r="E176" s="118">
        <v>11702</v>
      </c>
      <c r="F176" s="33">
        <v>10700.438917337236</v>
      </c>
      <c r="G176" s="118">
        <v>107004.38917337236</v>
      </c>
    </row>
    <row r="177" spans="4:7" x14ac:dyDescent="0.3">
      <c r="D177" s="16">
        <v>753</v>
      </c>
      <c r="E177" s="118">
        <v>26158</v>
      </c>
      <c r="F177" s="33">
        <v>23919.166057059258</v>
      </c>
      <c r="G177" s="118">
        <v>239191.66057059256</v>
      </c>
    </row>
    <row r="178" spans="4:7" x14ac:dyDescent="0.3">
      <c r="D178" s="16">
        <v>754</v>
      </c>
      <c r="E178" s="118">
        <v>10346</v>
      </c>
      <c r="F178" s="33">
        <v>9460.4974396488669</v>
      </c>
      <c r="G178" s="118">
        <v>85144.476956839804</v>
      </c>
    </row>
    <row r="179" spans="4:7" x14ac:dyDescent="0.3">
      <c r="D179" s="16">
        <v>755</v>
      </c>
      <c r="E179" s="118">
        <v>7587</v>
      </c>
      <c r="F179" s="33">
        <v>6937.6371616678862</v>
      </c>
      <c r="G179" s="118">
        <v>69376.371616678865</v>
      </c>
    </row>
    <row r="180" spans="4:7" x14ac:dyDescent="0.3">
      <c r="D180" s="16">
        <v>756</v>
      </c>
      <c r="E180" s="118">
        <v>2244</v>
      </c>
      <c r="F180" s="33">
        <v>0</v>
      </c>
      <c r="G180" s="118">
        <v>0</v>
      </c>
    </row>
    <row r="181" spans="4:7" x14ac:dyDescent="0.3">
      <c r="D181" s="16">
        <v>757</v>
      </c>
      <c r="E181" s="118">
        <v>14872</v>
      </c>
      <c r="F181" s="33">
        <v>13599.122165325531</v>
      </c>
      <c r="G181" s="118">
        <v>163189.46598390635</v>
      </c>
    </row>
    <row r="182" spans="4:7" x14ac:dyDescent="0.3">
      <c r="D182" s="16">
        <v>758</v>
      </c>
      <c r="E182" s="118">
        <v>11018</v>
      </c>
      <c r="F182" s="33">
        <v>10074.981711777617</v>
      </c>
      <c r="G182" s="118">
        <v>120899.78054133139</v>
      </c>
    </row>
    <row r="183" spans="4:7" x14ac:dyDescent="0.3">
      <c r="D183" s="16">
        <v>759</v>
      </c>
      <c r="E183" s="118">
        <v>23305</v>
      </c>
      <c r="F183" s="33">
        <v>21310.35113386979</v>
      </c>
      <c r="G183" s="118">
        <v>255724.21360643749</v>
      </c>
    </row>
    <row r="184" spans="4:7" x14ac:dyDescent="0.3">
      <c r="D184" s="16">
        <v>760</v>
      </c>
      <c r="E184" s="118">
        <v>9308</v>
      </c>
      <c r="F184" s="33">
        <v>8511.3386978785675</v>
      </c>
      <c r="G184" s="118">
        <v>85113.386978785682</v>
      </c>
    </row>
    <row r="185" spans="4:7" x14ac:dyDescent="0.3">
      <c r="D185" s="16">
        <v>761</v>
      </c>
      <c r="E185" s="118">
        <v>20380</v>
      </c>
      <c r="F185" s="33">
        <v>18635.6986100951</v>
      </c>
      <c r="G185" s="118">
        <v>186356.98610095101</v>
      </c>
    </row>
    <row r="186" spans="4:7" x14ac:dyDescent="0.3">
      <c r="D186" s="16">
        <v>762</v>
      </c>
      <c r="E186" s="118">
        <v>7020</v>
      </c>
      <c r="F186" s="33">
        <v>6419.1660570592539</v>
      </c>
      <c r="G186" s="118">
        <v>77029.992684711047</v>
      </c>
    </row>
    <row r="187" spans="4:7" x14ac:dyDescent="0.3">
      <c r="D187" s="16">
        <v>763</v>
      </c>
      <c r="E187" s="118">
        <v>2776</v>
      </c>
      <c r="F187" s="33">
        <v>2538.4052670080468</v>
      </c>
      <c r="G187" s="118">
        <v>25384.052670080469</v>
      </c>
    </row>
    <row r="188" spans="4:7" x14ac:dyDescent="0.3">
      <c r="D188" s="16">
        <v>764</v>
      </c>
      <c r="E188" s="118">
        <v>25394</v>
      </c>
      <c r="F188" s="33">
        <v>23220.555961960501</v>
      </c>
      <c r="G188" s="118">
        <v>232205.55961960502</v>
      </c>
    </row>
    <row r="189" spans="4:7" x14ac:dyDescent="0.3">
      <c r="D189" s="16">
        <v>765</v>
      </c>
      <c r="E189" s="118">
        <v>10496</v>
      </c>
      <c r="F189" s="33">
        <v>9597.6591075347478</v>
      </c>
      <c r="G189" s="118">
        <v>95976.591075347475</v>
      </c>
    </row>
    <row r="190" spans="4:7" x14ac:dyDescent="0.3">
      <c r="D190" s="16">
        <v>766</v>
      </c>
      <c r="E190" s="118">
        <v>9552</v>
      </c>
      <c r="F190" s="33">
        <v>8734.4550109729335</v>
      </c>
      <c r="G190" s="118">
        <v>87344.550109729331</v>
      </c>
    </row>
    <row r="191" spans="4:7" x14ac:dyDescent="0.3">
      <c r="D191" s="16">
        <v>767</v>
      </c>
      <c r="E191" s="118">
        <v>13908</v>
      </c>
      <c r="F191" s="33">
        <v>12717.629846378934</v>
      </c>
      <c r="G191" s="118">
        <v>127176.29846378934</v>
      </c>
    </row>
    <row r="192" spans="4:7" x14ac:dyDescent="0.3">
      <c r="D192" s="16">
        <v>768</v>
      </c>
      <c r="E192" s="118">
        <v>10672</v>
      </c>
      <c r="F192" s="33">
        <v>9758.5954645208494</v>
      </c>
      <c r="G192" s="118">
        <v>97585.954645208491</v>
      </c>
    </row>
    <row r="193" spans="4:7" x14ac:dyDescent="0.3">
      <c r="D193" s="16">
        <v>769</v>
      </c>
      <c r="E193" s="118">
        <v>15800</v>
      </c>
      <c r="F193" s="33">
        <v>14447.695683979518</v>
      </c>
      <c r="G193" s="118">
        <v>130029.26115581566</v>
      </c>
    </row>
    <row r="194" spans="4:7" x14ac:dyDescent="0.3">
      <c r="D194" s="16">
        <v>770</v>
      </c>
      <c r="E194" s="118">
        <v>6612</v>
      </c>
      <c r="F194" s="33">
        <v>6046.0863204096568</v>
      </c>
      <c r="G194" s="118">
        <v>54414.776883686907</v>
      </c>
    </row>
    <row r="195" spans="4:7" x14ac:dyDescent="0.3">
      <c r="D195" s="16">
        <v>771</v>
      </c>
      <c r="E195" s="118">
        <v>10650</v>
      </c>
      <c r="F195" s="33">
        <v>9738.4784198975867</v>
      </c>
      <c r="G195" s="118">
        <v>97384.78419897586</v>
      </c>
    </row>
    <row r="196" spans="4:7" x14ac:dyDescent="0.3">
      <c r="D196" s="16">
        <v>772</v>
      </c>
      <c r="E196" s="118">
        <v>17302</v>
      </c>
      <c r="F196" s="33">
        <v>15821.141185076813</v>
      </c>
      <c r="G196" s="118">
        <v>142390.27066569132</v>
      </c>
    </row>
    <row r="197" spans="4:7" x14ac:dyDescent="0.3">
      <c r="D197" s="16">
        <v>773</v>
      </c>
      <c r="E197" s="118">
        <v>8444</v>
      </c>
      <c r="F197" s="33">
        <v>7721.2874908558897</v>
      </c>
      <c r="G197" s="118">
        <v>92655.449890270684</v>
      </c>
    </row>
    <row r="198" spans="4:7" x14ac:dyDescent="0.3">
      <c r="D198" s="16">
        <v>774</v>
      </c>
      <c r="E198" s="118">
        <v>24391</v>
      </c>
      <c r="F198" s="33">
        <v>22303.401609363573</v>
      </c>
      <c r="G198" s="118">
        <v>267640.81931236287</v>
      </c>
    </row>
    <row r="199" spans="4:7" x14ac:dyDescent="0.3">
      <c r="D199" s="16">
        <v>775</v>
      </c>
      <c r="E199" s="118">
        <v>5084</v>
      </c>
      <c r="F199" s="33">
        <v>4648.8661302121436</v>
      </c>
      <c r="G199" s="118">
        <v>55786.393562545723</v>
      </c>
    </row>
    <row r="200" spans="4:7" x14ac:dyDescent="0.3">
      <c r="D200" s="16">
        <v>776</v>
      </c>
      <c r="E200" s="118">
        <v>4760</v>
      </c>
      <c r="F200" s="33">
        <v>4352.5969275786401</v>
      </c>
      <c r="G200" s="118">
        <v>43525.969275786403</v>
      </c>
    </row>
    <row r="201" spans="4:7" x14ac:dyDescent="0.3">
      <c r="D201" s="16">
        <v>777</v>
      </c>
      <c r="E201" s="118">
        <v>888</v>
      </c>
      <c r="F201" s="33">
        <v>811.99707388441846</v>
      </c>
      <c r="G201" s="118">
        <v>8119.9707388441848</v>
      </c>
    </row>
    <row r="202" spans="4:7" x14ac:dyDescent="0.3">
      <c r="D202" s="16">
        <v>778</v>
      </c>
      <c r="E202" s="118">
        <v>7900</v>
      </c>
      <c r="F202" s="33">
        <v>7223.8478419897592</v>
      </c>
      <c r="G202" s="118">
        <v>72238.478419897598</v>
      </c>
    </row>
    <row r="203" spans="4:7" x14ac:dyDescent="0.3">
      <c r="D203" s="16">
        <v>779</v>
      </c>
      <c r="E203" s="118">
        <v>17788</v>
      </c>
      <c r="F203" s="33">
        <v>16265.544989027068</v>
      </c>
      <c r="G203" s="118">
        <v>162655.44989027068</v>
      </c>
    </row>
    <row r="204" spans="4:7" x14ac:dyDescent="0.3">
      <c r="D204" s="16">
        <v>780</v>
      </c>
      <c r="E204" s="118">
        <v>19577</v>
      </c>
      <c r="F204" s="33">
        <v>17901.426481346014</v>
      </c>
      <c r="G204" s="118">
        <v>179014.26481346015</v>
      </c>
    </row>
    <row r="205" spans="4:7" x14ac:dyDescent="0.3">
      <c r="D205" s="16">
        <v>781</v>
      </c>
      <c r="E205" s="118">
        <v>12687</v>
      </c>
      <c r="F205" s="33">
        <v>11601.133869787858</v>
      </c>
      <c r="G205" s="118">
        <v>116011.33869787859</v>
      </c>
    </row>
    <row r="206" spans="4:7" x14ac:dyDescent="0.3">
      <c r="D206" s="16">
        <v>782</v>
      </c>
      <c r="E206" s="118">
        <v>14207</v>
      </c>
      <c r="F206" s="33">
        <v>12991.038771031457</v>
      </c>
      <c r="G206" s="118">
        <v>129910.38771031456</v>
      </c>
    </row>
    <row r="207" spans="4:7" x14ac:dyDescent="0.3">
      <c r="D207" s="16">
        <v>783</v>
      </c>
      <c r="E207" s="118">
        <v>19240</v>
      </c>
      <c r="F207" s="33">
        <v>17593.269934162399</v>
      </c>
      <c r="G207" s="118">
        <v>175932.69934162399</v>
      </c>
    </row>
    <row r="208" spans="4:7" x14ac:dyDescent="0.3">
      <c r="D208" s="16">
        <v>784</v>
      </c>
      <c r="E208" s="118">
        <v>13299</v>
      </c>
      <c r="F208" s="33">
        <v>12160.753474762254</v>
      </c>
      <c r="G208" s="118">
        <v>121607.53474762254</v>
      </c>
    </row>
    <row r="209" spans="4:7" x14ac:dyDescent="0.3">
      <c r="D209" s="16">
        <v>785</v>
      </c>
      <c r="E209" s="118">
        <v>7664</v>
      </c>
      <c r="F209" s="33">
        <v>7008.0468178493056</v>
      </c>
      <c r="G209" s="118">
        <v>84096.561814191664</v>
      </c>
    </row>
    <row r="210" spans="4:7" x14ac:dyDescent="0.3">
      <c r="D210" s="16">
        <v>786</v>
      </c>
      <c r="E210" s="118">
        <v>5132</v>
      </c>
      <c r="F210" s="33">
        <v>4692.7578639356261</v>
      </c>
      <c r="G210" s="118">
        <v>56313.094367227517</v>
      </c>
    </row>
    <row r="211" spans="4:7" x14ac:dyDescent="0.3">
      <c r="D211" s="16">
        <v>787</v>
      </c>
      <c r="E211" s="118">
        <v>18066</v>
      </c>
      <c r="F211" s="33">
        <v>16519.751280175569</v>
      </c>
      <c r="G211" s="118">
        <v>198237.01536210685</v>
      </c>
    </row>
    <row r="212" spans="4:7" x14ac:dyDescent="0.3">
      <c r="D212" s="16">
        <v>788</v>
      </c>
      <c r="E212" s="118">
        <v>12318</v>
      </c>
      <c r="F212" s="33">
        <v>11263.716166788588</v>
      </c>
      <c r="G212" s="118">
        <v>135164.59400146306</v>
      </c>
    </row>
    <row r="213" spans="4:7" x14ac:dyDescent="0.3">
      <c r="D213" s="16">
        <v>789</v>
      </c>
      <c r="E213" s="118">
        <v>23797</v>
      </c>
      <c r="F213" s="33">
        <v>21760.241404535482</v>
      </c>
      <c r="G213" s="118">
        <v>195842.17264081934</v>
      </c>
    </row>
    <row r="214" spans="4:7" x14ac:dyDescent="0.3">
      <c r="D214" s="16">
        <v>790</v>
      </c>
      <c r="E214" s="118">
        <v>27148</v>
      </c>
      <c r="F214" s="33">
        <v>24824.433065106074</v>
      </c>
      <c r="G214" s="118">
        <v>248244.33065106074</v>
      </c>
    </row>
    <row r="215" spans="4:7" x14ac:dyDescent="0.3">
      <c r="D215" s="16">
        <v>791</v>
      </c>
      <c r="E215" s="118">
        <v>17480</v>
      </c>
      <c r="F215" s="33">
        <v>15983.906364301391</v>
      </c>
      <c r="G215" s="118">
        <v>159839.06364301391</v>
      </c>
    </row>
    <row r="216" spans="4:7" x14ac:dyDescent="0.3">
      <c r="D216" s="16">
        <v>792</v>
      </c>
      <c r="E216" s="118">
        <v>22158</v>
      </c>
      <c r="F216" s="33">
        <v>20261.521580102417</v>
      </c>
      <c r="G216" s="118">
        <v>182353.69422092175</v>
      </c>
    </row>
    <row r="217" spans="4:7" x14ac:dyDescent="0.3">
      <c r="D217" s="16">
        <v>793</v>
      </c>
      <c r="E217" s="118">
        <v>11184</v>
      </c>
      <c r="F217" s="33">
        <v>10226.773957571326</v>
      </c>
      <c r="G217" s="118">
        <v>92040.965618141927</v>
      </c>
    </row>
    <row r="218" spans="4:7" x14ac:dyDescent="0.3">
      <c r="D218" s="16">
        <v>794</v>
      </c>
      <c r="E218" s="118">
        <v>14474</v>
      </c>
      <c r="F218" s="33">
        <v>13235.186539868326</v>
      </c>
      <c r="G218" s="118">
        <v>119116.67885881494</v>
      </c>
    </row>
    <row r="219" spans="4:7" x14ac:dyDescent="0.3">
      <c r="D219" s="16">
        <v>795</v>
      </c>
      <c r="E219" s="118">
        <v>3774</v>
      </c>
      <c r="F219" s="33">
        <v>3450.9875640087785</v>
      </c>
      <c r="G219" s="118">
        <v>31058.888076079005</v>
      </c>
    </row>
    <row r="220" spans="4:7" x14ac:dyDescent="0.3">
      <c r="D220" s="16">
        <v>796</v>
      </c>
      <c r="E220" s="118">
        <v>8892</v>
      </c>
      <c r="F220" s="33">
        <v>8130.9436722750552</v>
      </c>
      <c r="G220" s="118">
        <v>81309.436722750557</v>
      </c>
    </row>
    <row r="221" spans="4:7" x14ac:dyDescent="0.3">
      <c r="D221" s="16">
        <v>797</v>
      </c>
      <c r="E221" s="118">
        <v>4334</v>
      </c>
      <c r="F221" s="33">
        <v>3963.0577907827364</v>
      </c>
      <c r="G221" s="118">
        <v>35667.520117044631</v>
      </c>
    </row>
    <row r="222" spans="4:7" x14ac:dyDescent="0.3">
      <c r="D222" s="16">
        <v>798</v>
      </c>
      <c r="E222" s="118">
        <v>13135</v>
      </c>
      <c r="F222" s="33">
        <v>12010.790051207025</v>
      </c>
      <c r="G222" s="118">
        <v>120107.90051207025</v>
      </c>
    </row>
    <row r="223" spans="4:7" x14ac:dyDescent="0.3">
      <c r="D223" s="16">
        <v>799</v>
      </c>
      <c r="E223" s="118">
        <v>13937</v>
      </c>
      <c r="F223" s="33">
        <v>12744.14776883687</v>
      </c>
      <c r="G223" s="118">
        <v>127441.4776883687</v>
      </c>
    </row>
    <row r="224" spans="4:7" x14ac:dyDescent="0.3">
      <c r="D224" s="16">
        <v>800</v>
      </c>
      <c r="E224" s="118">
        <v>11348</v>
      </c>
      <c r="F224" s="33">
        <v>10376.737381126555</v>
      </c>
      <c r="G224" s="118">
        <v>93390.636430138999</v>
      </c>
    </row>
    <row r="225" spans="4:7" x14ac:dyDescent="0.3">
      <c r="D225" s="16">
        <v>801</v>
      </c>
      <c r="E225" s="118">
        <v>6181</v>
      </c>
      <c r="F225" s="33">
        <v>5651.9751280175569</v>
      </c>
      <c r="G225" s="118">
        <v>56519.751280175566</v>
      </c>
    </row>
    <row r="226" spans="4:7" x14ac:dyDescent="0.3">
      <c r="D226" s="16">
        <v>802</v>
      </c>
      <c r="E226" s="118">
        <v>20149</v>
      </c>
      <c r="F226" s="33">
        <v>18424.469641550844</v>
      </c>
      <c r="G226" s="118">
        <v>184244.69641550846</v>
      </c>
    </row>
    <row r="227" spans="4:7" x14ac:dyDescent="0.3">
      <c r="D227" s="16">
        <v>803</v>
      </c>
      <c r="E227" s="118">
        <v>24694</v>
      </c>
      <c r="F227" s="33">
        <v>22580.468178493051</v>
      </c>
      <c r="G227" s="118">
        <v>225804.68178493052</v>
      </c>
    </row>
    <row r="228" spans="4:7" x14ac:dyDescent="0.3">
      <c r="D228" s="16">
        <v>804</v>
      </c>
      <c r="E228" s="118">
        <v>8999</v>
      </c>
      <c r="F228" s="33">
        <v>8228.7856620336515</v>
      </c>
      <c r="G228" s="118">
        <v>74059.070958302866</v>
      </c>
    </row>
    <row r="229" spans="4:7" x14ac:dyDescent="0.3">
      <c r="D229" s="16">
        <v>805</v>
      </c>
      <c r="E229" s="118">
        <v>9858</v>
      </c>
      <c r="F229" s="33">
        <v>9014.2648134601332</v>
      </c>
      <c r="G229" s="118">
        <v>81128.383321141198</v>
      </c>
    </row>
    <row r="230" spans="4:7" x14ac:dyDescent="0.3">
      <c r="D230" s="16">
        <v>806</v>
      </c>
      <c r="E230" s="118">
        <v>28756</v>
      </c>
      <c r="F230" s="33">
        <v>26294.806144842725</v>
      </c>
      <c r="G230" s="118">
        <v>276095.46452084859</v>
      </c>
    </row>
    <row r="231" spans="4:7" x14ac:dyDescent="0.3">
      <c r="D231" s="16">
        <v>807</v>
      </c>
      <c r="E231" s="118"/>
      <c r="F231" s="33">
        <v>0</v>
      </c>
      <c r="G231" s="118"/>
    </row>
    <row r="232" spans="4:7" x14ac:dyDescent="0.3">
      <c r="D232" s="16">
        <v>808</v>
      </c>
      <c r="E232" s="118">
        <v>3855</v>
      </c>
      <c r="F232" s="33">
        <v>3525.0548646671546</v>
      </c>
      <c r="G232" s="118">
        <v>35250.548646671545</v>
      </c>
    </row>
    <row r="233" spans="4:7" x14ac:dyDescent="0.3">
      <c r="D233" s="16">
        <v>809</v>
      </c>
      <c r="E233" s="118">
        <v>2228</v>
      </c>
      <c r="F233" s="33">
        <v>2037.3079736649599</v>
      </c>
      <c r="G233" s="118">
        <v>18335.771762984641</v>
      </c>
    </row>
    <row r="234" spans="4:7" x14ac:dyDescent="0.3">
      <c r="D234" s="16">
        <v>810</v>
      </c>
      <c r="E234" s="118">
        <v>19760</v>
      </c>
      <c r="F234" s="33">
        <v>18068.763716166792</v>
      </c>
      <c r="G234" s="118">
        <v>216825.16459400149</v>
      </c>
    </row>
    <row r="235" spans="4:7" x14ac:dyDescent="0.3">
      <c r="D235" s="16">
        <v>811</v>
      </c>
      <c r="E235" s="118">
        <v>14695</v>
      </c>
      <c r="F235" s="33">
        <v>13437.271397220191</v>
      </c>
      <c r="G235" s="118">
        <v>161247.2567666423</v>
      </c>
    </row>
    <row r="236" spans="4:7" x14ac:dyDescent="0.3">
      <c r="D236" s="16">
        <v>812</v>
      </c>
      <c r="E236" s="118">
        <v>6490</v>
      </c>
      <c r="F236" s="33">
        <v>5934.5281638624729</v>
      </c>
      <c r="G236" s="118">
        <v>71214.337966349674</v>
      </c>
    </row>
    <row r="237" spans="4:7" x14ac:dyDescent="0.3">
      <c r="D237" s="16">
        <v>813</v>
      </c>
      <c r="E237" s="118">
        <v>6448</v>
      </c>
      <c r="F237" s="33">
        <v>5896.1228968544265</v>
      </c>
      <c r="G237" s="118">
        <v>70753.474762253114</v>
      </c>
    </row>
    <row r="238" spans="4:7" x14ac:dyDescent="0.3">
      <c r="D238" s="16">
        <v>814</v>
      </c>
      <c r="E238" s="118">
        <v>13600</v>
      </c>
      <c r="F238" s="33">
        <v>12435.991221653256</v>
      </c>
      <c r="G238" s="118">
        <v>124359.91221653255</v>
      </c>
    </row>
    <row r="239" spans="4:7" x14ac:dyDescent="0.3">
      <c r="D239" s="16">
        <v>815</v>
      </c>
      <c r="E239" s="118">
        <v>4344</v>
      </c>
      <c r="F239" s="33">
        <v>3972.2019019751283</v>
      </c>
      <c r="G239" s="118">
        <v>39722.019019751286</v>
      </c>
    </row>
    <row r="240" spans="4:7" x14ac:dyDescent="0.3">
      <c r="D240" s="16">
        <v>816</v>
      </c>
      <c r="E240" s="118">
        <v>2202</v>
      </c>
      <c r="F240" s="33">
        <v>2013.5332845647404</v>
      </c>
      <c r="G240" s="118">
        <v>20135.332845647405</v>
      </c>
    </row>
    <row r="241" spans="4:7" x14ac:dyDescent="0.3">
      <c r="D241" s="16">
        <v>817</v>
      </c>
      <c r="E241" s="118">
        <v>1676</v>
      </c>
      <c r="F241" s="33">
        <v>1532.5530358449159</v>
      </c>
      <c r="G241" s="118">
        <v>18390.636430138991</v>
      </c>
    </row>
    <row r="242" spans="4:7" x14ac:dyDescent="0.3">
      <c r="D242" s="16">
        <v>819</v>
      </c>
      <c r="E242" s="118">
        <v>11388</v>
      </c>
      <c r="F242" s="33">
        <v>10413.313825896124</v>
      </c>
      <c r="G242" s="118">
        <v>104133.13825896125</v>
      </c>
    </row>
    <row r="243" spans="4:7" x14ac:dyDescent="0.3">
      <c r="D243" s="16">
        <v>820</v>
      </c>
      <c r="E243" s="118">
        <v>24722</v>
      </c>
      <c r="F243" s="33">
        <v>22606.071689831751</v>
      </c>
      <c r="G243" s="118">
        <v>226060.71689831751</v>
      </c>
    </row>
    <row r="244" spans="4:7" x14ac:dyDescent="0.3">
      <c r="D244" s="16">
        <v>821</v>
      </c>
      <c r="E244" s="118">
        <v>5368</v>
      </c>
      <c r="F244" s="33">
        <v>4908.5588880760797</v>
      </c>
      <c r="G244" s="118">
        <v>58902.706656912953</v>
      </c>
    </row>
    <row r="245" spans="4:7" x14ac:dyDescent="0.3">
      <c r="D245" s="16">
        <v>818</v>
      </c>
      <c r="E245" s="118">
        <v>14923</v>
      </c>
      <c r="F245" s="33">
        <v>13645.757132406732</v>
      </c>
      <c r="G245" s="118">
        <v>136457.57132406731</v>
      </c>
    </row>
    <row r="246" spans="4:7" x14ac:dyDescent="0.3">
      <c r="D246" s="16">
        <v>822</v>
      </c>
      <c r="E246" s="118">
        <v>4290</v>
      </c>
      <c r="F246" s="33">
        <v>3922.823701536211</v>
      </c>
      <c r="G246" s="118">
        <v>47073.884418434536</v>
      </c>
    </row>
    <row r="247" spans="4:7" x14ac:dyDescent="0.3">
      <c r="D247" s="16">
        <v>823</v>
      </c>
      <c r="E247" s="118">
        <v>13282</v>
      </c>
      <c r="F247" s="33">
        <v>12145.208485735187</v>
      </c>
      <c r="G247" s="118">
        <v>145742.50182882225</v>
      </c>
    </row>
    <row r="248" spans="4:7" x14ac:dyDescent="0.3">
      <c r="D248" s="16">
        <v>824</v>
      </c>
      <c r="E248" s="118">
        <v>26000</v>
      </c>
      <c r="F248" s="33">
        <v>23774.689100219461</v>
      </c>
      <c r="G248" s="118">
        <v>285296.26920263353</v>
      </c>
    </row>
    <row r="249" spans="4:7" x14ac:dyDescent="0.3">
      <c r="D249" s="16">
        <v>825</v>
      </c>
      <c r="E249" s="118">
        <v>6010</v>
      </c>
      <c r="F249" s="33">
        <v>5495.6108266276524</v>
      </c>
      <c r="G249" s="118">
        <v>65947.329919531825</v>
      </c>
    </row>
    <row r="250" spans="4:7" x14ac:dyDescent="0.3">
      <c r="D250" s="16">
        <v>826</v>
      </c>
      <c r="E250" s="118"/>
      <c r="F250" s="33">
        <v>0</v>
      </c>
      <c r="G250" s="118"/>
    </row>
    <row r="251" spans="4:7" x14ac:dyDescent="0.3">
      <c r="D251" s="16">
        <v>827</v>
      </c>
      <c r="E251" s="118">
        <v>5756</v>
      </c>
      <c r="F251" s="33">
        <v>5263.3504023408932</v>
      </c>
      <c r="G251" s="118">
        <v>63160.204828090718</v>
      </c>
    </row>
    <row r="252" spans="4:7" x14ac:dyDescent="0.3">
      <c r="D252" s="16">
        <v>828</v>
      </c>
      <c r="E252" s="118">
        <v>8482</v>
      </c>
      <c r="F252" s="33">
        <v>7756.0351133869799</v>
      </c>
      <c r="G252" s="118">
        <v>93072.421360643755</v>
      </c>
    </row>
    <row r="253" spans="4:7" x14ac:dyDescent="0.3">
      <c r="D253" s="16">
        <v>829</v>
      </c>
      <c r="E253" s="118">
        <v>28055</v>
      </c>
      <c r="F253" s="33">
        <v>25653.803950256039</v>
      </c>
      <c r="G253" s="118">
        <v>256538.03950256039</v>
      </c>
    </row>
    <row r="254" spans="4:7" x14ac:dyDescent="0.3">
      <c r="D254" s="16">
        <v>830</v>
      </c>
      <c r="E254" s="118">
        <v>17655</v>
      </c>
      <c r="F254" s="33">
        <v>16143.928310168252</v>
      </c>
      <c r="G254" s="118">
        <v>161439.28310168252</v>
      </c>
    </row>
    <row r="255" spans="4:7" x14ac:dyDescent="0.3">
      <c r="D255" s="16">
        <v>831</v>
      </c>
      <c r="E255" s="118">
        <v>4700</v>
      </c>
      <c r="F255" s="33">
        <v>4297.7322604242872</v>
      </c>
      <c r="G255" s="118">
        <v>42977.322604242872</v>
      </c>
    </row>
    <row r="256" spans="4:7" x14ac:dyDescent="0.3">
      <c r="D256" s="16">
        <v>832</v>
      </c>
      <c r="E256" s="118">
        <v>15076</v>
      </c>
      <c r="F256" s="33">
        <v>13785.662033650331</v>
      </c>
      <c r="G256" s="118">
        <v>124070.95830285297</v>
      </c>
    </row>
    <row r="257" spans="4:7" x14ac:dyDescent="0.3">
      <c r="D257" s="16">
        <v>833</v>
      </c>
      <c r="E257" s="118">
        <v>4543</v>
      </c>
      <c r="F257" s="33">
        <v>4154.1697147037312</v>
      </c>
      <c r="G257" s="118">
        <v>37387.527432333583</v>
      </c>
    </row>
    <row r="258" spans="4:7" x14ac:dyDescent="0.3">
      <c r="D258" s="16">
        <v>834</v>
      </c>
      <c r="E258" s="118">
        <v>11193</v>
      </c>
      <c r="F258" s="33">
        <v>10235.003657644478</v>
      </c>
      <c r="G258" s="118">
        <v>102350.03657644478</v>
      </c>
    </row>
    <row r="259" spans="4:7" x14ac:dyDescent="0.3">
      <c r="D259" s="16">
        <v>842</v>
      </c>
      <c r="E259" s="118">
        <v>924</v>
      </c>
      <c r="F259" s="33">
        <v>844.9158741770301</v>
      </c>
      <c r="G259" s="118">
        <v>8449.1587417703013</v>
      </c>
    </row>
    <row r="260" spans="4:7" x14ac:dyDescent="0.3">
      <c r="D260" s="16">
        <v>845</v>
      </c>
      <c r="E260" s="118">
        <v>3747</v>
      </c>
      <c r="F260" s="33">
        <v>3426.2984637893201</v>
      </c>
      <c r="G260" s="118">
        <v>34262.984637893198</v>
      </c>
    </row>
    <row r="261" spans="4:7" x14ac:dyDescent="0.3">
      <c r="D261" s="16">
        <v>848</v>
      </c>
      <c r="E261" s="118">
        <v>12882</v>
      </c>
      <c r="F261" s="33">
        <v>11779.444038039504</v>
      </c>
      <c r="G261" s="118">
        <v>117794.44038039504</v>
      </c>
    </row>
    <row r="262" spans="4:7" x14ac:dyDescent="0.3">
      <c r="D262" s="16" t="s">
        <v>112</v>
      </c>
      <c r="E262" s="118"/>
      <c r="F262" s="33"/>
      <c r="G262" s="118"/>
    </row>
    <row r="263" spans="4:7" x14ac:dyDescent="0.3">
      <c r="D263" s="16">
        <v>850</v>
      </c>
      <c r="E263" s="118">
        <v>11023</v>
      </c>
      <c r="F263" s="33">
        <v>10079.553767373813</v>
      </c>
      <c r="G263" s="118">
        <v>100795.53767373813</v>
      </c>
    </row>
    <row r="264" spans="4:7" x14ac:dyDescent="0.3">
      <c r="D264" s="16">
        <v>851</v>
      </c>
      <c r="E264" s="118">
        <v>37847</v>
      </c>
      <c r="F264" s="33">
        <v>34607.717629846382</v>
      </c>
      <c r="G264" s="118">
        <v>346077.17629846383</v>
      </c>
    </row>
    <row r="265" spans="4:7" x14ac:dyDescent="0.3">
      <c r="D265" s="16">
        <v>855</v>
      </c>
      <c r="E265" s="118">
        <v>17968</v>
      </c>
      <c r="F265" s="33">
        <v>16430.138990490126</v>
      </c>
      <c r="G265" s="118">
        <v>164301.38990490127</v>
      </c>
    </row>
    <row r="266" spans="4:7" x14ac:dyDescent="0.3">
      <c r="D266" s="16" t="s">
        <v>28</v>
      </c>
      <c r="E266" s="118">
        <v>1559713</v>
      </c>
      <c r="F266" s="33">
        <v>2395198.4272128749</v>
      </c>
      <c r="G266" s="118">
        <v>24131731.938771047</v>
      </c>
    </row>
  </sheetData>
  <phoneticPr fontId="7" alignment="center"/>
  <pageMargins left="0.7" right="0.7" top="0.75" bottom="0.75" header="0.3" footer="0.3"/>
  <pageSetup scale="70"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53"/>
  <sheetViews>
    <sheetView topLeftCell="A50" zoomScale="83" workbookViewId="0">
      <selection activeCell="F129" sqref="F129"/>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19.6640625" bestFit="1" customWidth="1"/>
    <col min="6" max="6" width="13.33203125" bestFit="1" customWidth="1"/>
    <col min="7" max="7" width="11.1093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78</v>
      </c>
      <c r="B1" s="8" t="s">
        <v>2</v>
      </c>
      <c r="C1" s="8" t="s">
        <v>97</v>
      </c>
      <c r="D1" s="12" t="s">
        <v>98</v>
      </c>
      <c r="E1" s="12" t="s">
        <v>4</v>
      </c>
      <c r="F1" s="12" t="s">
        <v>99</v>
      </c>
      <c r="G1" s="12" t="s">
        <v>5</v>
      </c>
      <c r="H1" s="12" t="s">
        <v>100</v>
      </c>
      <c r="I1" s="13" t="s">
        <v>101</v>
      </c>
      <c r="J1" s="11"/>
    </row>
    <row r="2" spans="1:14" x14ac:dyDescent="0.3">
      <c r="A2" s="93">
        <v>45885</v>
      </c>
      <c r="B2" s="90" t="s">
        <v>102</v>
      </c>
      <c r="C2" s="90" t="s">
        <v>103</v>
      </c>
      <c r="D2" s="91"/>
      <c r="E2" s="91"/>
      <c r="F2" s="91"/>
      <c r="G2" s="91">
        <f>D2*E2</f>
        <v>0</v>
      </c>
      <c r="H2" s="91"/>
      <c r="I2" s="92">
        <v>1252847</v>
      </c>
    </row>
    <row r="3" spans="1:14" x14ac:dyDescent="0.3">
      <c r="A3" s="93">
        <v>45885</v>
      </c>
      <c r="B3" s="90" t="s">
        <v>104</v>
      </c>
      <c r="C3" s="90" t="s">
        <v>103</v>
      </c>
      <c r="D3" s="91"/>
      <c r="E3" s="91"/>
      <c r="F3" s="91"/>
      <c r="G3" s="91">
        <f>D3*E3</f>
        <v>0</v>
      </c>
      <c r="H3" s="91"/>
      <c r="I3" s="92">
        <f>42600-70000</f>
        <v>-27400</v>
      </c>
      <c r="J3" s="11"/>
    </row>
    <row r="4" spans="1:14" x14ac:dyDescent="0.3">
      <c r="A4" s="1">
        <v>45881</v>
      </c>
      <c r="B4" t="s">
        <v>102</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104</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102</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102</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102</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102</v>
      </c>
      <c r="C9">
        <v>4649</v>
      </c>
      <c r="D9" s="11">
        <v>265</v>
      </c>
      <c r="E9" s="11">
        <v>765</v>
      </c>
      <c r="F9" s="11">
        <v>26650</v>
      </c>
      <c r="G9" s="11">
        <f t="shared" ref="G9:G12" si="2">D9*E9</f>
        <v>202725</v>
      </c>
      <c r="H9" s="11"/>
      <c r="I9" s="11">
        <f>(D9*E9)-Table3[[#This Row],[Paid]]</f>
        <v>202725</v>
      </c>
      <c r="J9" s="11"/>
    </row>
    <row r="10" spans="1:14" x14ac:dyDescent="0.3">
      <c r="A10" s="1">
        <v>45887</v>
      </c>
      <c r="B10" t="s">
        <v>102</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102</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102</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102</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102</v>
      </c>
      <c r="C14">
        <v>3229</v>
      </c>
      <c r="D14" s="11">
        <v>215</v>
      </c>
      <c r="E14" s="11">
        <v>765</v>
      </c>
      <c r="F14" s="11">
        <v>36000</v>
      </c>
      <c r="G14" s="11">
        <f t="shared" si="3"/>
        <v>164475</v>
      </c>
      <c r="H14" s="11"/>
      <c r="I14" s="11">
        <f>(D14*E14)-Table3[[#This Row],[Paid]]</f>
        <v>164475</v>
      </c>
      <c r="N14" s="17">
        <f>SUM(Table3[Total])</f>
        <v>7108460</v>
      </c>
    </row>
    <row r="15" spans="1:14" x14ac:dyDescent="0.3">
      <c r="A15" s="1">
        <v>45892</v>
      </c>
      <c r="B15" t="s">
        <v>102</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102</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102</v>
      </c>
      <c r="C17">
        <v>3229</v>
      </c>
      <c r="D17" s="11">
        <v>245</v>
      </c>
      <c r="E17" s="11">
        <v>765</v>
      </c>
      <c r="F17" s="11">
        <v>40000</v>
      </c>
      <c r="G17" s="11">
        <f t="shared" si="4"/>
        <v>187425</v>
      </c>
      <c r="H17" s="11"/>
      <c r="I17" s="11">
        <f>(D17*E17)-Table3[[#This Row],[Paid]]</f>
        <v>187425</v>
      </c>
    </row>
    <row r="18" spans="1:11" x14ac:dyDescent="0.3">
      <c r="A18" s="1">
        <v>45893</v>
      </c>
      <c r="B18" t="s">
        <v>104</v>
      </c>
      <c r="C18" t="s">
        <v>105</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102</v>
      </c>
      <c r="C19">
        <v>561</v>
      </c>
      <c r="D19" s="11">
        <v>225</v>
      </c>
      <c r="E19" s="11">
        <v>810</v>
      </c>
      <c r="F19" s="11">
        <v>20700</v>
      </c>
      <c r="G19" s="11">
        <f t="shared" ref="G19:G21" si="5">D19*E19</f>
        <v>182250</v>
      </c>
      <c r="H19" s="11">
        <f>SUMIFS(Table14[Debit], Table14[Date], Table3[[#This Row],[Date]], Table14[Party], Table3[[#This Row],[Party Name]])</f>
        <v>346500</v>
      </c>
      <c r="I19" s="11">
        <f>(D19*E19)-Table3[[#This Row],[Paid]]</f>
        <v>-164250</v>
      </c>
    </row>
    <row r="20" spans="1:11" x14ac:dyDescent="0.3">
      <c r="A20" s="1">
        <v>45895</v>
      </c>
      <c r="B20" t="s">
        <v>102</v>
      </c>
      <c r="C20">
        <v>447</v>
      </c>
      <c r="D20" s="11">
        <v>291</v>
      </c>
      <c r="E20" s="11">
        <v>765</v>
      </c>
      <c r="F20" s="11">
        <v>25500</v>
      </c>
      <c r="G20" s="11">
        <f t="shared" si="5"/>
        <v>222615</v>
      </c>
      <c r="H20" s="11"/>
      <c r="I20" s="11">
        <f>(D20*E20)-Table3[[#This Row],[Paid]]</f>
        <v>222615</v>
      </c>
    </row>
    <row r="21" spans="1:11" x14ac:dyDescent="0.3">
      <c r="A21" s="1">
        <v>45896</v>
      </c>
      <c r="B21" t="s">
        <v>104</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102</v>
      </c>
      <c r="C22">
        <v>1910</v>
      </c>
      <c r="D22" s="11">
        <v>265</v>
      </c>
      <c r="E22" s="11">
        <v>810</v>
      </c>
      <c r="F22" s="11">
        <v>43250</v>
      </c>
      <c r="G22" s="11">
        <f>D22*E22</f>
        <v>214650</v>
      </c>
      <c r="H22" s="11">
        <f>SUMIFS(Table14[Debit], Table14[Date], Table3[[#This Row],[Date]], Table14[Party], Table3[[#This Row],[Party Name]])</f>
        <v>345250</v>
      </c>
      <c r="I22" s="11">
        <f>(D22*E22)-Table3[[#This Row],[Paid]]</f>
        <v>-130600</v>
      </c>
    </row>
    <row r="23" spans="1:11" x14ac:dyDescent="0.3">
      <c r="A23" s="1">
        <v>45899</v>
      </c>
      <c r="B23" t="s">
        <v>102</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104</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102</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102</v>
      </c>
      <c r="C26">
        <v>3229</v>
      </c>
      <c r="D26" s="11">
        <v>220</v>
      </c>
      <c r="E26" s="11">
        <v>765</v>
      </c>
      <c r="F26" s="11">
        <v>37000</v>
      </c>
      <c r="G26" s="11">
        <f t="shared" ref="G26:G27" si="7">D26*E26</f>
        <v>168300</v>
      </c>
      <c r="H26" s="11"/>
      <c r="I26" s="11">
        <f>(D26*E26)-Table3[[#This Row],[Paid]]</f>
        <v>168300</v>
      </c>
    </row>
    <row r="27" spans="1:11" x14ac:dyDescent="0.3">
      <c r="A27" s="1">
        <v>45901</v>
      </c>
      <c r="B27" t="s">
        <v>102</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102</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102</v>
      </c>
      <c r="C29">
        <v>8141</v>
      </c>
      <c r="D29" s="11">
        <v>249</v>
      </c>
      <c r="E29" s="11">
        <v>810</v>
      </c>
      <c r="F29" s="11">
        <v>40000</v>
      </c>
      <c r="G29" s="11">
        <f t="shared" si="8"/>
        <v>201690</v>
      </c>
      <c r="H29" s="11"/>
      <c r="I29" s="11">
        <f>(D29*E29)-Table3[[#This Row],[Paid]]</f>
        <v>201690</v>
      </c>
      <c r="K29" s="14"/>
    </row>
    <row r="30" spans="1:11" x14ac:dyDescent="0.3">
      <c r="A30" s="1">
        <v>45902</v>
      </c>
      <c r="B30" t="s">
        <v>102</v>
      </c>
      <c r="C30">
        <v>3220</v>
      </c>
      <c r="D30" s="11">
        <v>231</v>
      </c>
      <c r="E30" s="11">
        <v>765</v>
      </c>
      <c r="F30" s="11">
        <v>41000</v>
      </c>
      <c r="G30" s="11">
        <f t="shared" ref="G30:G32" si="9">D30*E30</f>
        <v>176715</v>
      </c>
      <c r="H30" s="11"/>
      <c r="I30" s="11">
        <f>(D30*E30)-Table3[[#This Row],[Paid]]</f>
        <v>176715</v>
      </c>
    </row>
    <row r="31" spans="1:11" x14ac:dyDescent="0.3">
      <c r="A31" s="1">
        <v>45903</v>
      </c>
      <c r="B31" t="s">
        <v>104</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102</v>
      </c>
      <c r="C32">
        <v>5679</v>
      </c>
      <c r="D32" s="11">
        <v>271</v>
      </c>
      <c r="E32" s="11">
        <v>810</v>
      </c>
      <c r="F32" s="11">
        <v>44750</v>
      </c>
      <c r="G32" s="11">
        <f t="shared" si="9"/>
        <v>219510</v>
      </c>
      <c r="H32" s="11"/>
      <c r="I32" s="11">
        <f>(D32*E32)-Table3[[#This Row],[Paid]]</f>
        <v>219510</v>
      </c>
    </row>
    <row r="33" spans="1:9" x14ac:dyDescent="0.3">
      <c r="A33" s="1">
        <v>45904</v>
      </c>
      <c r="B33" t="s">
        <v>102</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x14ac:dyDescent="0.3">
      <c r="A34" s="1">
        <v>45904</v>
      </c>
      <c r="B34" t="s">
        <v>295</v>
      </c>
      <c r="C34" t="s">
        <v>105</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295</v>
      </c>
      <c r="C35" t="s">
        <v>105</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102</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102</v>
      </c>
      <c r="C37">
        <v>1973</v>
      </c>
      <c r="D37" s="11">
        <v>187</v>
      </c>
      <c r="E37" s="11">
        <v>765</v>
      </c>
      <c r="F37" s="11">
        <v>33000</v>
      </c>
      <c r="G37" s="11">
        <f>D37*E37</f>
        <v>143055</v>
      </c>
      <c r="H37" s="11"/>
      <c r="I37" s="11">
        <f>(D37*E37)-Table3[[#This Row],[Paid]]</f>
        <v>143055</v>
      </c>
    </row>
    <row r="38" spans="1:9" x14ac:dyDescent="0.3">
      <c r="A38" s="1">
        <v>45905</v>
      </c>
      <c r="B38" t="s">
        <v>295</v>
      </c>
      <c r="C38" t="s">
        <v>105</v>
      </c>
      <c r="D38" s="11">
        <v>41</v>
      </c>
      <c r="E38" s="11">
        <v>590</v>
      </c>
      <c r="F38" s="11"/>
      <c r="G38" s="11">
        <f>D38*E38</f>
        <v>24190</v>
      </c>
      <c r="H38" s="11">
        <f>SUMIFS(Table14[Debit], Table14[Date], Table3[[#This Row],[Date]], Table14[Party], Table3[[#This Row],[Party Name]])</f>
        <v>51330</v>
      </c>
      <c r="I38" s="11">
        <f>(D38*E38)-Table3[[#This Row],[Paid]]</f>
        <v>-27140</v>
      </c>
    </row>
    <row r="39" spans="1:9" x14ac:dyDescent="0.3">
      <c r="A39" s="1">
        <v>45907</v>
      </c>
      <c r="B39" t="s">
        <v>295</v>
      </c>
      <c r="C39" t="s">
        <v>105</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x14ac:dyDescent="0.3">
      <c r="A40" s="1">
        <v>45908</v>
      </c>
      <c r="B40" t="s">
        <v>295</v>
      </c>
      <c r="C40" t="s">
        <v>105</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102</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102</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102</v>
      </c>
      <c r="C43">
        <v>685</v>
      </c>
      <c r="D43" s="11">
        <v>50</v>
      </c>
      <c r="E43" s="11">
        <v>765</v>
      </c>
      <c r="F43" s="11">
        <v>37500</v>
      </c>
      <c r="G43" s="11">
        <f>D43*E43</f>
        <v>38250</v>
      </c>
      <c r="H43" s="11"/>
      <c r="I43" s="11">
        <f>(D43*E43)-Table3[[#This Row],[Paid]]</f>
        <v>38250</v>
      </c>
    </row>
    <row r="44" spans="1:9" x14ac:dyDescent="0.3">
      <c r="A44" s="1">
        <v>45910</v>
      </c>
      <c r="B44" t="s">
        <v>102</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x14ac:dyDescent="0.3">
      <c r="A45" s="1">
        <v>45910</v>
      </c>
      <c r="B45" t="s">
        <v>295</v>
      </c>
      <c r="C45" t="s">
        <v>105</v>
      </c>
      <c r="D45" s="11">
        <v>44</v>
      </c>
      <c r="E45" s="11">
        <v>590</v>
      </c>
      <c r="F45" s="11"/>
      <c r="G45" s="11">
        <f>D45*E45</f>
        <v>25960</v>
      </c>
      <c r="H45" s="11">
        <f>SUMIFS(Table14[Debit], Table14[Date], Table3[[#This Row],[Date]], Table14[Party], Table3[[#This Row],[Party Name]])</f>
        <v>148610</v>
      </c>
      <c r="I45" s="11">
        <f>(D45*E45)-Table3[[#This Row],[Paid]]</f>
        <v>-122650</v>
      </c>
    </row>
    <row r="46" spans="1:9" x14ac:dyDescent="0.3">
      <c r="A46" s="1">
        <v>45910</v>
      </c>
      <c r="B46" t="s">
        <v>295</v>
      </c>
      <c r="C46" t="s">
        <v>105</v>
      </c>
      <c r="D46" s="11">
        <v>188</v>
      </c>
      <c r="E46" s="11">
        <v>550</v>
      </c>
      <c r="F46" s="11"/>
      <c r="G46" s="11">
        <f>D46*E46</f>
        <v>103400</v>
      </c>
      <c r="H46" s="11"/>
      <c r="I46" s="11">
        <f>(D46*E46)-Table3[[#This Row],[Paid]]</f>
        <v>103400</v>
      </c>
    </row>
    <row r="47" spans="1:9" x14ac:dyDescent="0.3">
      <c r="A47" s="1">
        <v>45911</v>
      </c>
      <c r="B47" t="s">
        <v>102</v>
      </c>
      <c r="D47" s="11"/>
      <c r="E47" s="11"/>
      <c r="F47" s="11"/>
      <c r="G47" s="11">
        <f t="shared" ref="G47:G48" si="13">D47*E47</f>
        <v>0</v>
      </c>
      <c r="H47" s="11">
        <f>SUMIFS(Table14[Debit], Table14[Date], Table3[[#This Row],[Date]], Table14[Party], Table3[[#This Row],[Party Name]])</f>
        <v>200700</v>
      </c>
      <c r="I47" s="11">
        <f>(D47*E47)-Table3[[#This Row],[Paid]]</f>
        <v>-200700</v>
      </c>
    </row>
    <row r="48" spans="1:9" x14ac:dyDescent="0.3">
      <c r="A48" s="1">
        <v>45911</v>
      </c>
      <c r="B48" t="s">
        <v>295</v>
      </c>
      <c r="C48" t="s">
        <v>105</v>
      </c>
      <c r="D48" s="11">
        <v>43</v>
      </c>
      <c r="E48" s="11">
        <v>590</v>
      </c>
      <c r="F48" s="11"/>
      <c r="G48" s="11">
        <f t="shared" si="13"/>
        <v>25370</v>
      </c>
      <c r="H48" s="11">
        <f>SUMIFS(Table14[Debit], Table14[Date], Table3[[#This Row],[Date]], Table14[Party], Table3[[#This Row],[Party Name]])</f>
        <v>0</v>
      </c>
      <c r="I48" s="11">
        <f>(D48*E48)-Table3[[#This Row],[Paid]]</f>
        <v>25370</v>
      </c>
    </row>
    <row r="49" spans="1:9" x14ac:dyDescent="0.3">
      <c r="A49" s="1">
        <v>45911</v>
      </c>
      <c r="B49" t="s">
        <v>295</v>
      </c>
      <c r="C49" t="s">
        <v>105</v>
      </c>
      <c r="D49" s="11">
        <v>44</v>
      </c>
      <c r="E49" s="11">
        <v>590</v>
      </c>
      <c r="F49" s="11"/>
      <c r="G49" s="11">
        <f t="shared" ref="G49:G53" si="14">D49*E49</f>
        <v>25960</v>
      </c>
      <c r="H49" s="11">
        <f>SUMIFS(Table14[Debit], Table14[Date], Table3[[#This Row],[Date]], Table14[Party], Table3[[#This Row],[Party Name]])</f>
        <v>0</v>
      </c>
      <c r="I49" s="11">
        <f>(D49*E49)-Table3[[#This Row],[Paid]]</f>
        <v>25960</v>
      </c>
    </row>
    <row r="50" spans="1:9" x14ac:dyDescent="0.3">
      <c r="A50" s="1">
        <v>45911</v>
      </c>
      <c r="B50" t="s">
        <v>295</v>
      </c>
      <c r="C50" t="s">
        <v>105</v>
      </c>
      <c r="D50" s="11">
        <v>38</v>
      </c>
      <c r="E50" s="11">
        <v>590</v>
      </c>
      <c r="F50" s="11"/>
      <c r="G50" s="11">
        <f t="shared" si="14"/>
        <v>22420</v>
      </c>
      <c r="H50" s="11">
        <f>SUMIFS(Table14[Debit], Table14[Date], Table3[[#This Row],[Date]], Table14[Party], Table3[[#This Row],[Party Name]])</f>
        <v>0</v>
      </c>
      <c r="I50" s="11">
        <f>(D50*E50)-Table3[[#This Row],[Paid]]</f>
        <v>22420</v>
      </c>
    </row>
    <row r="51" spans="1:9" x14ac:dyDescent="0.3">
      <c r="A51" s="1">
        <v>45911</v>
      </c>
      <c r="B51" t="s">
        <v>295</v>
      </c>
      <c r="C51" t="s">
        <v>105</v>
      </c>
      <c r="D51" s="11">
        <v>234</v>
      </c>
      <c r="E51" s="11">
        <v>550</v>
      </c>
      <c r="F51" s="11"/>
      <c r="G51" s="11">
        <f t="shared" si="14"/>
        <v>128700</v>
      </c>
      <c r="H51" s="11">
        <f>SUMIFS(Table14[Debit], Table14[Date], Table3[[#This Row],[Date]], Table14[Party], Table3[[#This Row],[Party Name]])</f>
        <v>0</v>
      </c>
      <c r="I51" s="11">
        <f>(D51*E51)-Table3[[#This Row],[Paid]]</f>
        <v>128700</v>
      </c>
    </row>
    <row r="52" spans="1:9" x14ac:dyDescent="0.3">
      <c r="A52" s="1">
        <v>45912</v>
      </c>
      <c r="B52" t="s">
        <v>102</v>
      </c>
      <c r="C52">
        <v>31</v>
      </c>
      <c r="D52" s="11">
        <v>227</v>
      </c>
      <c r="E52" s="11">
        <v>810</v>
      </c>
      <c r="F52" s="11">
        <v>36300</v>
      </c>
      <c r="G52" s="11">
        <f t="shared" si="14"/>
        <v>183870</v>
      </c>
      <c r="H52" s="11">
        <f>SUMIFS(Table14[Debit], Table14[Date], Table3[[#This Row],[Date]], Table14[Party], Table3[[#This Row],[Party Name]])</f>
        <v>70400</v>
      </c>
      <c r="I52" s="11">
        <f>(D52*E52)-Table3[[#This Row],[Paid]]</f>
        <v>113470</v>
      </c>
    </row>
    <row r="53" spans="1:9" x14ac:dyDescent="0.3">
      <c r="A53" s="1">
        <v>45912</v>
      </c>
      <c r="B53" t="s">
        <v>102</v>
      </c>
      <c r="C53">
        <v>3834</v>
      </c>
      <c r="D53" s="11">
        <v>306</v>
      </c>
      <c r="E53" s="11">
        <v>765</v>
      </c>
      <c r="F53" s="11">
        <v>32100</v>
      </c>
      <c r="G53" s="11">
        <f t="shared" si="14"/>
        <v>234090</v>
      </c>
      <c r="H53" s="11"/>
      <c r="I53" s="11">
        <f>(D53*E53)-Table3[[#This Row],[Paid]]</f>
        <v>234090</v>
      </c>
    </row>
    <row r="54" spans="1:9" x14ac:dyDescent="0.3">
      <c r="A54" s="1">
        <v>45913</v>
      </c>
      <c r="B54" t="s">
        <v>295</v>
      </c>
      <c r="C54" t="s">
        <v>105</v>
      </c>
      <c r="D54" s="11">
        <v>47</v>
      </c>
      <c r="E54" s="11">
        <v>590</v>
      </c>
      <c r="F54" s="11"/>
      <c r="G54" s="11">
        <f t="shared" ref="G54:G55" si="15">D54*E54</f>
        <v>27730</v>
      </c>
      <c r="H54" s="11">
        <f>SUMIFS(Table14[Debit], Table14[Date], Table3[[#This Row],[Date]], Table14[Party], Table3[[#This Row],[Party Name]])</f>
        <v>0</v>
      </c>
      <c r="I54" s="11">
        <f>(D54*E54)-Table3[[#This Row],[Paid]]</f>
        <v>27730</v>
      </c>
    </row>
    <row r="55" spans="1:9" x14ac:dyDescent="0.3">
      <c r="A55" s="1">
        <v>45913</v>
      </c>
      <c r="B55" t="s">
        <v>102</v>
      </c>
      <c r="D55" s="11"/>
      <c r="E55" s="11"/>
      <c r="F55" s="11"/>
      <c r="G55" s="11">
        <f t="shared" si="15"/>
        <v>0</v>
      </c>
      <c r="H55" s="11">
        <f>SUMIFS(Table14[Debit], Table14[Date], Table3[[#This Row],[Date]], Table14[Party], Table3[[#This Row],[Party Name]])</f>
        <v>200000</v>
      </c>
      <c r="I55" s="11">
        <f>(D55*E55)-Table3[[#This Row],[Paid]]</f>
        <v>-200000</v>
      </c>
    </row>
    <row r="56" spans="1:9" x14ac:dyDescent="0.3">
      <c r="A56" s="1">
        <v>45914</v>
      </c>
      <c r="B56" t="s">
        <v>102</v>
      </c>
      <c r="C56">
        <v>9755</v>
      </c>
      <c r="D56" s="11">
        <v>245</v>
      </c>
      <c r="E56" s="11">
        <v>810</v>
      </c>
      <c r="F56" s="11">
        <v>41500</v>
      </c>
      <c r="G56" s="11">
        <f t="shared" ref="G56:G57" si="16">D56*E56</f>
        <v>198450</v>
      </c>
      <c r="H56" s="11">
        <f>SUMIFS(Table14[Debit], Table14[Date], Table3[[#This Row],[Date]], Table14[Party], Table3[[#This Row],[Party Name]])</f>
        <v>242200</v>
      </c>
      <c r="I56" s="11">
        <f>(D56*E56)-Table3[[#This Row],[Paid]]</f>
        <v>-43750</v>
      </c>
    </row>
    <row r="57" spans="1:9" x14ac:dyDescent="0.3">
      <c r="A57" s="1">
        <v>45914</v>
      </c>
      <c r="B57" t="s">
        <v>295</v>
      </c>
      <c r="D57" s="11"/>
      <c r="E57" s="11"/>
      <c r="F57" s="11"/>
      <c r="G57" s="11">
        <f t="shared" si="16"/>
        <v>0</v>
      </c>
      <c r="H57" s="11">
        <f>SUMIFS(Table14[Debit], Table14[Date], Table3[[#This Row],[Date]], Table14[Party], Table3[[#This Row],[Party Name]])</f>
        <v>150000</v>
      </c>
      <c r="I57" s="11">
        <f>(D57*E57)-Table3[[#This Row],[Paid]]</f>
        <v>-150000</v>
      </c>
    </row>
    <row r="58" spans="1:9" x14ac:dyDescent="0.3">
      <c r="A58" s="1">
        <v>45915</v>
      </c>
      <c r="B58" t="s">
        <v>104</v>
      </c>
      <c r="D58" s="11"/>
      <c r="E58" s="11"/>
      <c r="F58" s="11"/>
      <c r="G58" s="11">
        <f t="shared" ref="G58:G61" si="17">D58*E58</f>
        <v>0</v>
      </c>
      <c r="H58" s="11">
        <f>SUMIFS(Table14[Debit], Table14[Date], Table3[[#This Row],[Date]], Table14[Party], Table3[[#This Row],[Party Name]])</f>
        <v>11000</v>
      </c>
      <c r="I58" s="11">
        <f>(D58*E58)-Table3[[#This Row],[Paid]]</f>
        <v>-11000</v>
      </c>
    </row>
    <row r="59" spans="1:9" x14ac:dyDescent="0.3">
      <c r="A59" s="1">
        <v>45915</v>
      </c>
      <c r="B59" t="s">
        <v>102</v>
      </c>
      <c r="C59">
        <v>1561</v>
      </c>
      <c r="D59" s="11">
        <v>241</v>
      </c>
      <c r="E59" s="11">
        <v>810</v>
      </c>
      <c r="F59" s="11">
        <v>39500</v>
      </c>
      <c r="G59" s="11">
        <f t="shared" si="17"/>
        <v>195210</v>
      </c>
      <c r="H59" s="11">
        <f>SUMIFS(Table14[Debit], Table14[Date], Table3[[#This Row],[Date]], Table14[Party], Table3[[#This Row],[Party Name]])</f>
        <v>141250</v>
      </c>
      <c r="I59" s="11">
        <f>(D59*E59)-Table3[[#This Row],[Paid]]</f>
        <v>53960</v>
      </c>
    </row>
    <row r="60" spans="1:9" x14ac:dyDescent="0.3">
      <c r="A60" s="1">
        <v>45915</v>
      </c>
      <c r="B60" t="s">
        <v>102</v>
      </c>
      <c r="C60">
        <v>3229</v>
      </c>
      <c r="D60" s="11">
        <v>177</v>
      </c>
      <c r="E60" s="11">
        <v>810</v>
      </c>
      <c r="F60" s="11">
        <v>37500</v>
      </c>
      <c r="G60" s="11">
        <f t="shared" si="17"/>
        <v>143370</v>
      </c>
      <c r="H60" s="11"/>
      <c r="I60" s="11">
        <f>(D60*E60)-Table3[[#This Row],[Paid]]</f>
        <v>143370</v>
      </c>
    </row>
    <row r="61" spans="1:9" x14ac:dyDescent="0.3">
      <c r="A61" s="1">
        <v>45915</v>
      </c>
      <c r="B61" t="s">
        <v>102</v>
      </c>
      <c r="C61">
        <v>3229</v>
      </c>
      <c r="D61" s="11">
        <v>52</v>
      </c>
      <c r="E61" s="11">
        <v>765</v>
      </c>
      <c r="F61" s="11"/>
      <c r="G61" s="11">
        <f t="shared" si="17"/>
        <v>39780</v>
      </c>
      <c r="H61" s="11"/>
      <c r="I61" s="11">
        <f>(D61*E61)-Table3[[#This Row],[Paid]]</f>
        <v>39780</v>
      </c>
    </row>
    <row r="62" spans="1:9" x14ac:dyDescent="0.3">
      <c r="A62" s="1">
        <v>45915</v>
      </c>
      <c r="B62" t="s">
        <v>102</v>
      </c>
      <c r="C62">
        <v>31</v>
      </c>
      <c r="D62" s="11">
        <v>232</v>
      </c>
      <c r="E62" s="11">
        <v>810</v>
      </c>
      <c r="F62" s="11">
        <v>36750</v>
      </c>
      <c r="G62" s="11">
        <f>D62*E62</f>
        <v>187920</v>
      </c>
      <c r="H62" s="11"/>
      <c r="I62" s="11">
        <f>(D62*E62)-Table3[[#This Row],[Paid]]</f>
        <v>187920</v>
      </c>
    </row>
    <row r="63" spans="1:9" x14ac:dyDescent="0.3">
      <c r="A63" s="1">
        <v>45915</v>
      </c>
      <c r="B63" t="s">
        <v>102</v>
      </c>
      <c r="D63" s="11">
        <v>255</v>
      </c>
      <c r="E63" s="11">
        <v>765</v>
      </c>
      <c r="F63" s="11">
        <v>27500</v>
      </c>
      <c r="G63" s="11">
        <f>D63*E63</f>
        <v>195075</v>
      </c>
      <c r="H63" s="11"/>
      <c r="I63" s="11">
        <f>(D63*E63)-Table3[[#This Row],[Paid]]</f>
        <v>195075</v>
      </c>
    </row>
    <row r="64" spans="1:9" x14ac:dyDescent="0.3">
      <c r="A64" s="1">
        <v>45915</v>
      </c>
      <c r="B64" t="s">
        <v>295</v>
      </c>
      <c r="D64" s="11">
        <v>45</v>
      </c>
      <c r="E64" s="11">
        <v>590</v>
      </c>
      <c r="F64" s="11"/>
      <c r="G64" s="11">
        <f>D64*E64</f>
        <v>26550</v>
      </c>
      <c r="H64" s="11"/>
      <c r="I64" s="11">
        <f>(D64*E64)-Table3[[#This Row],[Paid]]</f>
        <v>26550</v>
      </c>
    </row>
    <row r="65" spans="1:9" x14ac:dyDescent="0.3">
      <c r="A65" s="1" t="s">
        <v>106</v>
      </c>
      <c r="D65" s="14"/>
      <c r="E65" s="14"/>
      <c r="F65" s="14"/>
      <c r="G65" s="14">
        <f>SUBTOTAL(109,Table3[Total])</f>
        <v>7108460</v>
      </c>
      <c r="H65" s="14">
        <f>SUBTOTAL(109,Table3[Paid])</f>
        <v>5779030</v>
      </c>
      <c r="I65" s="14">
        <f>SUBTOTAL(109,Table3[balance])</f>
        <v>2554877</v>
      </c>
    </row>
    <row r="67" spans="1:9" x14ac:dyDescent="0.3">
      <c r="E67" s="3" t="s">
        <v>2</v>
      </c>
      <c r="F67" t="s">
        <v>93</v>
      </c>
    </row>
    <row r="69" spans="1:9" x14ac:dyDescent="0.3">
      <c r="E69" s="3" t="s">
        <v>107</v>
      </c>
      <c r="F69" t="s">
        <v>108</v>
      </c>
      <c r="G69" t="s">
        <v>109</v>
      </c>
      <c r="H69" t="s">
        <v>110</v>
      </c>
      <c r="I69" t="s">
        <v>111</v>
      </c>
    </row>
    <row r="70" spans="1:9" x14ac:dyDescent="0.3">
      <c r="E70" s="27">
        <v>45881</v>
      </c>
      <c r="F70" s="14">
        <v>288</v>
      </c>
      <c r="G70" s="14">
        <v>220320</v>
      </c>
      <c r="H70" s="14">
        <v>0</v>
      </c>
      <c r="I70" s="14">
        <v>220320</v>
      </c>
    </row>
    <row r="71" spans="1:9" x14ac:dyDescent="0.3">
      <c r="E71" s="49">
        <v>6691</v>
      </c>
      <c r="F71" s="14">
        <v>288</v>
      </c>
      <c r="G71" s="14">
        <v>220320</v>
      </c>
      <c r="H71" s="14">
        <v>0</v>
      </c>
      <c r="I71" s="14">
        <v>220320</v>
      </c>
    </row>
    <row r="72" spans="1:9" x14ac:dyDescent="0.3">
      <c r="E72" s="27">
        <v>45882</v>
      </c>
      <c r="F72" s="14">
        <v>100</v>
      </c>
      <c r="G72" s="14">
        <v>70000</v>
      </c>
      <c r="H72" s="14">
        <v>0</v>
      </c>
      <c r="I72" s="14">
        <v>70000</v>
      </c>
    </row>
    <row r="73" spans="1:9" x14ac:dyDescent="0.3">
      <c r="E73" s="49">
        <v>1055</v>
      </c>
      <c r="F73" s="14">
        <v>100</v>
      </c>
      <c r="G73" s="14">
        <v>70000</v>
      </c>
      <c r="H73" s="14">
        <v>0</v>
      </c>
      <c r="I73" s="14">
        <v>70000</v>
      </c>
    </row>
    <row r="74" spans="1:9" x14ac:dyDescent="0.3">
      <c r="E74" s="27">
        <v>45884</v>
      </c>
      <c r="F74" s="14">
        <v>388</v>
      </c>
      <c r="G74" s="14">
        <v>296820</v>
      </c>
      <c r="H74" s="14">
        <v>0</v>
      </c>
      <c r="I74" s="14">
        <v>296820</v>
      </c>
    </row>
    <row r="75" spans="1:9" x14ac:dyDescent="0.3">
      <c r="E75" s="49">
        <v>8395</v>
      </c>
      <c r="F75" s="14">
        <v>388</v>
      </c>
      <c r="G75" s="14">
        <v>296820</v>
      </c>
      <c r="H75" s="14">
        <v>0</v>
      </c>
      <c r="I75" s="14">
        <v>296820</v>
      </c>
    </row>
    <row r="76" spans="1:9" x14ac:dyDescent="0.3">
      <c r="E76" s="27">
        <v>45885</v>
      </c>
      <c r="F76" s="14">
        <v>236</v>
      </c>
      <c r="G76" s="14">
        <v>180540</v>
      </c>
      <c r="H76" s="14">
        <v>0</v>
      </c>
      <c r="I76" s="14">
        <v>1405987</v>
      </c>
    </row>
    <row r="77" spans="1:9" x14ac:dyDescent="0.3">
      <c r="E77" s="49">
        <v>3229</v>
      </c>
      <c r="F77" s="14">
        <v>236</v>
      </c>
      <c r="G77" s="14">
        <v>180540</v>
      </c>
      <c r="H77" s="14">
        <v>0</v>
      </c>
      <c r="I77" s="14">
        <v>180540</v>
      </c>
    </row>
    <row r="78" spans="1:9" x14ac:dyDescent="0.3">
      <c r="E78" s="49" t="s">
        <v>103</v>
      </c>
      <c r="F78" s="14"/>
      <c r="G78" s="14">
        <v>0</v>
      </c>
      <c r="H78" s="14"/>
      <c r="I78" s="14">
        <v>1225447</v>
      </c>
    </row>
    <row r="79" spans="1:9" x14ac:dyDescent="0.3">
      <c r="E79" s="27">
        <v>45886</v>
      </c>
      <c r="F79" s="14">
        <v>265</v>
      </c>
      <c r="G79" s="14">
        <v>202725</v>
      </c>
      <c r="H79" s="14">
        <v>26650</v>
      </c>
      <c r="I79" s="14">
        <v>176075</v>
      </c>
    </row>
    <row r="80" spans="1:9" x14ac:dyDescent="0.3">
      <c r="E80" s="49" t="s">
        <v>112</v>
      </c>
      <c r="F80" s="14"/>
      <c r="G80" s="14">
        <v>0</v>
      </c>
      <c r="H80" s="14">
        <v>26650</v>
      </c>
      <c r="I80" s="14">
        <v>-26650</v>
      </c>
    </row>
    <row r="81" spans="5:9" x14ac:dyDescent="0.3">
      <c r="E81" s="49">
        <v>4649</v>
      </c>
      <c r="F81" s="14">
        <v>265</v>
      </c>
      <c r="G81" s="14">
        <v>202725</v>
      </c>
      <c r="H81" s="14"/>
      <c r="I81" s="14">
        <v>202725</v>
      </c>
    </row>
    <row r="82" spans="5:9" x14ac:dyDescent="0.3">
      <c r="E82" s="27">
        <v>45888</v>
      </c>
      <c r="F82" s="14">
        <v>292</v>
      </c>
      <c r="G82" s="14">
        <v>223380</v>
      </c>
      <c r="H82" s="14">
        <v>331500</v>
      </c>
      <c r="I82" s="14">
        <v>-108120</v>
      </c>
    </row>
    <row r="83" spans="5:9" x14ac:dyDescent="0.3">
      <c r="E83" s="49">
        <v>52</v>
      </c>
      <c r="F83" s="14">
        <v>292</v>
      </c>
      <c r="G83" s="14">
        <v>223380</v>
      </c>
      <c r="H83" s="14">
        <v>331500</v>
      </c>
      <c r="I83" s="14">
        <v>-108120</v>
      </c>
    </row>
    <row r="84" spans="5:9" x14ac:dyDescent="0.3">
      <c r="E84" s="27">
        <v>45889</v>
      </c>
      <c r="F84" s="14">
        <v>347</v>
      </c>
      <c r="G84" s="14">
        <v>265455</v>
      </c>
      <c r="H84" s="14">
        <v>102000</v>
      </c>
      <c r="I84" s="14">
        <v>163455</v>
      </c>
    </row>
    <row r="85" spans="5:9" x14ac:dyDescent="0.3">
      <c r="E85" s="49">
        <v>739</v>
      </c>
      <c r="F85" s="14">
        <v>347</v>
      </c>
      <c r="G85" s="14">
        <v>265455</v>
      </c>
      <c r="H85" s="14">
        <v>102000</v>
      </c>
      <c r="I85" s="14">
        <v>163455</v>
      </c>
    </row>
    <row r="86" spans="5:9" x14ac:dyDescent="0.3">
      <c r="E86" s="27">
        <v>45890</v>
      </c>
      <c r="F86" s="14">
        <v>471</v>
      </c>
      <c r="G86" s="14">
        <v>360315</v>
      </c>
      <c r="H86" s="14">
        <v>407400</v>
      </c>
      <c r="I86" s="14">
        <v>-47085</v>
      </c>
    </row>
    <row r="87" spans="5:9" x14ac:dyDescent="0.3">
      <c r="E87" s="49">
        <v>3229</v>
      </c>
      <c r="F87" s="14">
        <v>215</v>
      </c>
      <c r="G87" s="14">
        <v>164475</v>
      </c>
      <c r="H87" s="14"/>
      <c r="I87" s="14">
        <v>164475</v>
      </c>
    </row>
    <row r="88" spans="5:9" x14ac:dyDescent="0.3">
      <c r="E88" s="49">
        <v>1288</v>
      </c>
      <c r="F88" s="14">
        <v>256</v>
      </c>
      <c r="G88" s="14">
        <v>195840</v>
      </c>
      <c r="H88" s="14">
        <v>407400</v>
      </c>
      <c r="I88" s="14">
        <v>-211560</v>
      </c>
    </row>
    <row r="89" spans="5:9" x14ac:dyDescent="0.3">
      <c r="E89" s="27">
        <v>45894</v>
      </c>
      <c r="F89" s="14">
        <v>526</v>
      </c>
      <c r="G89" s="14">
        <v>402390</v>
      </c>
      <c r="H89" s="14">
        <v>69450</v>
      </c>
      <c r="I89" s="14">
        <v>332940</v>
      </c>
    </row>
    <row r="90" spans="5:9" x14ac:dyDescent="0.3">
      <c r="E90" s="49">
        <v>3229</v>
      </c>
      <c r="F90" s="14">
        <v>245</v>
      </c>
      <c r="G90" s="14">
        <v>187425</v>
      </c>
      <c r="H90" s="14"/>
      <c r="I90" s="14">
        <v>187425</v>
      </c>
    </row>
    <row r="91" spans="5:9" x14ac:dyDescent="0.3">
      <c r="E91" s="49">
        <v>5045</v>
      </c>
      <c r="F91" s="14">
        <v>281</v>
      </c>
      <c r="G91" s="14">
        <v>214965</v>
      </c>
      <c r="H91" s="14">
        <v>69450</v>
      </c>
      <c r="I91" s="14">
        <v>145515</v>
      </c>
    </row>
    <row r="92" spans="5:9" x14ac:dyDescent="0.3">
      <c r="E92" s="27">
        <v>45893</v>
      </c>
      <c r="F92" s="14">
        <v>29</v>
      </c>
      <c r="G92" s="14">
        <v>20300</v>
      </c>
      <c r="H92" s="14">
        <v>0</v>
      </c>
      <c r="I92" s="14">
        <v>20300</v>
      </c>
    </row>
    <row r="93" spans="5:9" x14ac:dyDescent="0.3">
      <c r="E93" s="49" t="s">
        <v>105</v>
      </c>
      <c r="F93" s="14">
        <v>29</v>
      </c>
      <c r="G93" s="14">
        <v>20300</v>
      </c>
      <c r="H93" s="14">
        <v>0</v>
      </c>
      <c r="I93" s="14">
        <v>20300</v>
      </c>
    </row>
    <row r="94" spans="5:9" x14ac:dyDescent="0.3">
      <c r="E94" s="27">
        <v>45895</v>
      </c>
      <c r="F94" s="14">
        <v>516</v>
      </c>
      <c r="G94" s="14">
        <v>404865</v>
      </c>
      <c r="H94" s="14">
        <v>346500</v>
      </c>
      <c r="I94" s="14">
        <v>58365</v>
      </c>
    </row>
    <row r="95" spans="5:9" x14ac:dyDescent="0.3">
      <c r="E95" s="49">
        <v>561</v>
      </c>
      <c r="F95" s="14">
        <v>225</v>
      </c>
      <c r="G95" s="14">
        <v>182250</v>
      </c>
      <c r="H95" s="14">
        <v>346500</v>
      </c>
      <c r="I95" s="14">
        <v>-164250</v>
      </c>
    </row>
    <row r="96" spans="5:9" x14ac:dyDescent="0.3">
      <c r="E96" s="49">
        <v>447</v>
      </c>
      <c r="F96" s="14">
        <v>291</v>
      </c>
      <c r="G96" s="14">
        <v>222615</v>
      </c>
      <c r="H96" s="14"/>
      <c r="I96" s="14">
        <v>222615</v>
      </c>
    </row>
    <row r="97" spans="5:9" x14ac:dyDescent="0.3">
      <c r="E97" s="27">
        <v>45887</v>
      </c>
      <c r="F97" s="14"/>
      <c r="G97" s="14">
        <v>0</v>
      </c>
      <c r="H97" s="14">
        <v>300000</v>
      </c>
      <c r="I97" s="14">
        <v>-300000</v>
      </c>
    </row>
    <row r="98" spans="5:9" x14ac:dyDescent="0.3">
      <c r="E98" s="49" t="s">
        <v>112</v>
      </c>
      <c r="F98" s="14"/>
      <c r="G98" s="14">
        <v>0</v>
      </c>
      <c r="H98" s="14">
        <v>300000</v>
      </c>
      <c r="I98" s="14">
        <v>-300000</v>
      </c>
    </row>
    <row r="99" spans="5:9" x14ac:dyDescent="0.3">
      <c r="E99" s="27">
        <v>45892</v>
      </c>
      <c r="F99" s="14"/>
      <c r="G99" s="14">
        <v>0</v>
      </c>
      <c r="H99" s="14">
        <v>302100</v>
      </c>
      <c r="I99" s="14">
        <v>-302100</v>
      </c>
    </row>
    <row r="100" spans="5:9" x14ac:dyDescent="0.3">
      <c r="E100" s="49" t="s">
        <v>112</v>
      </c>
      <c r="F100" s="14"/>
      <c r="G100" s="14">
        <v>0</v>
      </c>
      <c r="H100" s="14">
        <v>302100</v>
      </c>
      <c r="I100" s="14">
        <v>-302100</v>
      </c>
    </row>
    <row r="101" spans="5:9" x14ac:dyDescent="0.3">
      <c r="E101" s="27">
        <v>45896</v>
      </c>
      <c r="F101" s="14">
        <v>133</v>
      </c>
      <c r="G101" s="14">
        <v>93100</v>
      </c>
      <c r="H101" s="14">
        <v>75000</v>
      </c>
      <c r="I101" s="14">
        <v>18100</v>
      </c>
    </row>
    <row r="102" spans="5:9" x14ac:dyDescent="0.3">
      <c r="E102" s="49">
        <v>5946</v>
      </c>
      <c r="F102" s="14">
        <v>133</v>
      </c>
      <c r="G102" s="14">
        <v>93100</v>
      </c>
      <c r="H102" s="14">
        <v>75000</v>
      </c>
      <c r="I102" s="14">
        <v>18100</v>
      </c>
    </row>
    <row r="103" spans="5:9" x14ac:dyDescent="0.3">
      <c r="E103" s="27">
        <v>45897</v>
      </c>
      <c r="F103" s="14">
        <v>265</v>
      </c>
      <c r="G103" s="14">
        <v>214650</v>
      </c>
      <c r="H103" s="14">
        <v>345250</v>
      </c>
      <c r="I103" s="14">
        <v>-130600</v>
      </c>
    </row>
    <row r="104" spans="5:9" x14ac:dyDescent="0.3">
      <c r="E104" s="49">
        <v>1910</v>
      </c>
      <c r="F104" s="14">
        <v>265</v>
      </c>
      <c r="G104" s="14">
        <v>214650</v>
      </c>
      <c r="H104" s="14">
        <v>345250</v>
      </c>
      <c r="I104" s="14">
        <v>-130600</v>
      </c>
    </row>
    <row r="105" spans="5:9" x14ac:dyDescent="0.3">
      <c r="E105" s="27">
        <v>45899</v>
      </c>
      <c r="F105" s="14"/>
      <c r="G105" s="14">
        <v>0</v>
      </c>
      <c r="H105" s="14">
        <v>340250</v>
      </c>
      <c r="I105" s="14">
        <v>-340250</v>
      </c>
    </row>
    <row r="106" spans="5:9" x14ac:dyDescent="0.3">
      <c r="E106" s="49" t="s">
        <v>112</v>
      </c>
      <c r="F106" s="14"/>
      <c r="G106" s="14">
        <v>0</v>
      </c>
      <c r="H106" s="14">
        <v>340250</v>
      </c>
      <c r="I106" s="14">
        <v>-340250</v>
      </c>
    </row>
    <row r="107" spans="5:9" x14ac:dyDescent="0.3">
      <c r="E107" s="27">
        <v>45900</v>
      </c>
      <c r="F107" s="14">
        <v>220</v>
      </c>
      <c r="G107" s="14">
        <v>168300</v>
      </c>
      <c r="H107" s="14">
        <v>37000</v>
      </c>
      <c r="I107" s="14">
        <v>131300</v>
      </c>
    </row>
    <row r="108" spans="5:9" x14ac:dyDescent="0.3">
      <c r="E108" s="49">
        <v>3229</v>
      </c>
      <c r="F108" s="14">
        <v>220</v>
      </c>
      <c r="G108" s="14">
        <v>168300</v>
      </c>
      <c r="H108" s="14"/>
      <c r="I108" s="14">
        <v>168300</v>
      </c>
    </row>
    <row r="109" spans="5:9" x14ac:dyDescent="0.3">
      <c r="E109" s="49" t="s">
        <v>112</v>
      </c>
      <c r="F109" s="14"/>
      <c r="G109" s="14">
        <v>0</v>
      </c>
      <c r="H109" s="14">
        <v>37000</v>
      </c>
      <c r="I109" s="14">
        <v>-37000</v>
      </c>
    </row>
    <row r="110" spans="5:9" x14ac:dyDescent="0.3">
      <c r="E110" s="27">
        <v>45901</v>
      </c>
      <c r="F110" s="14">
        <v>302</v>
      </c>
      <c r="G110" s="14">
        <v>231030</v>
      </c>
      <c r="H110" s="14">
        <v>34000</v>
      </c>
      <c r="I110" s="14">
        <v>197030</v>
      </c>
    </row>
    <row r="111" spans="5:9" x14ac:dyDescent="0.3">
      <c r="E111" s="49">
        <v>7286</v>
      </c>
      <c r="F111" s="14">
        <v>302</v>
      </c>
      <c r="G111" s="14">
        <v>231030</v>
      </c>
      <c r="H111" s="14">
        <v>34000</v>
      </c>
      <c r="I111" s="14">
        <v>197030</v>
      </c>
    </row>
    <row r="112" spans="5:9" x14ac:dyDescent="0.3">
      <c r="E112" s="27">
        <v>45902</v>
      </c>
      <c r="F112" s="14">
        <v>777</v>
      </c>
      <c r="G112" s="14">
        <v>605610</v>
      </c>
      <c r="H112" s="14">
        <v>422500</v>
      </c>
      <c r="I112" s="14">
        <v>183110</v>
      </c>
    </row>
    <row r="113" spans="5:9" x14ac:dyDescent="0.3">
      <c r="E113" s="49">
        <v>1961</v>
      </c>
      <c r="F113" s="14">
        <v>297</v>
      </c>
      <c r="G113" s="14">
        <v>227205</v>
      </c>
      <c r="H113" s="14">
        <v>422500</v>
      </c>
      <c r="I113" s="14">
        <v>-195295</v>
      </c>
    </row>
    <row r="114" spans="5:9" x14ac:dyDescent="0.3">
      <c r="E114" s="49">
        <v>8141</v>
      </c>
      <c r="F114" s="14">
        <v>249</v>
      </c>
      <c r="G114" s="14">
        <v>201690</v>
      </c>
      <c r="H114" s="14"/>
      <c r="I114" s="14">
        <v>201690</v>
      </c>
    </row>
    <row r="115" spans="5:9" x14ac:dyDescent="0.3">
      <c r="E115" s="49">
        <v>3220</v>
      </c>
      <c r="F115" s="14">
        <v>231</v>
      </c>
      <c r="G115" s="14">
        <v>176715</v>
      </c>
      <c r="H115" s="14"/>
      <c r="I115" s="14">
        <v>176715</v>
      </c>
    </row>
    <row r="116" spans="5:9" x14ac:dyDescent="0.3">
      <c r="E116" s="27">
        <v>45903</v>
      </c>
      <c r="F116" s="14"/>
      <c r="G116" s="14">
        <v>0</v>
      </c>
      <c r="H116" s="14">
        <v>30000</v>
      </c>
      <c r="I116" s="14">
        <v>-30000</v>
      </c>
    </row>
    <row r="117" spans="5:9" x14ac:dyDescent="0.3">
      <c r="E117" s="49" t="s">
        <v>112</v>
      </c>
      <c r="F117" s="14"/>
      <c r="G117" s="14">
        <v>0</v>
      </c>
      <c r="H117" s="14">
        <v>30000</v>
      </c>
      <c r="I117" s="14">
        <v>-30000</v>
      </c>
    </row>
    <row r="118" spans="5:9" x14ac:dyDescent="0.3">
      <c r="E118" s="27">
        <v>45904</v>
      </c>
      <c r="F118" s="14">
        <v>624</v>
      </c>
      <c r="G118" s="14">
        <v>486300</v>
      </c>
      <c r="H118" s="14">
        <v>290550</v>
      </c>
      <c r="I118" s="14">
        <v>195750</v>
      </c>
    </row>
    <row r="119" spans="5:9" x14ac:dyDescent="0.3">
      <c r="E119" s="49" t="s">
        <v>105</v>
      </c>
      <c r="F119" s="14">
        <v>87</v>
      </c>
      <c r="G119" s="14">
        <v>51330</v>
      </c>
      <c r="H119" s="14">
        <v>0</v>
      </c>
      <c r="I119" s="14">
        <v>51330</v>
      </c>
    </row>
    <row r="120" spans="5:9" x14ac:dyDescent="0.3">
      <c r="E120" s="49">
        <v>5679</v>
      </c>
      <c r="F120" s="14">
        <v>271</v>
      </c>
      <c r="G120" s="14">
        <v>219510</v>
      </c>
      <c r="H120" s="14"/>
      <c r="I120" s="14">
        <v>219510</v>
      </c>
    </row>
    <row r="121" spans="5:9" x14ac:dyDescent="0.3">
      <c r="E121" s="49">
        <v>9373</v>
      </c>
      <c r="F121" s="14">
        <v>266</v>
      </c>
      <c r="G121" s="14">
        <v>215460</v>
      </c>
      <c r="H121" s="14">
        <v>290550</v>
      </c>
      <c r="I121" s="14">
        <v>-75090</v>
      </c>
    </row>
    <row r="122" spans="5:9" x14ac:dyDescent="0.3">
      <c r="E122" s="27">
        <v>45905</v>
      </c>
      <c r="F122" s="14">
        <v>512</v>
      </c>
      <c r="G122" s="14">
        <v>397285</v>
      </c>
      <c r="H122" s="14">
        <v>331130</v>
      </c>
      <c r="I122" s="14">
        <v>66155</v>
      </c>
    </row>
    <row r="123" spans="5:9" x14ac:dyDescent="0.3">
      <c r="E123" s="49" t="s">
        <v>105</v>
      </c>
      <c r="F123" s="14">
        <v>41</v>
      </c>
      <c r="G123" s="14">
        <v>24190</v>
      </c>
      <c r="H123" s="14">
        <v>51330</v>
      </c>
      <c r="I123" s="14">
        <v>-27140</v>
      </c>
    </row>
    <row r="124" spans="5:9" x14ac:dyDescent="0.3">
      <c r="E124" s="49">
        <v>160</v>
      </c>
      <c r="F124" s="14">
        <v>284</v>
      </c>
      <c r="G124" s="14">
        <v>230040</v>
      </c>
      <c r="H124" s="14">
        <v>279800</v>
      </c>
      <c r="I124" s="14">
        <v>-49760</v>
      </c>
    </row>
    <row r="125" spans="5:9" x14ac:dyDescent="0.3">
      <c r="E125" s="49">
        <v>1973</v>
      </c>
      <c r="F125" s="14">
        <v>187</v>
      </c>
      <c r="G125" s="14">
        <v>143055</v>
      </c>
      <c r="H125" s="14"/>
      <c r="I125" s="14">
        <v>143055</v>
      </c>
    </row>
    <row r="126" spans="5:9" x14ac:dyDescent="0.3">
      <c r="E126" s="27">
        <v>45907</v>
      </c>
      <c r="F126" s="14">
        <v>200</v>
      </c>
      <c r="G126" s="14">
        <v>110000</v>
      </c>
      <c r="H126" s="14">
        <v>0</v>
      </c>
      <c r="I126" s="14">
        <v>110000</v>
      </c>
    </row>
    <row r="127" spans="5:9" x14ac:dyDescent="0.3">
      <c r="E127" s="49" t="s">
        <v>105</v>
      </c>
      <c r="F127" s="14">
        <v>200</v>
      </c>
      <c r="G127" s="14">
        <v>110000</v>
      </c>
      <c r="H127" s="14">
        <v>0</v>
      </c>
      <c r="I127" s="14">
        <v>110000</v>
      </c>
    </row>
    <row r="128" spans="5:9" x14ac:dyDescent="0.3">
      <c r="E128" s="27">
        <v>45908</v>
      </c>
      <c r="F128" s="14">
        <v>35</v>
      </c>
      <c r="G128" s="14">
        <v>19250</v>
      </c>
      <c r="H128" s="14">
        <v>334690</v>
      </c>
      <c r="I128" s="14">
        <v>-315440</v>
      </c>
    </row>
    <row r="129" spans="5:9" x14ac:dyDescent="0.3">
      <c r="E129" s="49" t="s">
        <v>112</v>
      </c>
      <c r="F129" s="14"/>
      <c r="G129" s="14">
        <v>0</v>
      </c>
      <c r="H129" s="14">
        <v>200500</v>
      </c>
      <c r="I129" s="14">
        <v>-200500</v>
      </c>
    </row>
    <row r="130" spans="5:9" x14ac:dyDescent="0.3">
      <c r="E130" s="49" t="s">
        <v>105</v>
      </c>
      <c r="F130" s="14">
        <v>35</v>
      </c>
      <c r="G130" s="14">
        <v>19250</v>
      </c>
      <c r="H130" s="14">
        <v>134190</v>
      </c>
      <c r="I130" s="14">
        <v>-114940</v>
      </c>
    </row>
    <row r="131" spans="5:9" x14ac:dyDescent="0.3">
      <c r="E131" s="27">
        <v>45909</v>
      </c>
      <c r="F131" s="14">
        <v>239</v>
      </c>
      <c r="G131" s="14">
        <v>193590</v>
      </c>
      <c r="H131" s="14">
        <v>236950</v>
      </c>
      <c r="I131" s="14">
        <v>-43360</v>
      </c>
    </row>
    <row r="132" spans="5:9" x14ac:dyDescent="0.3">
      <c r="E132" s="49">
        <v>9940</v>
      </c>
      <c r="F132" s="14">
        <v>239</v>
      </c>
      <c r="G132" s="14">
        <v>193590</v>
      </c>
      <c r="H132" s="14">
        <v>236950</v>
      </c>
      <c r="I132" s="14">
        <v>-43360</v>
      </c>
    </row>
    <row r="133" spans="5:9" x14ac:dyDescent="0.3">
      <c r="E133" s="27">
        <v>45910</v>
      </c>
      <c r="F133" s="14">
        <v>455</v>
      </c>
      <c r="G133" s="14">
        <v>307740</v>
      </c>
      <c r="H133" s="14">
        <v>400560</v>
      </c>
      <c r="I133" s="14">
        <v>-92820</v>
      </c>
    </row>
    <row r="134" spans="5:9" x14ac:dyDescent="0.3">
      <c r="E134" s="49" t="s">
        <v>105</v>
      </c>
      <c r="F134" s="14">
        <v>232</v>
      </c>
      <c r="G134" s="14">
        <v>129360</v>
      </c>
      <c r="H134" s="14">
        <v>148610</v>
      </c>
      <c r="I134" s="14">
        <v>-19250</v>
      </c>
    </row>
    <row r="135" spans="5:9" x14ac:dyDescent="0.3">
      <c r="E135" s="49">
        <v>685</v>
      </c>
      <c r="F135" s="14">
        <v>223</v>
      </c>
      <c r="G135" s="14">
        <v>178380</v>
      </c>
      <c r="H135" s="14">
        <v>251950</v>
      </c>
      <c r="I135" s="14">
        <v>-73570</v>
      </c>
    </row>
    <row r="136" spans="5:9" x14ac:dyDescent="0.3">
      <c r="E136" s="27">
        <v>45911</v>
      </c>
      <c r="F136" s="14">
        <v>359</v>
      </c>
      <c r="G136" s="14">
        <v>202450</v>
      </c>
      <c r="H136" s="14">
        <v>200700</v>
      </c>
      <c r="I136" s="14">
        <v>1750</v>
      </c>
    </row>
    <row r="137" spans="5:9" x14ac:dyDescent="0.3">
      <c r="E137" s="49" t="s">
        <v>112</v>
      </c>
      <c r="F137" s="14"/>
      <c r="G137" s="14">
        <v>0</v>
      </c>
      <c r="H137" s="14">
        <v>200700</v>
      </c>
      <c r="I137" s="14">
        <v>-200700</v>
      </c>
    </row>
    <row r="138" spans="5:9" x14ac:dyDescent="0.3">
      <c r="E138" s="49" t="s">
        <v>105</v>
      </c>
      <c r="F138" s="14">
        <v>359</v>
      </c>
      <c r="G138" s="14">
        <v>202450</v>
      </c>
      <c r="H138" s="14">
        <v>0</v>
      </c>
      <c r="I138" s="14">
        <v>202450</v>
      </c>
    </row>
    <row r="139" spans="5:9" x14ac:dyDescent="0.3">
      <c r="E139" s="27">
        <v>45912</v>
      </c>
      <c r="F139" s="14">
        <v>533</v>
      </c>
      <c r="G139" s="14">
        <v>417960</v>
      </c>
      <c r="H139" s="14">
        <v>70400</v>
      </c>
      <c r="I139" s="14">
        <v>347560</v>
      </c>
    </row>
    <row r="140" spans="5:9" x14ac:dyDescent="0.3">
      <c r="E140" s="49">
        <v>31</v>
      </c>
      <c r="F140" s="14">
        <v>227</v>
      </c>
      <c r="G140" s="14">
        <v>183870</v>
      </c>
      <c r="H140" s="14">
        <v>70400</v>
      </c>
      <c r="I140" s="14">
        <v>113470</v>
      </c>
    </row>
    <row r="141" spans="5:9" x14ac:dyDescent="0.3">
      <c r="E141" s="49">
        <v>3834</v>
      </c>
      <c r="F141" s="14">
        <v>306</v>
      </c>
      <c r="G141" s="14">
        <v>234090</v>
      </c>
      <c r="H141" s="14"/>
      <c r="I141" s="14">
        <v>234090</v>
      </c>
    </row>
    <row r="142" spans="5:9" x14ac:dyDescent="0.3">
      <c r="E142" s="27">
        <v>45913</v>
      </c>
      <c r="F142" s="14">
        <v>47</v>
      </c>
      <c r="G142" s="14">
        <v>27730</v>
      </c>
      <c r="H142" s="14">
        <v>200000</v>
      </c>
      <c r="I142" s="14">
        <v>-172270</v>
      </c>
    </row>
    <row r="143" spans="5:9" x14ac:dyDescent="0.3">
      <c r="E143" s="49" t="s">
        <v>112</v>
      </c>
      <c r="F143" s="14"/>
      <c r="G143" s="14">
        <v>0</v>
      </c>
      <c r="H143" s="14">
        <v>200000</v>
      </c>
      <c r="I143" s="14">
        <v>-200000</v>
      </c>
    </row>
    <row r="144" spans="5:9" x14ac:dyDescent="0.3">
      <c r="E144" s="49" t="s">
        <v>105</v>
      </c>
      <c r="F144" s="14">
        <v>47</v>
      </c>
      <c r="G144" s="14">
        <v>27730</v>
      </c>
      <c r="H144" s="14">
        <v>0</v>
      </c>
      <c r="I144" s="14">
        <v>27730</v>
      </c>
    </row>
    <row r="145" spans="5:9" x14ac:dyDescent="0.3">
      <c r="E145" s="27">
        <v>45914</v>
      </c>
      <c r="F145" s="14">
        <v>245</v>
      </c>
      <c r="G145" s="14">
        <v>198450</v>
      </c>
      <c r="H145" s="14">
        <v>392200</v>
      </c>
      <c r="I145" s="14">
        <v>-193750</v>
      </c>
    </row>
    <row r="146" spans="5:9" x14ac:dyDescent="0.3">
      <c r="E146" s="49" t="s">
        <v>112</v>
      </c>
      <c r="F146" s="14"/>
      <c r="G146" s="14">
        <v>0</v>
      </c>
      <c r="H146" s="14">
        <v>150000</v>
      </c>
      <c r="I146" s="14">
        <v>-150000</v>
      </c>
    </row>
    <row r="147" spans="5:9" x14ac:dyDescent="0.3">
      <c r="E147" s="49">
        <v>9755</v>
      </c>
      <c r="F147" s="14">
        <v>245</v>
      </c>
      <c r="G147" s="14">
        <v>198450</v>
      </c>
      <c r="H147" s="14">
        <v>242200</v>
      </c>
      <c r="I147" s="14">
        <v>-43750</v>
      </c>
    </row>
    <row r="148" spans="5:9" x14ac:dyDescent="0.3">
      <c r="E148" s="27">
        <v>45915</v>
      </c>
      <c r="F148" s="14">
        <v>1002</v>
      </c>
      <c r="G148" s="14">
        <v>787905</v>
      </c>
      <c r="H148" s="14">
        <v>152250</v>
      </c>
      <c r="I148" s="14">
        <v>635655</v>
      </c>
    </row>
    <row r="149" spans="5:9" x14ac:dyDescent="0.3">
      <c r="E149" s="49">
        <v>3229</v>
      </c>
      <c r="F149" s="14">
        <v>229</v>
      </c>
      <c r="G149" s="14">
        <v>183150</v>
      </c>
      <c r="H149" s="14"/>
      <c r="I149" s="14">
        <v>183150</v>
      </c>
    </row>
    <row r="150" spans="5:9" x14ac:dyDescent="0.3">
      <c r="E150" s="49" t="s">
        <v>112</v>
      </c>
      <c r="F150" s="14">
        <v>300</v>
      </c>
      <c r="G150" s="14">
        <v>221625</v>
      </c>
      <c r="H150" s="14">
        <v>11000</v>
      </c>
      <c r="I150" s="14">
        <v>210625</v>
      </c>
    </row>
    <row r="151" spans="5:9" x14ac:dyDescent="0.3">
      <c r="E151" s="49">
        <v>31</v>
      </c>
      <c r="F151" s="14">
        <v>232</v>
      </c>
      <c r="G151" s="14">
        <v>187920</v>
      </c>
      <c r="H151" s="14"/>
      <c r="I151" s="14">
        <v>187920</v>
      </c>
    </row>
    <row r="152" spans="5:9" x14ac:dyDescent="0.3">
      <c r="E152" s="49">
        <v>1561</v>
      </c>
      <c r="F152" s="14">
        <v>241</v>
      </c>
      <c r="G152" s="14">
        <v>195210</v>
      </c>
      <c r="H152" s="14">
        <v>141250</v>
      </c>
      <c r="I152" s="14">
        <v>53960</v>
      </c>
    </row>
    <row r="153" spans="5:9" x14ac:dyDescent="0.3">
      <c r="E153" s="27" t="s">
        <v>28</v>
      </c>
      <c r="F153" s="14">
        <v>9406</v>
      </c>
      <c r="G153" s="14">
        <v>7108460</v>
      </c>
      <c r="H153" s="14">
        <v>5779030</v>
      </c>
      <c r="I153" s="14">
        <v>2554877</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S406"/>
  <sheetViews>
    <sheetView topLeftCell="A3" zoomScale="132" workbookViewId="0">
      <selection activeCell="D3" sqref="D3"/>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9" x14ac:dyDescent="0.3">
      <c r="A1" t="s">
        <v>78</v>
      </c>
      <c r="B1" t="s">
        <v>119</v>
      </c>
      <c r="C1" t="s">
        <v>73</v>
      </c>
      <c r="D1" t="s">
        <v>72</v>
      </c>
      <c r="E1" t="s">
        <v>38</v>
      </c>
      <c r="F1" t="s">
        <v>120</v>
      </c>
      <c r="G1" t="s">
        <v>121</v>
      </c>
    </row>
    <row r="2" spans="1:19" x14ac:dyDescent="0.3">
      <c r="A2" s="94">
        <v>45886</v>
      </c>
      <c r="B2" s="89" t="s">
        <v>122</v>
      </c>
      <c r="C2" s="11"/>
      <c r="D2" s="95">
        <f>[1]Cashbook!$R$10</f>
        <v>-145318</v>
      </c>
      <c r="E2" s="89"/>
      <c r="F2" s="96" t="s">
        <v>117</v>
      </c>
    </row>
    <row r="3" spans="1:19" x14ac:dyDescent="0.3">
      <c r="A3" s="94">
        <v>45886</v>
      </c>
      <c r="B3" s="89" t="s">
        <v>122</v>
      </c>
      <c r="C3" s="11"/>
      <c r="D3" s="95">
        <f>[1]Cashbook!$R$11</f>
        <v>-716401</v>
      </c>
      <c r="E3" s="89"/>
      <c r="F3" s="96" t="s">
        <v>118</v>
      </c>
      <c r="J3" s="55" t="s">
        <v>47</v>
      </c>
      <c r="K3" s="40" t="s">
        <v>48</v>
      </c>
      <c r="P3" t="s">
        <v>115</v>
      </c>
    </row>
    <row r="4" spans="1:19" x14ac:dyDescent="0.3">
      <c r="A4" s="1">
        <v>45886</v>
      </c>
      <c r="B4" t="s">
        <v>21</v>
      </c>
      <c r="C4" s="11"/>
      <c r="D4" s="11">
        <v>26650</v>
      </c>
      <c r="E4" t="s">
        <v>123</v>
      </c>
      <c r="F4" s="52" t="s">
        <v>117</v>
      </c>
      <c r="J4" s="53" t="s">
        <v>73</v>
      </c>
      <c r="K4" s="54">
        <f>Table14[[#Totals],[Debit]]</f>
        <v>11353933</v>
      </c>
    </row>
    <row r="5" spans="1:19" x14ac:dyDescent="0.3">
      <c r="A5" s="43">
        <v>45886</v>
      </c>
      <c r="B5" t="s">
        <v>102</v>
      </c>
      <c r="C5" s="47">
        <v>26650</v>
      </c>
      <c r="D5" s="47"/>
      <c r="E5" t="s">
        <v>124</v>
      </c>
      <c r="F5" s="52" t="s">
        <v>117</v>
      </c>
      <c r="J5" s="53" t="s">
        <v>72</v>
      </c>
      <c r="K5" s="54">
        <f>Table14[[#Totals],[Credit]]</f>
        <v>11324846</v>
      </c>
    </row>
    <row r="6" spans="1:19" x14ac:dyDescent="0.3">
      <c r="A6" s="97">
        <v>45887</v>
      </c>
      <c r="B6" t="s">
        <v>125</v>
      </c>
      <c r="C6" s="11"/>
      <c r="D6" s="11">
        <v>17500</v>
      </c>
      <c r="E6" t="s">
        <v>126</v>
      </c>
      <c r="F6" s="52" t="s">
        <v>117</v>
      </c>
      <c r="J6" s="60" t="s">
        <v>45</v>
      </c>
      <c r="K6" s="61">
        <f>(K5-K4)</f>
        <v>-29087</v>
      </c>
    </row>
    <row r="7" spans="1:19" x14ac:dyDescent="0.3">
      <c r="A7" s="97">
        <v>45887</v>
      </c>
      <c r="B7" t="s">
        <v>57</v>
      </c>
      <c r="C7" s="11">
        <v>4500</v>
      </c>
      <c r="D7" s="11"/>
      <c r="E7" t="s">
        <v>127</v>
      </c>
      <c r="F7" s="52" t="s">
        <v>117</v>
      </c>
      <c r="P7" s="14">
        <f>Table18[[#Totals],[amount]]-Table18[[#Totals],[Actual]]</f>
        <v>-30927</v>
      </c>
    </row>
    <row r="8" spans="1:19" x14ac:dyDescent="0.3">
      <c r="A8" s="97">
        <v>45887</v>
      </c>
      <c r="B8" t="s">
        <v>21</v>
      </c>
      <c r="C8" s="11"/>
      <c r="D8" s="11">
        <v>400000</v>
      </c>
      <c r="E8" t="s">
        <v>87</v>
      </c>
      <c r="F8" s="52" t="s">
        <v>117</v>
      </c>
      <c r="Q8" s="55" t="s">
        <v>47</v>
      </c>
      <c r="R8" s="58" t="s">
        <v>113</v>
      </c>
      <c r="S8" s="99" t="s">
        <v>114</v>
      </c>
    </row>
    <row r="9" spans="1:19" x14ac:dyDescent="0.3">
      <c r="A9" s="97">
        <v>45887</v>
      </c>
      <c r="B9" t="s">
        <v>102</v>
      </c>
      <c r="C9" s="11">
        <v>300000</v>
      </c>
      <c r="D9" s="11"/>
      <c r="E9" t="s">
        <v>128</v>
      </c>
      <c r="F9" s="52" t="s">
        <v>117</v>
      </c>
      <c r="Q9" s="53" t="s">
        <v>116</v>
      </c>
      <c r="R9" s="59">
        <f>SUMIFS(Table14[Withdrawal],Table14[Party],"Cash",Table14[Mode],"Transfer")</f>
        <v>570000</v>
      </c>
    </row>
    <row r="10" spans="1:19" x14ac:dyDescent="0.3">
      <c r="A10" s="97">
        <v>45887</v>
      </c>
      <c r="B10" t="s">
        <v>57</v>
      </c>
      <c r="C10" s="11">
        <v>1100</v>
      </c>
      <c r="D10" s="11"/>
      <c r="E10" t="s">
        <v>129</v>
      </c>
      <c r="F10" s="52" t="s">
        <v>118</v>
      </c>
      <c r="Q10" s="53" t="s">
        <v>117</v>
      </c>
      <c r="R10" s="54">
        <f>(SUMIFS(Table14[Credit],Table14[Mode],"Bank")-SUMIFS(Table14[Debit],Table14[Mode],"Bank")-SUMIFS(Table14[Withdrawal],Table14[Mode],"Transfer"))</f>
        <v>-41752</v>
      </c>
      <c r="S10">
        <v>320</v>
      </c>
    </row>
    <row r="11" spans="1:19" x14ac:dyDescent="0.3">
      <c r="A11" s="97">
        <v>45887</v>
      </c>
      <c r="B11" t="s">
        <v>56</v>
      </c>
      <c r="C11" s="11">
        <v>1000</v>
      </c>
      <c r="D11" s="11"/>
      <c r="E11" t="s">
        <v>130</v>
      </c>
      <c r="F11" s="52" t="s">
        <v>118</v>
      </c>
      <c r="Q11" s="53" t="s">
        <v>118</v>
      </c>
      <c r="R11" s="54">
        <f>((SUMIFS(Table14[Credit],Table14[Mode],"Cash")-SUMIFS(Table14[Debit],Table14[Mode],"Cash"))+SUMIFS(Table14[Withdrawal],Table14[Party],"Cash",Table14[Mode],"Transfer"))</f>
        <v>12665</v>
      </c>
      <c r="S11">
        <v>1520</v>
      </c>
    </row>
    <row r="12" spans="1:19" x14ac:dyDescent="0.3">
      <c r="A12" s="97">
        <v>45887</v>
      </c>
      <c r="B12" t="s">
        <v>52</v>
      </c>
      <c r="C12" s="11">
        <v>260</v>
      </c>
      <c r="D12" s="11"/>
      <c r="E12" t="s">
        <v>131</v>
      </c>
      <c r="F12" s="52" t="s">
        <v>118</v>
      </c>
      <c r="Q12" s="56" t="s">
        <v>5</v>
      </c>
      <c r="R12" s="57">
        <f>SUM(R10:R11)</f>
        <v>-29087</v>
      </c>
      <c r="S12" s="100">
        <f>SUM(S10,S11)</f>
        <v>1840</v>
      </c>
    </row>
    <row r="13" spans="1:19" x14ac:dyDescent="0.3">
      <c r="A13" s="97">
        <v>45887</v>
      </c>
      <c r="B13" t="s">
        <v>56</v>
      </c>
      <c r="C13" s="47">
        <v>4869</v>
      </c>
      <c r="D13" s="47"/>
      <c r="E13" t="s">
        <v>132</v>
      </c>
      <c r="F13" s="52" t="s">
        <v>117</v>
      </c>
    </row>
    <row r="14" spans="1:19" x14ac:dyDescent="0.3">
      <c r="A14" s="43">
        <v>45887</v>
      </c>
      <c r="B14" t="s">
        <v>25</v>
      </c>
      <c r="C14" s="47"/>
      <c r="D14" s="47">
        <v>100000</v>
      </c>
      <c r="E14" t="s">
        <v>133</v>
      </c>
      <c r="F14" s="52" t="s">
        <v>117</v>
      </c>
    </row>
    <row r="15" spans="1:19" x14ac:dyDescent="0.3">
      <c r="A15" s="97">
        <v>45887</v>
      </c>
      <c r="B15" t="s">
        <v>25</v>
      </c>
      <c r="C15" s="47"/>
      <c r="D15" s="47">
        <v>140000</v>
      </c>
      <c r="E15" t="s">
        <v>87</v>
      </c>
      <c r="F15" s="52" t="s">
        <v>117</v>
      </c>
    </row>
    <row r="16" spans="1:19" x14ac:dyDescent="0.3">
      <c r="A16" s="43">
        <v>45888</v>
      </c>
      <c r="B16" t="s">
        <v>22</v>
      </c>
      <c r="C16" s="11"/>
      <c r="D16" s="11">
        <v>72000</v>
      </c>
      <c r="E16" t="s">
        <v>87</v>
      </c>
      <c r="F16" s="52" t="s">
        <v>118</v>
      </c>
    </row>
    <row r="17" spans="1:6" x14ac:dyDescent="0.3">
      <c r="A17" s="97">
        <v>45888</v>
      </c>
      <c r="B17" t="s">
        <v>102</v>
      </c>
      <c r="C17" s="11">
        <v>31000</v>
      </c>
      <c r="D17" s="11"/>
      <c r="E17" t="s">
        <v>134</v>
      </c>
      <c r="F17" s="52" t="s">
        <v>118</v>
      </c>
    </row>
    <row r="18" spans="1:6" x14ac:dyDescent="0.3">
      <c r="A18" s="43">
        <v>45888</v>
      </c>
      <c r="B18" t="s">
        <v>21</v>
      </c>
      <c r="C18" s="11"/>
      <c r="D18" s="11">
        <f>2600+1300</f>
        <v>3900</v>
      </c>
      <c r="F18" s="52" t="s">
        <v>117</v>
      </c>
    </row>
    <row r="19" spans="1:6" x14ac:dyDescent="0.3">
      <c r="A19" s="97">
        <v>45888</v>
      </c>
      <c r="B19" t="s">
        <v>57</v>
      </c>
      <c r="C19" s="11">
        <v>1300</v>
      </c>
      <c r="D19" s="11"/>
      <c r="E19" t="s">
        <v>135</v>
      </c>
      <c r="F19" s="52" t="s">
        <v>117</v>
      </c>
    </row>
    <row r="20" spans="1:6" x14ac:dyDescent="0.3">
      <c r="A20" s="43">
        <v>45888</v>
      </c>
      <c r="B20" t="s">
        <v>52</v>
      </c>
      <c r="C20" s="11">
        <v>2600</v>
      </c>
      <c r="D20" s="11"/>
      <c r="E20" t="s">
        <v>136</v>
      </c>
      <c r="F20" s="52" t="s">
        <v>117</v>
      </c>
    </row>
    <row r="21" spans="1:6" x14ac:dyDescent="0.3">
      <c r="A21" s="97">
        <v>45888</v>
      </c>
      <c r="B21" t="s">
        <v>137</v>
      </c>
      <c r="C21" s="11">
        <v>3430</v>
      </c>
      <c r="D21" s="11"/>
      <c r="F21" s="52" t="s">
        <v>117</v>
      </c>
    </row>
    <row r="22" spans="1:6" x14ac:dyDescent="0.3">
      <c r="A22" s="43">
        <v>45888</v>
      </c>
      <c r="B22" t="s">
        <v>21</v>
      </c>
      <c r="C22" s="11"/>
      <c r="D22" s="11">
        <v>46500</v>
      </c>
      <c r="F22" s="52" t="s">
        <v>117</v>
      </c>
    </row>
    <row r="23" spans="1:6" x14ac:dyDescent="0.3">
      <c r="A23" s="97">
        <v>45888</v>
      </c>
      <c r="B23" t="s">
        <v>25</v>
      </c>
      <c r="C23" s="11"/>
      <c r="D23" s="11">
        <v>260000</v>
      </c>
      <c r="F23" s="52" t="s">
        <v>117</v>
      </c>
    </row>
    <row r="24" spans="1:6" x14ac:dyDescent="0.3">
      <c r="A24" s="43">
        <v>45888</v>
      </c>
      <c r="B24" t="s">
        <v>102</v>
      </c>
      <c r="C24" s="11">
        <v>300500</v>
      </c>
      <c r="D24" s="11"/>
      <c r="F24" s="52" t="s">
        <v>117</v>
      </c>
    </row>
    <row r="25" spans="1:6" x14ac:dyDescent="0.3">
      <c r="A25" s="97">
        <v>45888</v>
      </c>
      <c r="B25" t="s">
        <v>138</v>
      </c>
      <c r="C25" s="11">
        <v>46500</v>
      </c>
      <c r="D25" s="11"/>
      <c r="E25" t="s">
        <v>139</v>
      </c>
      <c r="F25" s="52" t="s">
        <v>117</v>
      </c>
    </row>
    <row r="26" spans="1:6" x14ac:dyDescent="0.3">
      <c r="A26" s="97">
        <v>45888</v>
      </c>
      <c r="B26" t="s">
        <v>138</v>
      </c>
      <c r="C26" s="11">
        <v>13600</v>
      </c>
      <c r="D26" s="11"/>
      <c r="E26" t="s">
        <v>140</v>
      </c>
      <c r="F26" s="52" t="s">
        <v>117</v>
      </c>
    </row>
    <row r="27" spans="1:6" x14ac:dyDescent="0.3">
      <c r="A27" s="43">
        <v>45888</v>
      </c>
      <c r="B27" t="s">
        <v>21</v>
      </c>
      <c r="C27" s="11"/>
      <c r="D27" s="11">
        <v>13600</v>
      </c>
      <c r="F27" s="52" t="s">
        <v>117</v>
      </c>
    </row>
    <row r="28" spans="1:6" x14ac:dyDescent="0.3">
      <c r="A28" s="97">
        <v>45888</v>
      </c>
      <c r="B28" t="s">
        <v>57</v>
      </c>
      <c r="C28" s="11">
        <v>1600</v>
      </c>
      <c r="D28" s="11"/>
      <c r="F28" s="52" t="s">
        <v>117</v>
      </c>
    </row>
    <row r="29" spans="1:6" x14ac:dyDescent="0.3">
      <c r="A29" s="97">
        <v>45888</v>
      </c>
      <c r="B29" t="s">
        <v>141</v>
      </c>
      <c r="C29" s="11"/>
      <c r="D29" s="11">
        <v>1600</v>
      </c>
      <c r="F29" s="52" t="s">
        <v>117</v>
      </c>
    </row>
    <row r="30" spans="1:6" x14ac:dyDescent="0.3">
      <c r="A30" s="43">
        <v>45888</v>
      </c>
      <c r="B30" t="s">
        <v>21</v>
      </c>
      <c r="C30" s="11"/>
      <c r="D30" s="11">
        <v>1000</v>
      </c>
      <c r="E30" t="s">
        <v>142</v>
      </c>
      <c r="F30" s="52" t="s">
        <v>117</v>
      </c>
    </row>
    <row r="31" spans="1:6" x14ac:dyDescent="0.3">
      <c r="A31" s="97">
        <v>45888</v>
      </c>
      <c r="B31" t="s">
        <v>56</v>
      </c>
      <c r="C31" s="11">
        <v>1000</v>
      </c>
      <c r="D31" s="11"/>
      <c r="E31" t="s">
        <v>142</v>
      </c>
      <c r="F31" s="52" t="s">
        <v>117</v>
      </c>
    </row>
    <row r="32" spans="1:6" x14ac:dyDescent="0.3">
      <c r="A32" s="97">
        <v>45888</v>
      </c>
      <c r="B32" t="s">
        <v>21</v>
      </c>
      <c r="C32" s="11"/>
      <c r="D32" s="11">
        <v>14365</v>
      </c>
      <c r="F32" s="52" t="s">
        <v>117</v>
      </c>
    </row>
    <row r="33" spans="1:6" x14ac:dyDescent="0.3">
      <c r="A33" s="97">
        <v>45888</v>
      </c>
      <c r="B33" t="s">
        <v>57</v>
      </c>
      <c r="C33" s="11">
        <v>14365</v>
      </c>
      <c r="D33" s="11"/>
      <c r="E33" t="s">
        <v>129</v>
      </c>
      <c r="F33" s="52" t="s">
        <v>117</v>
      </c>
    </row>
    <row r="34" spans="1:6" x14ac:dyDescent="0.3">
      <c r="A34" s="97">
        <v>45888</v>
      </c>
      <c r="B34" t="s">
        <v>143</v>
      </c>
      <c r="C34" s="11">
        <v>567500</v>
      </c>
      <c r="D34" s="11"/>
      <c r="E34" t="s">
        <v>138</v>
      </c>
      <c r="F34" s="52" t="s">
        <v>117</v>
      </c>
    </row>
    <row r="35" spans="1:6" x14ac:dyDescent="0.3">
      <c r="A35" s="97">
        <v>45888</v>
      </c>
      <c r="B35" t="s">
        <v>22</v>
      </c>
      <c r="C35" s="11"/>
      <c r="D35" s="11">
        <v>340354</v>
      </c>
      <c r="F35" s="52" t="s">
        <v>117</v>
      </c>
    </row>
    <row r="36" spans="1:6" x14ac:dyDescent="0.3">
      <c r="A36" s="97">
        <v>45888</v>
      </c>
      <c r="B36" t="s">
        <v>141</v>
      </c>
      <c r="C36" s="11">
        <v>2700</v>
      </c>
      <c r="D36" s="11"/>
      <c r="E36" t="s">
        <v>144</v>
      </c>
      <c r="F36" s="52" t="s">
        <v>118</v>
      </c>
    </row>
    <row r="37" spans="1:6" x14ac:dyDescent="0.3">
      <c r="A37" s="43">
        <v>45888</v>
      </c>
      <c r="B37" t="s">
        <v>145</v>
      </c>
      <c r="C37" s="47"/>
      <c r="D37" s="47">
        <v>200000</v>
      </c>
      <c r="F37" s="52" t="s">
        <v>117</v>
      </c>
    </row>
    <row r="38" spans="1:6" x14ac:dyDescent="0.3">
      <c r="A38" s="97">
        <v>45888</v>
      </c>
      <c r="B38" t="s">
        <v>21</v>
      </c>
      <c r="C38" s="11"/>
      <c r="D38" s="11">
        <v>27500</v>
      </c>
      <c r="F38" s="52" t="s">
        <v>117</v>
      </c>
    </row>
    <row r="39" spans="1:6" x14ac:dyDescent="0.3">
      <c r="A39" s="43">
        <v>45888</v>
      </c>
      <c r="B39" t="s">
        <v>141</v>
      </c>
      <c r="C39" s="47">
        <v>354</v>
      </c>
      <c r="D39" s="47"/>
      <c r="E39" t="s">
        <v>146</v>
      </c>
      <c r="F39" s="52" t="s">
        <v>117</v>
      </c>
    </row>
    <row r="40" spans="1:6" x14ac:dyDescent="0.3">
      <c r="A40" s="43">
        <v>45889</v>
      </c>
      <c r="B40" t="s">
        <v>102</v>
      </c>
      <c r="C40" s="11">
        <v>102000</v>
      </c>
      <c r="D40" s="11"/>
      <c r="E40" t="s">
        <v>128</v>
      </c>
      <c r="F40" s="52" t="s">
        <v>117</v>
      </c>
    </row>
    <row r="41" spans="1:6" x14ac:dyDescent="0.3">
      <c r="A41" s="43">
        <v>45889</v>
      </c>
      <c r="B41" t="s">
        <v>52</v>
      </c>
      <c r="C41" s="11">
        <v>1200</v>
      </c>
      <c r="D41" s="11"/>
      <c r="E41" t="s">
        <v>147</v>
      </c>
      <c r="F41" s="52" t="s">
        <v>118</v>
      </c>
    </row>
    <row r="42" spans="1:6" x14ac:dyDescent="0.3">
      <c r="A42" s="43">
        <v>45889</v>
      </c>
      <c r="B42" t="s">
        <v>52</v>
      </c>
      <c r="C42" s="11">
        <v>900</v>
      </c>
      <c r="D42" s="11"/>
      <c r="E42" t="s">
        <v>148</v>
      </c>
      <c r="F42" s="52" t="s">
        <v>118</v>
      </c>
    </row>
    <row r="43" spans="1:6" x14ac:dyDescent="0.3">
      <c r="A43" s="43">
        <v>45889</v>
      </c>
      <c r="B43" t="s">
        <v>57</v>
      </c>
      <c r="C43" s="11">
        <v>1590</v>
      </c>
      <c r="D43" s="11"/>
      <c r="E43" t="s">
        <v>135</v>
      </c>
      <c r="F43" s="52" t="s">
        <v>118</v>
      </c>
    </row>
    <row r="44" spans="1:6" x14ac:dyDescent="0.3">
      <c r="A44" s="43">
        <v>45889</v>
      </c>
      <c r="B44" t="s">
        <v>56</v>
      </c>
      <c r="C44" s="47">
        <v>2800</v>
      </c>
      <c r="D44" s="47"/>
      <c r="E44" t="s">
        <v>149</v>
      </c>
      <c r="F44" s="52" t="s">
        <v>118</v>
      </c>
    </row>
    <row r="45" spans="1:6" x14ac:dyDescent="0.3">
      <c r="A45" s="43">
        <v>45889</v>
      </c>
      <c r="B45" t="s">
        <v>52</v>
      </c>
      <c r="C45" s="11">
        <v>420</v>
      </c>
      <c r="D45" s="11"/>
      <c r="E45" t="s">
        <v>150</v>
      </c>
      <c r="F45" s="52" t="s">
        <v>118</v>
      </c>
    </row>
    <row r="46" spans="1:6" x14ac:dyDescent="0.3">
      <c r="A46" s="43">
        <v>45889</v>
      </c>
      <c r="B46" t="s">
        <v>141</v>
      </c>
      <c r="C46" s="11"/>
      <c r="D46" s="11">
        <f>3600-120</f>
        <v>3480</v>
      </c>
      <c r="F46" s="52" t="s">
        <v>118</v>
      </c>
    </row>
    <row r="47" spans="1:6" x14ac:dyDescent="0.3">
      <c r="A47" s="43">
        <v>45889</v>
      </c>
      <c r="B47" t="s">
        <v>56</v>
      </c>
      <c r="C47" s="11">
        <v>4320</v>
      </c>
      <c r="D47" s="11"/>
      <c r="E47" t="s">
        <v>132</v>
      </c>
      <c r="F47" s="52" t="s">
        <v>117</v>
      </c>
    </row>
    <row r="48" spans="1:6" x14ac:dyDescent="0.3">
      <c r="A48" s="43">
        <v>45889</v>
      </c>
      <c r="B48" t="s">
        <v>21</v>
      </c>
      <c r="C48" s="11"/>
      <c r="D48" s="11">
        <v>4320</v>
      </c>
      <c r="E48" t="s">
        <v>132</v>
      </c>
      <c r="F48" s="52" t="s">
        <v>117</v>
      </c>
    </row>
    <row r="49" spans="1:6" x14ac:dyDescent="0.3">
      <c r="A49" s="43">
        <v>45889</v>
      </c>
      <c r="B49" t="s">
        <v>52</v>
      </c>
      <c r="C49" s="11">
        <v>400</v>
      </c>
      <c r="D49" s="11"/>
      <c r="E49" t="s">
        <v>151</v>
      </c>
      <c r="F49" s="52" t="s">
        <v>118</v>
      </c>
    </row>
    <row r="50" spans="1:6" x14ac:dyDescent="0.3">
      <c r="A50" s="43">
        <v>45889</v>
      </c>
      <c r="B50" t="s">
        <v>152</v>
      </c>
      <c r="C50" s="11">
        <v>1000</v>
      </c>
      <c r="D50" s="11"/>
      <c r="E50" t="s">
        <v>237</v>
      </c>
      <c r="F50" s="52" t="s">
        <v>118</v>
      </c>
    </row>
    <row r="51" spans="1:6" x14ac:dyDescent="0.3">
      <c r="A51" s="97">
        <v>45889</v>
      </c>
      <c r="B51" t="s">
        <v>153</v>
      </c>
      <c r="C51" s="11">
        <v>60000</v>
      </c>
      <c r="D51" s="11"/>
      <c r="E51" t="s">
        <v>154</v>
      </c>
      <c r="F51" s="52" t="s">
        <v>117</v>
      </c>
    </row>
    <row r="52" spans="1:6" x14ac:dyDescent="0.3">
      <c r="A52" s="97">
        <v>45889</v>
      </c>
      <c r="B52" t="s">
        <v>21</v>
      </c>
      <c r="C52" s="11"/>
      <c r="D52" s="11">
        <v>60000</v>
      </c>
      <c r="E52" t="s">
        <v>154</v>
      </c>
      <c r="F52" s="52" t="s">
        <v>117</v>
      </c>
    </row>
    <row r="53" spans="1:6" x14ac:dyDescent="0.3">
      <c r="A53" s="97">
        <v>45890</v>
      </c>
      <c r="B53" t="s">
        <v>9</v>
      </c>
      <c r="C53" s="47"/>
      <c r="D53" s="47">
        <v>100000</v>
      </c>
      <c r="F53" s="52" t="s">
        <v>117</v>
      </c>
    </row>
    <row r="54" spans="1:6" x14ac:dyDescent="0.3">
      <c r="A54" s="97">
        <v>45890</v>
      </c>
      <c r="B54" t="s">
        <v>9</v>
      </c>
      <c r="C54" s="11"/>
      <c r="D54" s="11">
        <v>229210</v>
      </c>
      <c r="F54" s="52" t="s">
        <v>117</v>
      </c>
    </row>
    <row r="55" spans="1:6" x14ac:dyDescent="0.3">
      <c r="A55" s="97">
        <v>45890</v>
      </c>
      <c r="B55" t="s">
        <v>102</v>
      </c>
      <c r="C55" s="11">
        <v>29500</v>
      </c>
      <c r="D55" s="11"/>
      <c r="F55" s="52" t="s">
        <v>118</v>
      </c>
    </row>
    <row r="56" spans="1:6" x14ac:dyDescent="0.3">
      <c r="A56" s="97">
        <v>45890</v>
      </c>
      <c r="B56" t="s">
        <v>52</v>
      </c>
      <c r="C56" s="11">
        <v>17500</v>
      </c>
      <c r="D56" s="11"/>
      <c r="E56" t="s">
        <v>155</v>
      </c>
      <c r="F56" s="52" t="s">
        <v>117</v>
      </c>
    </row>
    <row r="57" spans="1:6" x14ac:dyDescent="0.3">
      <c r="A57" s="97">
        <v>45890</v>
      </c>
      <c r="B57" t="s">
        <v>141</v>
      </c>
      <c r="C57" s="11">
        <v>2000</v>
      </c>
      <c r="D57" s="11"/>
      <c r="F57" s="52" t="s">
        <v>118</v>
      </c>
    </row>
    <row r="58" spans="1:6" x14ac:dyDescent="0.3">
      <c r="A58" s="97">
        <v>45890</v>
      </c>
      <c r="B58" t="s">
        <v>52</v>
      </c>
      <c r="C58" s="11">
        <v>940</v>
      </c>
      <c r="D58" s="11"/>
      <c r="F58" s="52" t="s">
        <v>117</v>
      </c>
    </row>
    <row r="59" spans="1:6" x14ac:dyDescent="0.3">
      <c r="A59" s="97">
        <v>45890</v>
      </c>
      <c r="B59" t="s">
        <v>125</v>
      </c>
      <c r="C59" s="11"/>
      <c r="D59" s="11">
        <v>940</v>
      </c>
      <c r="F59" s="52" t="s">
        <v>117</v>
      </c>
    </row>
    <row r="60" spans="1:6" x14ac:dyDescent="0.3">
      <c r="A60" s="97">
        <v>45890</v>
      </c>
      <c r="B60" t="s">
        <v>102</v>
      </c>
      <c r="C60" s="47">
        <v>36000</v>
      </c>
      <c r="D60" s="47"/>
      <c r="F60" s="52" t="s">
        <v>118</v>
      </c>
    </row>
    <row r="61" spans="1:6" x14ac:dyDescent="0.3">
      <c r="A61" s="97">
        <v>45890</v>
      </c>
      <c r="B61" t="s">
        <v>102</v>
      </c>
      <c r="C61" s="11">
        <v>40400</v>
      </c>
      <c r="D61" s="11"/>
      <c r="F61" s="52" t="s">
        <v>118</v>
      </c>
    </row>
    <row r="62" spans="1:6" x14ac:dyDescent="0.3">
      <c r="A62" s="97">
        <v>45890</v>
      </c>
      <c r="B62" t="s">
        <v>57</v>
      </c>
      <c r="C62" s="11">
        <v>4850</v>
      </c>
      <c r="D62" s="11"/>
      <c r="E62" t="s">
        <v>156</v>
      </c>
      <c r="F62" s="52" t="s">
        <v>117</v>
      </c>
    </row>
    <row r="63" spans="1:6" x14ac:dyDescent="0.3">
      <c r="A63" s="97">
        <v>45890</v>
      </c>
      <c r="B63" t="s">
        <v>125</v>
      </c>
      <c r="C63" s="11"/>
      <c r="D63" s="11">
        <v>40000</v>
      </c>
      <c r="F63" s="52" t="s">
        <v>118</v>
      </c>
    </row>
    <row r="64" spans="1:6" x14ac:dyDescent="0.3">
      <c r="A64" s="97">
        <v>45890</v>
      </c>
      <c r="B64" t="s">
        <v>125</v>
      </c>
      <c r="C64" s="11">
        <v>58400</v>
      </c>
      <c r="D64" s="11"/>
      <c r="F64" s="52" t="s">
        <v>117</v>
      </c>
    </row>
    <row r="65" spans="1:7" x14ac:dyDescent="0.3">
      <c r="A65" s="97">
        <v>45890</v>
      </c>
      <c r="B65" t="s">
        <v>152</v>
      </c>
      <c r="C65" s="11">
        <v>5000</v>
      </c>
      <c r="D65" s="11"/>
      <c r="E65" t="s">
        <v>157</v>
      </c>
      <c r="F65" s="52" t="s">
        <v>118</v>
      </c>
    </row>
    <row r="66" spans="1:7" x14ac:dyDescent="0.3">
      <c r="A66" s="97">
        <v>45890</v>
      </c>
      <c r="B66" t="s">
        <v>102</v>
      </c>
      <c r="C66" s="11">
        <v>301500</v>
      </c>
      <c r="D66" s="11"/>
      <c r="F66" s="52" t="s">
        <v>117</v>
      </c>
    </row>
    <row r="67" spans="1:7" x14ac:dyDescent="0.3">
      <c r="A67" s="97">
        <v>45890</v>
      </c>
      <c r="B67" t="s">
        <v>21</v>
      </c>
      <c r="C67" s="11"/>
      <c r="D67" s="11">
        <v>6000</v>
      </c>
      <c r="E67" t="s">
        <v>158</v>
      </c>
      <c r="F67" s="52" t="s">
        <v>117</v>
      </c>
    </row>
    <row r="68" spans="1:7" x14ac:dyDescent="0.3">
      <c r="A68" s="97">
        <v>45890</v>
      </c>
      <c r="B68" t="s">
        <v>56</v>
      </c>
      <c r="C68" s="11">
        <v>6000</v>
      </c>
      <c r="D68" s="11"/>
      <c r="F68" s="52" t="s">
        <v>117</v>
      </c>
    </row>
    <row r="69" spans="1:7" x14ac:dyDescent="0.3">
      <c r="A69" s="97">
        <v>45890</v>
      </c>
      <c r="B69" t="s">
        <v>118</v>
      </c>
      <c r="C69" s="11"/>
      <c r="D69" s="11"/>
      <c r="F69" s="52" t="s">
        <v>159</v>
      </c>
      <c r="G69">
        <v>40000</v>
      </c>
    </row>
    <row r="70" spans="1:7" x14ac:dyDescent="0.3">
      <c r="A70" s="97">
        <v>45890</v>
      </c>
      <c r="B70" t="s">
        <v>137</v>
      </c>
      <c r="C70" s="11">
        <v>1742</v>
      </c>
      <c r="D70" s="11"/>
      <c r="F70" s="52" t="s">
        <v>118</v>
      </c>
    </row>
    <row r="71" spans="1:7" x14ac:dyDescent="0.3">
      <c r="A71" s="97">
        <v>45890</v>
      </c>
      <c r="B71" t="s">
        <v>160</v>
      </c>
      <c r="C71" s="11">
        <v>8218</v>
      </c>
      <c r="D71" s="11"/>
      <c r="F71" s="52" t="s">
        <v>117</v>
      </c>
    </row>
    <row r="72" spans="1:7" x14ac:dyDescent="0.3">
      <c r="A72" s="43">
        <v>45890</v>
      </c>
      <c r="B72" t="s">
        <v>52</v>
      </c>
      <c r="C72" s="47">
        <f>35*3</f>
        <v>105</v>
      </c>
      <c r="D72" s="47"/>
      <c r="E72" t="s">
        <v>161</v>
      </c>
      <c r="F72" s="52" t="s">
        <v>117</v>
      </c>
    </row>
    <row r="73" spans="1:7" x14ac:dyDescent="0.3">
      <c r="A73" s="97">
        <v>45890</v>
      </c>
      <c r="B73" t="s">
        <v>52</v>
      </c>
      <c r="C73" s="11">
        <f>60*8</f>
        <v>480</v>
      </c>
      <c r="D73" s="11"/>
      <c r="E73" t="s">
        <v>162</v>
      </c>
      <c r="F73" s="52" t="s">
        <v>117</v>
      </c>
    </row>
    <row r="74" spans="1:7" x14ac:dyDescent="0.3">
      <c r="A74" s="43">
        <v>45891</v>
      </c>
      <c r="B74" t="s">
        <v>163</v>
      </c>
      <c r="C74" s="47">
        <v>827438</v>
      </c>
      <c r="D74" s="47"/>
      <c r="E74" t="s">
        <v>164</v>
      </c>
      <c r="F74" s="52" t="s">
        <v>117</v>
      </c>
    </row>
    <row r="75" spans="1:7" x14ac:dyDescent="0.3">
      <c r="A75" s="97">
        <v>45891</v>
      </c>
      <c r="B75" t="s">
        <v>21</v>
      </c>
      <c r="C75" s="11"/>
      <c r="D75" s="11">
        <v>527438</v>
      </c>
      <c r="F75" s="52" t="s">
        <v>117</v>
      </c>
    </row>
    <row r="76" spans="1:7" x14ac:dyDescent="0.3">
      <c r="A76" s="43">
        <v>45891</v>
      </c>
      <c r="B76" t="s">
        <v>24</v>
      </c>
      <c r="C76" s="11"/>
      <c r="D76" s="11">
        <v>300000</v>
      </c>
      <c r="E76" t="s">
        <v>165</v>
      </c>
      <c r="F76" s="52" t="s">
        <v>117</v>
      </c>
    </row>
    <row r="77" spans="1:7" x14ac:dyDescent="0.3">
      <c r="A77" s="97">
        <v>45891</v>
      </c>
      <c r="B77" t="s">
        <v>125</v>
      </c>
      <c r="C77" s="11"/>
      <c r="D77" s="11">
        <v>4600</v>
      </c>
      <c r="F77" s="52" t="s">
        <v>117</v>
      </c>
    </row>
    <row r="78" spans="1:7" x14ac:dyDescent="0.3">
      <c r="A78" s="43">
        <v>45891</v>
      </c>
      <c r="B78" t="s">
        <v>141</v>
      </c>
      <c r="C78" s="11">
        <v>4600</v>
      </c>
      <c r="D78" s="11"/>
      <c r="F78" s="52" t="s">
        <v>117</v>
      </c>
    </row>
    <row r="79" spans="1:7" x14ac:dyDescent="0.3">
      <c r="A79" s="97">
        <v>45891</v>
      </c>
      <c r="B79" t="s">
        <v>21</v>
      </c>
      <c r="C79" s="11"/>
      <c r="D79" s="11">
        <v>1000</v>
      </c>
      <c r="E79" t="s">
        <v>142</v>
      </c>
      <c r="F79" s="52" t="s">
        <v>117</v>
      </c>
    </row>
    <row r="80" spans="1:7" x14ac:dyDescent="0.3">
      <c r="A80" s="43">
        <v>45891</v>
      </c>
      <c r="B80" t="s">
        <v>56</v>
      </c>
      <c r="C80" s="11">
        <v>1000</v>
      </c>
      <c r="D80" s="11"/>
      <c r="E80" t="s">
        <v>142</v>
      </c>
      <c r="F80" s="52" t="s">
        <v>117</v>
      </c>
    </row>
    <row r="81" spans="1:6" x14ac:dyDescent="0.3">
      <c r="A81" s="97">
        <v>45891</v>
      </c>
      <c r="B81" t="s">
        <v>125</v>
      </c>
      <c r="C81" s="11"/>
      <c r="D81" s="11">
        <v>450</v>
      </c>
      <c r="F81" s="52" t="s">
        <v>117</v>
      </c>
    </row>
    <row r="82" spans="1:6" x14ac:dyDescent="0.3">
      <c r="A82" s="43">
        <v>45891</v>
      </c>
      <c r="B82" t="s">
        <v>57</v>
      </c>
      <c r="C82" s="47">
        <v>450</v>
      </c>
      <c r="D82" s="47"/>
      <c r="E82" t="s">
        <v>166</v>
      </c>
      <c r="F82" s="52" t="s">
        <v>117</v>
      </c>
    </row>
    <row r="83" spans="1:6" x14ac:dyDescent="0.3">
      <c r="A83" s="97">
        <v>45891</v>
      </c>
      <c r="B83" t="s">
        <v>56</v>
      </c>
      <c r="C83" s="11">
        <v>4680</v>
      </c>
      <c r="D83" s="11"/>
      <c r="E83" t="s">
        <v>132</v>
      </c>
      <c r="F83" s="52" t="s">
        <v>117</v>
      </c>
    </row>
    <row r="84" spans="1:6" x14ac:dyDescent="0.3">
      <c r="A84" s="43">
        <v>45891</v>
      </c>
      <c r="B84" t="s">
        <v>21</v>
      </c>
      <c r="C84" s="11"/>
      <c r="D84" s="11">
        <v>4680</v>
      </c>
      <c r="F84" s="52" t="s">
        <v>117</v>
      </c>
    </row>
    <row r="85" spans="1:6" x14ac:dyDescent="0.3">
      <c r="A85" s="43">
        <v>45892</v>
      </c>
      <c r="B85" t="s">
        <v>125</v>
      </c>
      <c r="C85" s="11"/>
      <c r="D85" s="11">
        <v>5320</v>
      </c>
      <c r="F85" s="52" t="s">
        <v>117</v>
      </c>
    </row>
    <row r="86" spans="1:6" x14ac:dyDescent="0.3">
      <c r="A86" s="97">
        <v>45892</v>
      </c>
      <c r="B86" t="s">
        <v>56</v>
      </c>
      <c r="C86" s="11">
        <v>5320</v>
      </c>
      <c r="D86" s="11"/>
      <c r="E86" t="s">
        <v>167</v>
      </c>
      <c r="F86" s="52" t="s">
        <v>117</v>
      </c>
    </row>
    <row r="87" spans="1:6" x14ac:dyDescent="0.3">
      <c r="A87" s="43">
        <v>45892</v>
      </c>
      <c r="B87" t="s">
        <v>21</v>
      </c>
      <c r="C87" s="11"/>
      <c r="D87" s="11">
        <v>350000</v>
      </c>
      <c r="F87" s="52" t="s">
        <v>117</v>
      </c>
    </row>
    <row r="88" spans="1:6" x14ac:dyDescent="0.3">
      <c r="A88" s="97">
        <v>45892</v>
      </c>
      <c r="B88" t="s">
        <v>168</v>
      </c>
      <c r="C88" s="11">
        <v>43500</v>
      </c>
      <c r="D88" s="11"/>
      <c r="E88" t="s">
        <v>169</v>
      </c>
      <c r="F88" s="52" t="s">
        <v>117</v>
      </c>
    </row>
    <row r="89" spans="1:6" x14ac:dyDescent="0.3">
      <c r="A89" s="43">
        <v>45892</v>
      </c>
      <c r="B89" t="s">
        <v>168</v>
      </c>
      <c r="C89" s="11">
        <v>9600</v>
      </c>
      <c r="D89" s="11"/>
      <c r="E89" t="s">
        <v>170</v>
      </c>
      <c r="F89" s="52" t="s">
        <v>117</v>
      </c>
    </row>
    <row r="90" spans="1:6" x14ac:dyDescent="0.3">
      <c r="A90" s="97">
        <v>45892</v>
      </c>
      <c r="B90" t="s">
        <v>138</v>
      </c>
      <c r="C90" s="11">
        <v>12000</v>
      </c>
      <c r="D90" s="11"/>
      <c r="E90" t="s">
        <v>171</v>
      </c>
      <c r="F90" s="52" t="s">
        <v>117</v>
      </c>
    </row>
    <row r="91" spans="1:6" x14ac:dyDescent="0.3">
      <c r="A91" s="43">
        <v>45892</v>
      </c>
      <c r="B91" t="s">
        <v>21</v>
      </c>
      <c r="C91" s="11"/>
      <c r="D91" s="11">
        <v>65100</v>
      </c>
      <c r="F91" s="52" t="s">
        <v>117</v>
      </c>
    </row>
    <row r="92" spans="1:6" x14ac:dyDescent="0.3">
      <c r="A92" s="97">
        <v>45892</v>
      </c>
      <c r="B92" t="s">
        <v>57</v>
      </c>
      <c r="C92" s="47">
        <v>5216</v>
      </c>
      <c r="D92" s="47"/>
      <c r="E92" t="s">
        <v>172</v>
      </c>
      <c r="F92" s="52" t="s">
        <v>117</v>
      </c>
    </row>
    <row r="93" spans="1:6" x14ac:dyDescent="0.3">
      <c r="A93" s="43">
        <v>45892</v>
      </c>
      <c r="B93" t="s">
        <v>21</v>
      </c>
      <c r="C93" s="47"/>
      <c r="D93" s="47">
        <v>5216</v>
      </c>
      <c r="F93" s="52" t="s">
        <v>117</v>
      </c>
    </row>
    <row r="94" spans="1:6" x14ac:dyDescent="0.3">
      <c r="A94" s="43">
        <v>45892</v>
      </c>
      <c r="B94" t="s">
        <v>152</v>
      </c>
      <c r="C94" s="11">
        <v>10000</v>
      </c>
      <c r="D94" s="11"/>
      <c r="E94" t="s">
        <v>173</v>
      </c>
      <c r="F94" s="52" t="s">
        <v>117</v>
      </c>
    </row>
    <row r="95" spans="1:6" x14ac:dyDescent="0.3">
      <c r="A95" s="97">
        <v>45892</v>
      </c>
      <c r="B95" t="s">
        <v>21</v>
      </c>
      <c r="C95" s="11"/>
      <c r="D95" s="11">
        <v>10000</v>
      </c>
      <c r="F95" s="52" t="s">
        <v>117</v>
      </c>
    </row>
    <row r="96" spans="1:6" x14ac:dyDescent="0.3">
      <c r="A96" s="43">
        <v>45892</v>
      </c>
      <c r="B96" t="s">
        <v>57</v>
      </c>
      <c r="C96" s="11">
        <v>1600</v>
      </c>
      <c r="D96" s="11"/>
      <c r="E96" t="s">
        <v>174</v>
      </c>
      <c r="F96" s="52" t="s">
        <v>117</v>
      </c>
    </row>
    <row r="97" spans="1:6" x14ac:dyDescent="0.3">
      <c r="A97" s="43">
        <v>45892</v>
      </c>
      <c r="B97" t="s">
        <v>56</v>
      </c>
      <c r="C97" s="11">
        <v>1000</v>
      </c>
      <c r="D97" s="11"/>
      <c r="E97" t="s">
        <v>130</v>
      </c>
      <c r="F97" s="52" t="s">
        <v>117</v>
      </c>
    </row>
    <row r="98" spans="1:6" x14ac:dyDescent="0.3">
      <c r="A98" s="43">
        <v>45892</v>
      </c>
      <c r="B98" t="s">
        <v>102</v>
      </c>
      <c r="C98" s="47">
        <v>302100</v>
      </c>
      <c r="D98" s="47"/>
      <c r="E98" t="s">
        <v>128</v>
      </c>
      <c r="F98" s="52" t="s">
        <v>117</v>
      </c>
    </row>
    <row r="99" spans="1:6" x14ac:dyDescent="0.3">
      <c r="A99" s="43">
        <v>45892</v>
      </c>
      <c r="B99" t="s">
        <v>56</v>
      </c>
      <c r="C99" s="11">
        <v>1600</v>
      </c>
      <c r="D99" s="11"/>
      <c r="E99" t="s">
        <v>175</v>
      </c>
      <c r="F99" s="52" t="s">
        <v>117</v>
      </c>
    </row>
    <row r="100" spans="1:6" x14ac:dyDescent="0.3">
      <c r="A100" s="43">
        <v>45892</v>
      </c>
      <c r="B100" t="s">
        <v>152</v>
      </c>
      <c r="C100" s="11">
        <v>1000</v>
      </c>
      <c r="D100" s="11"/>
      <c r="E100" t="s">
        <v>176</v>
      </c>
      <c r="F100" s="52" t="s">
        <v>118</v>
      </c>
    </row>
    <row r="101" spans="1:6" x14ac:dyDescent="0.3">
      <c r="A101" s="43">
        <v>45892</v>
      </c>
      <c r="B101" t="s">
        <v>9</v>
      </c>
      <c r="C101" s="47"/>
      <c r="D101" s="47">
        <v>50000</v>
      </c>
      <c r="E101" t="s">
        <v>87</v>
      </c>
      <c r="F101" s="52" t="s">
        <v>117</v>
      </c>
    </row>
    <row r="102" spans="1:6" x14ac:dyDescent="0.3">
      <c r="A102" s="43">
        <v>45891</v>
      </c>
      <c r="B102" t="s">
        <v>177</v>
      </c>
      <c r="C102" s="47">
        <v>4600</v>
      </c>
      <c r="D102" s="47"/>
      <c r="E102" t="s">
        <v>178</v>
      </c>
      <c r="F102" s="52" t="s">
        <v>117</v>
      </c>
    </row>
    <row r="103" spans="1:6" x14ac:dyDescent="0.3">
      <c r="A103" s="43">
        <v>45892</v>
      </c>
      <c r="B103" t="s">
        <v>137</v>
      </c>
      <c r="C103" s="47">
        <v>3702</v>
      </c>
      <c r="D103" s="47"/>
      <c r="F103" s="52" t="s">
        <v>117</v>
      </c>
    </row>
    <row r="104" spans="1:6" x14ac:dyDescent="0.3">
      <c r="A104" s="97">
        <v>45893</v>
      </c>
      <c r="B104" t="s">
        <v>57</v>
      </c>
      <c r="C104" s="11">
        <v>16457</v>
      </c>
      <c r="D104" s="11"/>
      <c r="E104" t="s">
        <v>160</v>
      </c>
      <c r="F104" s="52" t="s">
        <v>117</v>
      </c>
    </row>
    <row r="105" spans="1:6" x14ac:dyDescent="0.3">
      <c r="A105" s="97">
        <v>45893</v>
      </c>
      <c r="B105" t="s">
        <v>57</v>
      </c>
      <c r="C105" s="11">
        <v>8218</v>
      </c>
      <c r="D105" s="11"/>
      <c r="E105" t="s">
        <v>160</v>
      </c>
      <c r="F105" s="52" t="s">
        <v>117</v>
      </c>
    </row>
    <row r="106" spans="1:6" x14ac:dyDescent="0.3">
      <c r="A106" s="97">
        <v>45893</v>
      </c>
      <c r="B106" t="s">
        <v>21</v>
      </c>
      <c r="C106" s="11"/>
      <c r="D106" s="11">
        <v>16457</v>
      </c>
      <c r="F106" s="52" t="s">
        <v>117</v>
      </c>
    </row>
    <row r="107" spans="1:6" x14ac:dyDescent="0.3">
      <c r="A107" s="97">
        <v>45893</v>
      </c>
      <c r="B107" t="s">
        <v>21</v>
      </c>
      <c r="C107" s="11"/>
      <c r="D107" s="11">
        <v>8218</v>
      </c>
      <c r="F107" s="52" t="s">
        <v>117</v>
      </c>
    </row>
    <row r="108" spans="1:6" x14ac:dyDescent="0.3">
      <c r="A108" s="97">
        <v>45893</v>
      </c>
      <c r="B108" t="s">
        <v>57</v>
      </c>
      <c r="C108" s="11">
        <v>8218</v>
      </c>
      <c r="D108" s="11"/>
      <c r="E108" t="s">
        <v>160</v>
      </c>
      <c r="F108" s="52" t="s">
        <v>117</v>
      </c>
    </row>
    <row r="109" spans="1:6" x14ac:dyDescent="0.3">
      <c r="A109" s="97">
        <v>45893</v>
      </c>
      <c r="B109" t="s">
        <v>152</v>
      </c>
      <c r="C109" s="47">
        <v>30000</v>
      </c>
      <c r="D109" s="47"/>
      <c r="E109" t="s">
        <v>179</v>
      </c>
      <c r="F109" s="52" t="s">
        <v>117</v>
      </c>
    </row>
    <row r="110" spans="1:6" x14ac:dyDescent="0.3">
      <c r="A110" s="97">
        <v>45893</v>
      </c>
      <c r="B110" t="s">
        <v>180</v>
      </c>
      <c r="C110" s="11"/>
      <c r="D110" s="11"/>
      <c r="E110" t="s">
        <v>181</v>
      </c>
      <c r="F110" s="52" t="s">
        <v>117</v>
      </c>
    </row>
    <row r="111" spans="1:6" x14ac:dyDescent="0.3">
      <c r="A111" s="97">
        <v>45893</v>
      </c>
      <c r="B111" t="s">
        <v>125</v>
      </c>
      <c r="C111" s="11"/>
      <c r="D111" s="11">
        <v>360</v>
      </c>
      <c r="E111" t="s">
        <v>182</v>
      </c>
      <c r="F111" s="52" t="s">
        <v>117</v>
      </c>
    </row>
    <row r="112" spans="1:6" x14ac:dyDescent="0.3">
      <c r="A112" s="97">
        <v>45893</v>
      </c>
      <c r="B112" t="s">
        <v>57</v>
      </c>
      <c r="C112" s="11">
        <v>360</v>
      </c>
      <c r="D112" s="11"/>
      <c r="E112" t="s">
        <v>182</v>
      </c>
      <c r="F112" s="52" t="s">
        <v>118</v>
      </c>
    </row>
    <row r="113" spans="1:6" x14ac:dyDescent="0.3">
      <c r="A113" s="97">
        <v>45893</v>
      </c>
      <c r="B113" t="s">
        <v>57</v>
      </c>
      <c r="C113" s="11">
        <v>8218</v>
      </c>
      <c r="D113" s="11"/>
      <c r="E113" t="s">
        <v>160</v>
      </c>
      <c r="F113" s="52" t="s">
        <v>117</v>
      </c>
    </row>
    <row r="114" spans="1:6" x14ac:dyDescent="0.3">
      <c r="A114" s="97">
        <v>45893</v>
      </c>
      <c r="B114" t="s">
        <v>125</v>
      </c>
      <c r="C114" s="11"/>
      <c r="D114" s="11">
        <v>8218</v>
      </c>
      <c r="E114" t="s">
        <v>160</v>
      </c>
      <c r="F114" s="52" t="s">
        <v>117</v>
      </c>
    </row>
    <row r="115" spans="1:6" x14ac:dyDescent="0.3">
      <c r="A115" s="97">
        <v>45893</v>
      </c>
      <c r="B115" t="s">
        <v>137</v>
      </c>
      <c r="C115" s="11">
        <v>1860</v>
      </c>
      <c r="D115" s="11"/>
      <c r="F115" s="52" t="s">
        <v>117</v>
      </c>
    </row>
    <row r="116" spans="1:6" x14ac:dyDescent="0.3">
      <c r="A116" s="97">
        <v>45893</v>
      </c>
      <c r="B116" t="s">
        <v>125</v>
      </c>
      <c r="C116" s="11">
        <v>1000</v>
      </c>
      <c r="D116" s="11"/>
      <c r="E116" t="s">
        <v>183</v>
      </c>
      <c r="F116" s="52" t="s">
        <v>118</v>
      </c>
    </row>
    <row r="117" spans="1:6" x14ac:dyDescent="0.3">
      <c r="A117" s="97">
        <v>45893</v>
      </c>
      <c r="B117" t="s">
        <v>125</v>
      </c>
      <c r="C117" s="11">
        <v>500</v>
      </c>
      <c r="D117" s="11"/>
      <c r="E117" t="s">
        <v>184</v>
      </c>
      <c r="F117" s="52" t="s">
        <v>118</v>
      </c>
    </row>
    <row r="118" spans="1:6" x14ac:dyDescent="0.3">
      <c r="A118" s="97">
        <v>45894</v>
      </c>
      <c r="B118" t="s">
        <v>37</v>
      </c>
      <c r="C118" s="11"/>
      <c r="D118" s="11">
        <v>196150</v>
      </c>
      <c r="E118" t="s">
        <v>87</v>
      </c>
      <c r="F118" s="52" t="s">
        <v>118</v>
      </c>
    </row>
    <row r="119" spans="1:6" x14ac:dyDescent="0.3">
      <c r="A119" s="97">
        <v>45894</v>
      </c>
      <c r="B119" t="s">
        <v>37</v>
      </c>
      <c r="C119" s="11"/>
      <c r="D119" s="11">
        <v>3000</v>
      </c>
      <c r="E119" t="s">
        <v>87</v>
      </c>
      <c r="F119" s="52" t="s">
        <v>117</v>
      </c>
    </row>
    <row r="120" spans="1:6" x14ac:dyDescent="0.3">
      <c r="A120" s="97">
        <v>45894</v>
      </c>
      <c r="B120" t="s">
        <v>24</v>
      </c>
      <c r="C120" s="11"/>
      <c r="D120" s="11">
        <v>573000</v>
      </c>
      <c r="E120" t="s">
        <v>87</v>
      </c>
      <c r="F120" s="52" t="s">
        <v>118</v>
      </c>
    </row>
    <row r="121" spans="1:6" x14ac:dyDescent="0.3">
      <c r="A121" s="97">
        <v>45894</v>
      </c>
      <c r="B121" t="s">
        <v>24</v>
      </c>
      <c r="C121" s="11"/>
      <c r="D121" s="11">
        <v>142500</v>
      </c>
      <c r="E121" t="s">
        <v>87</v>
      </c>
      <c r="F121" s="52" t="s">
        <v>117</v>
      </c>
    </row>
    <row r="122" spans="1:6" x14ac:dyDescent="0.3">
      <c r="A122" s="97">
        <v>45894</v>
      </c>
      <c r="B122" t="s">
        <v>56</v>
      </c>
      <c r="C122" s="11">
        <v>500</v>
      </c>
      <c r="D122" s="11"/>
      <c r="E122" t="s">
        <v>185</v>
      </c>
      <c r="F122" s="52" t="s">
        <v>118</v>
      </c>
    </row>
    <row r="123" spans="1:6" x14ac:dyDescent="0.3">
      <c r="A123" s="97">
        <v>45894</v>
      </c>
      <c r="B123" t="s">
        <v>186</v>
      </c>
      <c r="C123" s="11"/>
      <c r="D123" s="11">
        <v>4600</v>
      </c>
      <c r="E123" t="s">
        <v>187</v>
      </c>
      <c r="F123" s="52" t="s">
        <v>117</v>
      </c>
    </row>
    <row r="124" spans="1:6" x14ac:dyDescent="0.3">
      <c r="A124" s="97">
        <v>45894</v>
      </c>
      <c r="B124" t="s">
        <v>21</v>
      </c>
      <c r="C124" s="11"/>
      <c r="D124" s="11">
        <v>5750</v>
      </c>
      <c r="E124" t="s">
        <v>132</v>
      </c>
      <c r="F124" s="52" t="s">
        <v>117</v>
      </c>
    </row>
    <row r="125" spans="1:6" x14ac:dyDescent="0.3">
      <c r="A125" s="97">
        <v>45894</v>
      </c>
      <c r="B125" t="s">
        <v>56</v>
      </c>
      <c r="C125" s="11">
        <v>5750</v>
      </c>
      <c r="D125" s="11"/>
      <c r="E125" t="s">
        <v>132</v>
      </c>
      <c r="F125" s="52" t="s">
        <v>117</v>
      </c>
    </row>
    <row r="126" spans="1:6" x14ac:dyDescent="0.3">
      <c r="A126" s="97">
        <v>45894</v>
      </c>
      <c r="B126" t="s">
        <v>52</v>
      </c>
      <c r="C126" s="11">
        <v>250</v>
      </c>
      <c r="D126" s="11"/>
      <c r="E126" t="s">
        <v>188</v>
      </c>
      <c r="F126" s="52" t="s">
        <v>118</v>
      </c>
    </row>
    <row r="127" spans="1:6" x14ac:dyDescent="0.3">
      <c r="A127" s="97">
        <v>45894</v>
      </c>
      <c r="B127" t="s">
        <v>52</v>
      </c>
      <c r="C127" s="11">
        <v>1500</v>
      </c>
      <c r="D127" s="11"/>
      <c r="E127" t="s">
        <v>189</v>
      </c>
      <c r="F127" s="52" t="s">
        <v>117</v>
      </c>
    </row>
    <row r="128" spans="1:6" x14ac:dyDescent="0.3">
      <c r="A128" s="97">
        <v>45894</v>
      </c>
      <c r="B128" t="s">
        <v>125</v>
      </c>
      <c r="C128" s="11"/>
      <c r="D128" s="11">
        <v>1500</v>
      </c>
      <c r="E128" t="s">
        <v>189</v>
      </c>
      <c r="F128" s="52" t="s">
        <v>117</v>
      </c>
    </row>
    <row r="129" spans="1:6" x14ac:dyDescent="0.3">
      <c r="A129" s="97">
        <v>45894</v>
      </c>
      <c r="B129" t="s">
        <v>52</v>
      </c>
      <c r="C129" s="47">
        <v>420</v>
      </c>
      <c r="D129" s="47"/>
      <c r="E129" t="s">
        <v>190</v>
      </c>
      <c r="F129" s="52" t="s">
        <v>118</v>
      </c>
    </row>
    <row r="130" spans="1:6" x14ac:dyDescent="0.3">
      <c r="A130" s="97">
        <v>45894</v>
      </c>
      <c r="B130" t="s">
        <v>102</v>
      </c>
      <c r="C130" s="11">
        <v>40000</v>
      </c>
      <c r="D130" s="11"/>
      <c r="E130" t="s">
        <v>191</v>
      </c>
      <c r="F130" s="52" t="s">
        <v>117</v>
      </c>
    </row>
    <row r="131" spans="1:6" x14ac:dyDescent="0.3">
      <c r="A131" s="97">
        <v>45894</v>
      </c>
      <c r="B131" t="s">
        <v>102</v>
      </c>
      <c r="C131" s="11">
        <v>29450</v>
      </c>
      <c r="D131" s="11"/>
      <c r="E131" t="s">
        <v>192</v>
      </c>
      <c r="F131" s="52" t="s">
        <v>118</v>
      </c>
    </row>
    <row r="132" spans="1:6" x14ac:dyDescent="0.3">
      <c r="A132" s="97">
        <v>45894</v>
      </c>
      <c r="B132" t="s">
        <v>180</v>
      </c>
      <c r="C132" s="11">
        <v>100000</v>
      </c>
      <c r="D132" s="11"/>
      <c r="E132" t="s">
        <v>193</v>
      </c>
      <c r="F132" s="52" t="s">
        <v>117</v>
      </c>
    </row>
    <row r="133" spans="1:6" x14ac:dyDescent="0.3">
      <c r="A133" s="97">
        <v>45894</v>
      </c>
      <c r="B133" t="s">
        <v>194</v>
      </c>
      <c r="C133" s="11"/>
      <c r="D133" s="11"/>
      <c r="E133" t="s">
        <v>195</v>
      </c>
      <c r="F133" s="52" t="s">
        <v>118</v>
      </c>
    </row>
    <row r="134" spans="1:6" x14ac:dyDescent="0.3">
      <c r="A134" s="97">
        <v>45894</v>
      </c>
      <c r="B134" t="s">
        <v>137</v>
      </c>
      <c r="C134" s="11">
        <v>2780</v>
      </c>
      <c r="D134" s="11"/>
      <c r="F134" s="52" t="s">
        <v>117</v>
      </c>
    </row>
    <row r="135" spans="1:6" x14ac:dyDescent="0.3">
      <c r="A135" s="97">
        <v>45895</v>
      </c>
      <c r="B135" t="s">
        <v>56</v>
      </c>
      <c r="C135" s="47">
        <v>5320</v>
      </c>
      <c r="D135" s="47"/>
      <c r="E135" t="s">
        <v>229</v>
      </c>
      <c r="F135" s="52" t="s">
        <v>117</v>
      </c>
    </row>
    <row r="136" spans="1:6" x14ac:dyDescent="0.3">
      <c r="A136" s="97">
        <v>45895</v>
      </c>
      <c r="B136" t="s">
        <v>21</v>
      </c>
      <c r="C136" s="11"/>
      <c r="D136" s="11">
        <v>8218</v>
      </c>
      <c r="E136" t="s">
        <v>160</v>
      </c>
      <c r="F136" s="52" t="s">
        <v>117</v>
      </c>
    </row>
    <row r="137" spans="1:6" x14ac:dyDescent="0.3">
      <c r="A137" s="97">
        <v>45895</v>
      </c>
      <c r="B137" t="s">
        <v>25</v>
      </c>
      <c r="C137" s="11"/>
      <c r="D137" s="11">
        <v>85000</v>
      </c>
      <c r="E137" t="s">
        <v>87</v>
      </c>
      <c r="F137" s="52" t="s">
        <v>117</v>
      </c>
    </row>
    <row r="138" spans="1:6" x14ac:dyDescent="0.3">
      <c r="A138" s="97">
        <v>45895</v>
      </c>
      <c r="B138" t="s">
        <v>102</v>
      </c>
      <c r="C138" s="11">
        <v>20700</v>
      </c>
      <c r="D138" s="11"/>
      <c r="E138" t="s">
        <v>230</v>
      </c>
      <c r="F138" s="52" t="s">
        <v>117</v>
      </c>
    </row>
    <row r="139" spans="1:6" x14ac:dyDescent="0.3">
      <c r="A139" s="97">
        <v>45895</v>
      </c>
      <c r="B139" t="s">
        <v>57</v>
      </c>
      <c r="C139" s="11">
        <v>8218</v>
      </c>
      <c r="D139" s="11"/>
      <c r="E139" t="s">
        <v>160</v>
      </c>
      <c r="F139" s="52" t="s">
        <v>117</v>
      </c>
    </row>
    <row r="140" spans="1:6" x14ac:dyDescent="0.3">
      <c r="A140" s="97">
        <v>45895</v>
      </c>
      <c r="B140" t="s">
        <v>57</v>
      </c>
      <c r="C140" s="11">
        <v>16437</v>
      </c>
      <c r="D140" s="11"/>
      <c r="E140" t="s">
        <v>160</v>
      </c>
      <c r="F140" s="52" t="s">
        <v>117</v>
      </c>
    </row>
    <row r="141" spans="1:6" x14ac:dyDescent="0.3">
      <c r="A141" s="97">
        <v>45895</v>
      </c>
      <c r="B141" t="s">
        <v>137</v>
      </c>
      <c r="C141" s="11">
        <v>19000</v>
      </c>
      <c r="D141" s="11"/>
      <c r="E141" t="s">
        <v>231</v>
      </c>
      <c r="F141" s="52" t="s">
        <v>117</v>
      </c>
    </row>
    <row r="142" spans="1:6" x14ac:dyDescent="0.3">
      <c r="A142" s="97">
        <v>45895</v>
      </c>
      <c r="B142" t="s">
        <v>102</v>
      </c>
      <c r="C142" s="11">
        <v>25500</v>
      </c>
      <c r="D142" s="11"/>
      <c r="E142" t="s">
        <v>232</v>
      </c>
      <c r="F142" s="52" t="s">
        <v>117</v>
      </c>
    </row>
    <row r="143" spans="1:6" x14ac:dyDescent="0.3">
      <c r="A143" s="97">
        <v>45895</v>
      </c>
      <c r="B143" t="s">
        <v>194</v>
      </c>
      <c r="C143" s="11">
        <v>10000</v>
      </c>
      <c r="D143" s="11"/>
      <c r="E143" t="s">
        <v>233</v>
      </c>
      <c r="F143" s="52" t="s">
        <v>118</v>
      </c>
    </row>
    <row r="144" spans="1:6" x14ac:dyDescent="0.3">
      <c r="A144" s="97">
        <v>45895</v>
      </c>
      <c r="B144" t="s">
        <v>25</v>
      </c>
      <c r="C144" s="11"/>
      <c r="D144" s="11">
        <v>177000</v>
      </c>
      <c r="E144" t="s">
        <v>87</v>
      </c>
      <c r="F144" s="52" t="s">
        <v>117</v>
      </c>
    </row>
    <row r="145" spans="1:7" x14ac:dyDescent="0.3">
      <c r="A145" s="97">
        <v>45895</v>
      </c>
      <c r="B145" t="s">
        <v>194</v>
      </c>
      <c r="C145" s="11">
        <v>35000</v>
      </c>
      <c r="D145" s="11"/>
      <c r="E145" t="s">
        <v>179</v>
      </c>
      <c r="F145" s="52" t="s">
        <v>117</v>
      </c>
    </row>
    <row r="146" spans="1:7" x14ac:dyDescent="0.3">
      <c r="A146" s="97">
        <v>45895</v>
      </c>
      <c r="B146" t="s">
        <v>25</v>
      </c>
      <c r="C146" s="11"/>
      <c r="D146" s="11">
        <v>200000</v>
      </c>
      <c r="E146" t="s">
        <v>87</v>
      </c>
      <c r="F146" s="52" t="s">
        <v>117</v>
      </c>
    </row>
    <row r="147" spans="1:7" x14ac:dyDescent="0.3">
      <c r="A147" s="97">
        <v>45895</v>
      </c>
      <c r="B147" t="s">
        <v>57</v>
      </c>
      <c r="C147" s="47">
        <v>8218</v>
      </c>
      <c r="D147" s="47"/>
      <c r="E147" t="s">
        <v>160</v>
      </c>
      <c r="F147" s="52" t="s">
        <v>117</v>
      </c>
    </row>
    <row r="148" spans="1:7" x14ac:dyDescent="0.3">
      <c r="A148" s="97">
        <v>45895</v>
      </c>
      <c r="B148" t="s">
        <v>152</v>
      </c>
      <c r="C148" s="11">
        <v>10000</v>
      </c>
      <c r="D148" s="11"/>
      <c r="E148" t="s">
        <v>234</v>
      </c>
      <c r="F148" s="52" t="s">
        <v>117</v>
      </c>
    </row>
    <row r="149" spans="1:7" x14ac:dyDescent="0.3">
      <c r="A149" s="97">
        <v>45895</v>
      </c>
      <c r="B149" t="s">
        <v>102</v>
      </c>
      <c r="C149" s="11">
        <v>300300</v>
      </c>
      <c r="D149" s="11"/>
      <c r="E149" t="s">
        <v>49</v>
      </c>
      <c r="F149" s="52" t="s">
        <v>117</v>
      </c>
    </row>
    <row r="150" spans="1:7" x14ac:dyDescent="0.3">
      <c r="A150" s="97">
        <v>45895</v>
      </c>
      <c r="B150" t="s">
        <v>118</v>
      </c>
      <c r="C150" s="11"/>
      <c r="D150" s="11"/>
      <c r="F150" s="52" t="s">
        <v>159</v>
      </c>
      <c r="G150">
        <v>20000</v>
      </c>
    </row>
    <row r="151" spans="1:7" x14ac:dyDescent="0.3">
      <c r="A151" s="97">
        <v>45895</v>
      </c>
      <c r="B151" t="s">
        <v>141</v>
      </c>
      <c r="C151" s="11">
        <v>2000</v>
      </c>
      <c r="D151" s="11"/>
      <c r="E151" t="s">
        <v>235</v>
      </c>
      <c r="F151" s="52" t="s">
        <v>118</v>
      </c>
    </row>
    <row r="152" spans="1:7" x14ac:dyDescent="0.3">
      <c r="A152" s="97">
        <v>45895</v>
      </c>
      <c r="B152" t="s">
        <v>141</v>
      </c>
      <c r="C152" s="11">
        <v>10000</v>
      </c>
      <c r="D152" s="11"/>
      <c r="E152" t="s">
        <v>235</v>
      </c>
      <c r="F152" s="52" t="s">
        <v>118</v>
      </c>
    </row>
    <row r="153" spans="1:7" x14ac:dyDescent="0.3">
      <c r="A153" s="97">
        <v>45895</v>
      </c>
      <c r="B153" t="s">
        <v>52</v>
      </c>
      <c r="C153" s="11">
        <v>300</v>
      </c>
      <c r="D153" s="11"/>
      <c r="E153" t="s">
        <v>236</v>
      </c>
      <c r="F153" s="52" t="s">
        <v>118</v>
      </c>
    </row>
    <row r="154" spans="1:7" x14ac:dyDescent="0.3">
      <c r="A154" s="97">
        <v>45895</v>
      </c>
      <c r="B154" t="s">
        <v>152</v>
      </c>
      <c r="C154" s="11">
        <v>5000</v>
      </c>
      <c r="D154" s="11"/>
      <c r="E154" t="s">
        <v>237</v>
      </c>
      <c r="F154" s="52" t="s">
        <v>118</v>
      </c>
    </row>
    <row r="155" spans="1:7" x14ac:dyDescent="0.3">
      <c r="A155" s="97">
        <v>45895</v>
      </c>
      <c r="B155" t="s">
        <v>152</v>
      </c>
      <c r="C155" s="11">
        <v>38000</v>
      </c>
      <c r="D155" s="11"/>
      <c r="E155" t="s">
        <v>173</v>
      </c>
      <c r="F155" s="52" t="s">
        <v>117</v>
      </c>
    </row>
    <row r="156" spans="1:7" x14ac:dyDescent="0.3">
      <c r="A156" s="97">
        <v>45895</v>
      </c>
      <c r="B156" t="s">
        <v>25</v>
      </c>
      <c r="C156" s="11"/>
      <c r="D156" s="11">
        <v>38000</v>
      </c>
      <c r="F156" s="52" t="s">
        <v>117</v>
      </c>
    </row>
    <row r="157" spans="1:7" x14ac:dyDescent="0.3">
      <c r="A157" s="97">
        <v>45895</v>
      </c>
      <c r="B157" t="s">
        <v>125</v>
      </c>
      <c r="C157" s="11">
        <v>6500</v>
      </c>
      <c r="D157" s="11"/>
      <c r="F157" s="52" t="s">
        <v>118</v>
      </c>
    </row>
    <row r="158" spans="1:7" x14ac:dyDescent="0.3">
      <c r="A158" s="97">
        <v>45895</v>
      </c>
      <c r="B158" t="s">
        <v>57</v>
      </c>
      <c r="C158" s="11">
        <v>8218</v>
      </c>
      <c r="D158" s="11"/>
      <c r="E158" t="s">
        <v>160</v>
      </c>
      <c r="F158" s="52" t="s">
        <v>117</v>
      </c>
    </row>
    <row r="159" spans="1:7" x14ac:dyDescent="0.3">
      <c r="A159" s="97">
        <v>45896</v>
      </c>
      <c r="B159" t="s">
        <v>56</v>
      </c>
      <c r="C159" s="11">
        <v>13250</v>
      </c>
      <c r="D159" s="11"/>
      <c r="E159" t="s">
        <v>240</v>
      </c>
      <c r="F159" s="52" t="s">
        <v>117</v>
      </c>
    </row>
    <row r="160" spans="1:7" x14ac:dyDescent="0.3">
      <c r="A160" s="97">
        <v>45896</v>
      </c>
      <c r="B160" t="s">
        <v>21</v>
      </c>
      <c r="C160" s="11"/>
      <c r="D160" s="11">
        <v>44000</v>
      </c>
      <c r="E160" t="s">
        <v>87</v>
      </c>
      <c r="F160" s="52" t="s">
        <v>117</v>
      </c>
    </row>
    <row r="161" spans="1:12" x14ac:dyDescent="0.3">
      <c r="A161" s="97">
        <v>45896</v>
      </c>
      <c r="B161" t="s">
        <v>21</v>
      </c>
      <c r="C161" s="11"/>
      <c r="D161" s="11">
        <v>303750</v>
      </c>
      <c r="E161" t="s">
        <v>63</v>
      </c>
      <c r="F161" s="52" t="s">
        <v>117</v>
      </c>
    </row>
    <row r="162" spans="1:12" x14ac:dyDescent="0.3">
      <c r="A162" s="97">
        <v>45896</v>
      </c>
      <c r="B162" t="s">
        <v>168</v>
      </c>
      <c r="C162" s="11">
        <v>303750</v>
      </c>
      <c r="D162" s="11"/>
      <c r="E162" t="s">
        <v>63</v>
      </c>
      <c r="F162" s="52" t="s">
        <v>117</v>
      </c>
    </row>
    <row r="163" spans="1:12" x14ac:dyDescent="0.3">
      <c r="A163" s="97">
        <v>45896</v>
      </c>
      <c r="B163" t="s">
        <v>21</v>
      </c>
      <c r="C163" s="11"/>
      <c r="D163" s="11">
        <v>1000</v>
      </c>
      <c r="E163" t="s">
        <v>142</v>
      </c>
      <c r="F163" s="52" t="s">
        <v>117</v>
      </c>
      <c r="J163" s="3" t="s">
        <v>6</v>
      </c>
      <c r="K163" t="s">
        <v>196</v>
      </c>
      <c r="L163" t="s">
        <v>197</v>
      </c>
    </row>
    <row r="164" spans="1:12" x14ac:dyDescent="0.3">
      <c r="A164" s="97">
        <v>45896</v>
      </c>
      <c r="B164" t="s">
        <v>56</v>
      </c>
      <c r="C164" s="47">
        <v>1000</v>
      </c>
      <c r="D164" s="47"/>
      <c r="E164" t="s">
        <v>142</v>
      </c>
      <c r="F164" s="52" t="s">
        <v>117</v>
      </c>
      <c r="J164" s="4" t="s">
        <v>152</v>
      </c>
      <c r="K164" s="14"/>
      <c r="L164" s="14">
        <v>186000</v>
      </c>
    </row>
    <row r="165" spans="1:12" x14ac:dyDescent="0.3">
      <c r="A165" s="97">
        <v>45896</v>
      </c>
      <c r="B165" t="s">
        <v>56</v>
      </c>
      <c r="C165" s="11">
        <v>5070</v>
      </c>
      <c r="D165" s="11"/>
      <c r="F165" s="52" t="s">
        <v>117</v>
      </c>
      <c r="J165" s="4" t="s">
        <v>9</v>
      </c>
      <c r="K165" s="14">
        <v>654210</v>
      </c>
      <c r="L165" s="14"/>
    </row>
    <row r="166" spans="1:12" x14ac:dyDescent="0.3">
      <c r="A166" s="97">
        <v>45896</v>
      </c>
      <c r="B166" t="s">
        <v>9</v>
      </c>
      <c r="C166" s="11"/>
      <c r="D166" s="11">
        <v>75000</v>
      </c>
      <c r="E166" t="s">
        <v>87</v>
      </c>
      <c r="F166" s="52" t="s">
        <v>117</v>
      </c>
      <c r="J166" s="4" t="s">
        <v>21</v>
      </c>
      <c r="K166" s="14">
        <v>3329945</v>
      </c>
      <c r="L166" s="14"/>
    </row>
    <row r="167" spans="1:12" x14ac:dyDescent="0.3">
      <c r="A167" s="97">
        <v>45896</v>
      </c>
      <c r="B167" t="s">
        <v>104</v>
      </c>
      <c r="C167" s="11">
        <v>75000</v>
      </c>
      <c r="D167" s="11"/>
      <c r="F167" s="52" t="s">
        <v>117</v>
      </c>
      <c r="J167" s="4" t="s">
        <v>118</v>
      </c>
      <c r="K167" s="14"/>
      <c r="L167" s="14"/>
    </row>
    <row r="168" spans="1:12" x14ac:dyDescent="0.3">
      <c r="A168" s="97">
        <v>45896</v>
      </c>
      <c r="B168" t="s">
        <v>21</v>
      </c>
      <c r="C168" s="11"/>
      <c r="D168" s="11">
        <v>75000</v>
      </c>
      <c r="F168" s="52" t="s">
        <v>117</v>
      </c>
      <c r="J168" s="4" t="s">
        <v>138</v>
      </c>
      <c r="K168" s="14"/>
      <c r="L168" s="14">
        <v>129100</v>
      </c>
    </row>
    <row r="169" spans="1:12" x14ac:dyDescent="0.3">
      <c r="A169" s="97">
        <v>45896</v>
      </c>
      <c r="B169" t="s">
        <v>141</v>
      </c>
      <c r="C169" s="11">
        <v>6000</v>
      </c>
      <c r="D169" s="11"/>
      <c r="E169" t="s">
        <v>235</v>
      </c>
      <c r="F169" s="52" t="s">
        <v>117</v>
      </c>
      <c r="J169" s="4" t="s">
        <v>168</v>
      </c>
      <c r="K169" s="14"/>
      <c r="L169" s="14">
        <v>477950</v>
      </c>
    </row>
    <row r="170" spans="1:12" x14ac:dyDescent="0.3">
      <c r="A170" s="97">
        <v>45896</v>
      </c>
      <c r="B170" t="s">
        <v>152</v>
      </c>
      <c r="C170" s="11">
        <v>8000</v>
      </c>
      <c r="D170" s="11"/>
      <c r="E170" t="s">
        <v>241</v>
      </c>
      <c r="F170" s="52" t="s">
        <v>117</v>
      </c>
      <c r="J170" s="4" t="s">
        <v>102</v>
      </c>
      <c r="K170" s="14"/>
      <c r="L170" s="14">
        <v>5138900</v>
      </c>
    </row>
    <row r="171" spans="1:12" x14ac:dyDescent="0.3">
      <c r="A171" s="97">
        <v>45896</v>
      </c>
      <c r="B171" t="s">
        <v>52</v>
      </c>
      <c r="C171" s="11">
        <v>500</v>
      </c>
      <c r="D171" s="11"/>
      <c r="E171" t="s">
        <v>185</v>
      </c>
      <c r="F171" s="52" t="s">
        <v>118</v>
      </c>
      <c r="J171" s="4" t="s">
        <v>52</v>
      </c>
      <c r="K171" s="14"/>
      <c r="L171" s="14">
        <v>62135</v>
      </c>
    </row>
    <row r="172" spans="1:12" x14ac:dyDescent="0.3">
      <c r="A172" s="97">
        <v>45896</v>
      </c>
      <c r="B172" t="s">
        <v>137</v>
      </c>
      <c r="C172" s="47">
        <v>3690</v>
      </c>
      <c r="D172" s="47"/>
      <c r="E172" t="s">
        <v>242</v>
      </c>
      <c r="F172" s="52" t="s">
        <v>117</v>
      </c>
      <c r="J172" s="4" t="s">
        <v>57</v>
      </c>
      <c r="K172" s="14"/>
      <c r="L172" s="14">
        <v>569754</v>
      </c>
    </row>
    <row r="173" spans="1:12" x14ac:dyDescent="0.3">
      <c r="A173" s="97">
        <v>45897</v>
      </c>
      <c r="B173" t="s">
        <v>118</v>
      </c>
      <c r="C173" s="11"/>
      <c r="D173" s="11"/>
      <c r="F173" s="52" t="s">
        <v>159</v>
      </c>
      <c r="G173">
        <v>60000</v>
      </c>
      <c r="J173" s="4" t="s">
        <v>137</v>
      </c>
      <c r="K173" s="14"/>
      <c r="L173" s="14">
        <v>112148</v>
      </c>
    </row>
    <row r="174" spans="1:12" x14ac:dyDescent="0.3">
      <c r="A174" s="97">
        <v>45897</v>
      </c>
      <c r="B174" t="s">
        <v>21</v>
      </c>
      <c r="C174" s="11"/>
      <c r="D174" s="11">
        <v>350000</v>
      </c>
      <c r="E174" t="s">
        <v>87</v>
      </c>
      <c r="F174" s="52" t="s">
        <v>117</v>
      </c>
      <c r="J174" s="4" t="s">
        <v>23</v>
      </c>
      <c r="K174" s="14">
        <v>775940</v>
      </c>
      <c r="L174" s="14"/>
    </row>
    <row r="175" spans="1:12" x14ac:dyDescent="0.3">
      <c r="A175" s="97">
        <v>45897</v>
      </c>
      <c r="B175" t="s">
        <v>102</v>
      </c>
      <c r="C175" s="11">
        <v>302000</v>
      </c>
      <c r="D175" s="11"/>
      <c r="E175" t="s">
        <v>128</v>
      </c>
      <c r="F175" s="52" t="s">
        <v>117</v>
      </c>
      <c r="J175" s="4" t="s">
        <v>56</v>
      </c>
      <c r="K175" s="14"/>
      <c r="L175" s="14">
        <v>183370</v>
      </c>
    </row>
    <row r="176" spans="1:12" x14ac:dyDescent="0.3">
      <c r="A176" s="97">
        <v>45897</v>
      </c>
      <c r="B176" t="s">
        <v>102</v>
      </c>
      <c r="C176" s="11">
        <v>43250</v>
      </c>
      <c r="D176" s="11"/>
      <c r="E176" t="s">
        <v>244</v>
      </c>
      <c r="F176" s="52" t="s">
        <v>118</v>
      </c>
      <c r="J176" s="4" t="s">
        <v>153</v>
      </c>
      <c r="K176" s="14"/>
      <c r="L176" s="14">
        <v>175000</v>
      </c>
    </row>
    <row r="177" spans="1:12" x14ac:dyDescent="0.3">
      <c r="A177" s="97">
        <v>45897</v>
      </c>
      <c r="B177" t="s">
        <v>52</v>
      </c>
      <c r="C177" s="11">
        <v>1000</v>
      </c>
      <c r="D177" s="11"/>
      <c r="E177" t="s">
        <v>245</v>
      </c>
      <c r="F177" s="52" t="s">
        <v>118</v>
      </c>
      <c r="J177" s="4" t="s">
        <v>104</v>
      </c>
      <c r="K177" s="14"/>
      <c r="L177" s="14">
        <v>156000</v>
      </c>
    </row>
    <row r="178" spans="1:12" x14ac:dyDescent="0.3">
      <c r="A178" s="97">
        <v>45897</v>
      </c>
      <c r="B178" t="s">
        <v>21</v>
      </c>
      <c r="C178" s="47"/>
      <c r="D178" s="47">
        <v>1000</v>
      </c>
      <c r="E178" t="s">
        <v>142</v>
      </c>
      <c r="F178" s="52" t="s">
        <v>117</v>
      </c>
      <c r="J178" s="4" t="s">
        <v>141</v>
      </c>
      <c r="K178" s="14">
        <v>91826</v>
      </c>
      <c r="L178" s="14">
        <v>132854</v>
      </c>
    </row>
    <row r="179" spans="1:12" x14ac:dyDescent="0.3">
      <c r="A179" s="43">
        <v>45897</v>
      </c>
      <c r="B179" t="s">
        <v>56</v>
      </c>
      <c r="C179" s="47">
        <v>1000</v>
      </c>
      <c r="D179" s="47"/>
      <c r="E179" t="s">
        <v>142</v>
      </c>
      <c r="F179" s="52" t="s">
        <v>118</v>
      </c>
      <c r="J179" s="4" t="s">
        <v>177</v>
      </c>
      <c r="K179" s="14">
        <v>4600</v>
      </c>
      <c r="L179" s="14">
        <v>4600</v>
      </c>
    </row>
    <row r="180" spans="1:12" x14ac:dyDescent="0.3">
      <c r="A180" s="43">
        <v>45897</v>
      </c>
      <c r="B180" t="s">
        <v>152</v>
      </c>
      <c r="C180" s="47">
        <v>18000</v>
      </c>
      <c r="D180" s="47"/>
      <c r="E180" t="s">
        <v>173</v>
      </c>
      <c r="F180" s="52" t="s">
        <v>117</v>
      </c>
      <c r="J180" s="4" t="s">
        <v>125</v>
      </c>
      <c r="K180" s="14">
        <v>242440</v>
      </c>
      <c r="L180" s="14">
        <v>123636</v>
      </c>
    </row>
    <row r="181" spans="1:12" x14ac:dyDescent="0.3">
      <c r="A181" s="43">
        <v>45898</v>
      </c>
      <c r="B181" t="s">
        <v>141</v>
      </c>
      <c r="C181" s="47"/>
      <c r="D181" s="47">
        <v>13746</v>
      </c>
      <c r="F181" s="52" t="s">
        <v>117</v>
      </c>
      <c r="J181" s="4" t="s">
        <v>22</v>
      </c>
      <c r="K181" s="14">
        <v>412354</v>
      </c>
      <c r="L181" s="14"/>
    </row>
    <row r="182" spans="1:12" x14ac:dyDescent="0.3">
      <c r="A182" s="97">
        <v>45898</v>
      </c>
      <c r="B182" t="s">
        <v>125</v>
      </c>
      <c r="C182" s="11"/>
      <c r="D182" s="11">
        <v>5316</v>
      </c>
      <c r="F182" s="52" t="s">
        <v>117</v>
      </c>
      <c r="J182" s="4" t="s">
        <v>25</v>
      </c>
      <c r="K182" s="14">
        <v>2000000</v>
      </c>
      <c r="L182" s="14"/>
    </row>
    <row r="183" spans="1:12" x14ac:dyDescent="0.3">
      <c r="A183" s="43">
        <v>45898</v>
      </c>
      <c r="B183" t="s">
        <v>56</v>
      </c>
      <c r="C183" s="11">
        <v>5316</v>
      </c>
      <c r="D183" s="11"/>
      <c r="E183" t="s">
        <v>229</v>
      </c>
      <c r="F183" s="52" t="s">
        <v>117</v>
      </c>
      <c r="J183" s="4" t="s">
        <v>24</v>
      </c>
      <c r="K183" s="14">
        <v>3779100</v>
      </c>
      <c r="L183" s="14"/>
    </row>
    <row r="184" spans="1:12" x14ac:dyDescent="0.3">
      <c r="A184" s="97">
        <v>45898</v>
      </c>
      <c r="B184" t="s">
        <v>21</v>
      </c>
      <c r="C184" s="47"/>
      <c r="D184" s="47">
        <v>1600</v>
      </c>
      <c r="F184" s="52" t="s">
        <v>117</v>
      </c>
      <c r="J184" s="4" t="s">
        <v>122</v>
      </c>
      <c r="K184" s="14">
        <v>-861719</v>
      </c>
      <c r="L184" s="14"/>
    </row>
    <row r="185" spans="1:12" x14ac:dyDescent="0.3">
      <c r="A185" s="43">
        <v>45898</v>
      </c>
      <c r="B185" t="s">
        <v>56</v>
      </c>
      <c r="C185" s="11">
        <v>1600</v>
      </c>
      <c r="D185" s="11"/>
      <c r="E185" t="s">
        <v>175</v>
      </c>
      <c r="F185" s="52" t="s">
        <v>117</v>
      </c>
      <c r="J185" s="4" t="s">
        <v>143</v>
      </c>
      <c r="K185" s="14"/>
      <c r="L185" s="14">
        <v>1067500</v>
      </c>
    </row>
    <row r="186" spans="1:12" x14ac:dyDescent="0.3">
      <c r="A186" s="97">
        <v>45898</v>
      </c>
      <c r="B186" t="s">
        <v>57</v>
      </c>
      <c r="C186" s="11">
        <f>10310+3600</f>
        <v>13910</v>
      </c>
      <c r="D186" s="11"/>
      <c r="E186" t="s">
        <v>246</v>
      </c>
      <c r="F186" s="52" t="s">
        <v>117</v>
      </c>
      <c r="J186" s="4" t="s">
        <v>145</v>
      </c>
      <c r="K186" s="14">
        <v>200000</v>
      </c>
      <c r="L186" s="14"/>
    </row>
    <row r="187" spans="1:12" x14ac:dyDescent="0.3">
      <c r="A187" s="43">
        <v>45898</v>
      </c>
      <c r="B187" t="s">
        <v>57</v>
      </c>
      <c r="C187" s="11">
        <v>6000</v>
      </c>
      <c r="D187" s="11"/>
      <c r="E187" t="s">
        <v>247</v>
      </c>
      <c r="F187" s="52" t="s">
        <v>117</v>
      </c>
      <c r="J187" s="4" t="s">
        <v>160</v>
      </c>
      <c r="K187" s="14"/>
      <c r="L187" s="14">
        <v>8218</v>
      </c>
    </row>
    <row r="188" spans="1:12" x14ac:dyDescent="0.3">
      <c r="A188" s="97">
        <v>45898</v>
      </c>
      <c r="B188" t="s">
        <v>57</v>
      </c>
      <c r="C188" s="11">
        <v>30000</v>
      </c>
      <c r="D188" s="11"/>
      <c r="E188" t="s">
        <v>248</v>
      </c>
      <c r="F188" s="52" t="s">
        <v>117</v>
      </c>
      <c r="J188" s="4" t="s">
        <v>163</v>
      </c>
      <c r="K188" s="14"/>
      <c r="L188" s="14">
        <v>827438</v>
      </c>
    </row>
    <row r="189" spans="1:12" x14ac:dyDescent="0.3">
      <c r="A189" s="97">
        <v>45898</v>
      </c>
      <c r="B189" t="s">
        <v>137</v>
      </c>
      <c r="C189" s="11">
        <v>4380</v>
      </c>
      <c r="D189" s="11"/>
      <c r="F189" s="52" t="s">
        <v>117</v>
      </c>
      <c r="J189" s="4" t="s">
        <v>180</v>
      </c>
      <c r="K189" s="14"/>
      <c r="L189" s="14">
        <v>100000</v>
      </c>
    </row>
    <row r="190" spans="1:12" x14ac:dyDescent="0.3">
      <c r="A190" s="43">
        <v>45898</v>
      </c>
      <c r="B190" t="s">
        <v>52</v>
      </c>
      <c r="C190" s="11">
        <v>1500</v>
      </c>
      <c r="D190" s="11"/>
      <c r="E190" t="s">
        <v>249</v>
      </c>
      <c r="F190" s="52" t="s">
        <v>117</v>
      </c>
      <c r="J190" s="4" t="s">
        <v>37</v>
      </c>
      <c r="K190" s="14">
        <v>296150</v>
      </c>
      <c r="L190" s="14"/>
    </row>
    <row r="191" spans="1:12" x14ac:dyDescent="0.3">
      <c r="A191" s="97">
        <v>45898</v>
      </c>
      <c r="B191" t="s">
        <v>56</v>
      </c>
      <c r="C191" s="11">
        <v>1000</v>
      </c>
      <c r="D191" s="11"/>
      <c r="E191" t="s">
        <v>130</v>
      </c>
      <c r="F191" s="52" t="s">
        <v>117</v>
      </c>
      <c r="J191" s="4" t="s">
        <v>194</v>
      </c>
      <c r="K191" s="14"/>
      <c r="L191" s="14">
        <v>1382400</v>
      </c>
    </row>
    <row r="192" spans="1:12" x14ac:dyDescent="0.3">
      <c r="A192" s="97">
        <v>45898</v>
      </c>
      <c r="B192" t="s">
        <v>56</v>
      </c>
      <c r="C192" s="11">
        <v>5500</v>
      </c>
      <c r="D192" s="11"/>
      <c r="E192" t="s">
        <v>132</v>
      </c>
      <c r="F192" s="52" t="s">
        <v>117</v>
      </c>
      <c r="J192" s="4" t="s">
        <v>250</v>
      </c>
      <c r="K192" s="14">
        <v>200000</v>
      </c>
      <c r="L192" s="14"/>
    </row>
    <row r="193" spans="1:12" x14ac:dyDescent="0.3">
      <c r="A193" s="97">
        <v>45899</v>
      </c>
      <c r="B193" t="s">
        <v>24</v>
      </c>
      <c r="C193" s="11"/>
      <c r="D193" s="11">
        <v>163600</v>
      </c>
      <c r="E193" t="s">
        <v>87</v>
      </c>
      <c r="F193" s="52" t="s">
        <v>117</v>
      </c>
      <c r="J193" s="4" t="s">
        <v>295</v>
      </c>
      <c r="K193" s="14"/>
      <c r="L193" s="14">
        <v>484130</v>
      </c>
    </row>
    <row r="194" spans="1:12" x14ac:dyDescent="0.3">
      <c r="A194" s="97">
        <v>45899</v>
      </c>
      <c r="B194" t="s">
        <v>250</v>
      </c>
      <c r="C194" s="11"/>
      <c r="D194" s="11">
        <v>200000</v>
      </c>
      <c r="E194" t="s">
        <v>87</v>
      </c>
      <c r="F194" s="52" t="s">
        <v>117</v>
      </c>
      <c r="J194" s="4" t="s">
        <v>66</v>
      </c>
      <c r="K194" s="14"/>
      <c r="L194" s="14">
        <v>32800</v>
      </c>
    </row>
    <row r="195" spans="1:12" x14ac:dyDescent="0.3">
      <c r="A195" s="97">
        <v>45899</v>
      </c>
      <c r="B195" t="s">
        <v>102</v>
      </c>
      <c r="C195" s="11">
        <v>300250</v>
      </c>
      <c r="D195" s="11"/>
      <c r="E195" t="s">
        <v>49</v>
      </c>
      <c r="F195" s="52" t="s">
        <v>117</v>
      </c>
      <c r="J195" s="4" t="s">
        <v>324</v>
      </c>
      <c r="K195" s="14">
        <v>200000</v>
      </c>
      <c r="L195" s="14"/>
    </row>
    <row r="196" spans="1:12" x14ac:dyDescent="0.3">
      <c r="A196" s="97">
        <v>45899</v>
      </c>
      <c r="B196" t="s">
        <v>57</v>
      </c>
      <c r="C196" s="11">
        <v>8218</v>
      </c>
      <c r="D196" s="11"/>
      <c r="E196" t="s">
        <v>160</v>
      </c>
      <c r="F196" s="52" t="s">
        <v>117</v>
      </c>
      <c r="J196" s="4" t="s">
        <v>28</v>
      </c>
      <c r="K196" s="14">
        <v>11324846</v>
      </c>
      <c r="L196" s="14">
        <v>11353933</v>
      </c>
    </row>
    <row r="197" spans="1:12" x14ac:dyDescent="0.3">
      <c r="A197" s="97">
        <v>45899</v>
      </c>
      <c r="B197" t="s">
        <v>21</v>
      </c>
      <c r="C197" s="11"/>
      <c r="D197" s="11">
        <v>40000</v>
      </c>
      <c r="E197" t="s">
        <v>104</v>
      </c>
      <c r="F197" s="52" t="s">
        <v>117</v>
      </c>
    </row>
    <row r="198" spans="1:12" x14ac:dyDescent="0.3">
      <c r="A198" s="97">
        <v>45899</v>
      </c>
      <c r="B198" t="s">
        <v>104</v>
      </c>
      <c r="C198" s="47">
        <v>40000</v>
      </c>
      <c r="D198" s="47"/>
      <c r="E198" t="s">
        <v>128</v>
      </c>
      <c r="F198" s="52" t="s">
        <v>117</v>
      </c>
    </row>
    <row r="199" spans="1:12" x14ac:dyDescent="0.3">
      <c r="A199" s="97">
        <v>45899</v>
      </c>
      <c r="B199" t="s">
        <v>152</v>
      </c>
      <c r="C199" s="11">
        <v>5000</v>
      </c>
      <c r="D199" s="11"/>
      <c r="E199" t="s">
        <v>251</v>
      </c>
      <c r="F199" s="52" t="s">
        <v>117</v>
      </c>
    </row>
    <row r="200" spans="1:12" x14ac:dyDescent="0.3">
      <c r="A200" s="97">
        <v>45899</v>
      </c>
      <c r="B200" t="s">
        <v>194</v>
      </c>
      <c r="C200" s="47">
        <v>13000</v>
      </c>
      <c r="D200" s="47"/>
      <c r="E200" t="s">
        <v>252</v>
      </c>
      <c r="F200" s="52" t="s">
        <v>117</v>
      </c>
    </row>
    <row r="201" spans="1:12" x14ac:dyDescent="0.3">
      <c r="A201" s="97">
        <v>45899</v>
      </c>
      <c r="B201" t="s">
        <v>21</v>
      </c>
      <c r="C201" s="11"/>
      <c r="D201" s="11">
        <f>5000+13000</f>
        <v>18000</v>
      </c>
      <c r="F201" s="52" t="s">
        <v>117</v>
      </c>
    </row>
    <row r="202" spans="1:12" x14ac:dyDescent="0.3">
      <c r="A202" s="97">
        <v>45899</v>
      </c>
      <c r="B202" t="s">
        <v>125</v>
      </c>
      <c r="C202" s="11">
        <v>1500</v>
      </c>
      <c r="D202" s="11"/>
      <c r="E202" t="s">
        <v>253</v>
      </c>
      <c r="F202" s="52" t="s">
        <v>118</v>
      </c>
    </row>
    <row r="203" spans="1:12" x14ac:dyDescent="0.3">
      <c r="A203" s="97">
        <v>45899</v>
      </c>
      <c r="B203" t="s">
        <v>24</v>
      </c>
      <c r="C203" s="11"/>
      <c r="D203" s="11">
        <v>300000</v>
      </c>
      <c r="F203" s="52" t="s">
        <v>117</v>
      </c>
    </row>
    <row r="204" spans="1:12" x14ac:dyDescent="0.3">
      <c r="A204" s="97">
        <v>45899</v>
      </c>
      <c r="B204" t="s">
        <v>125</v>
      </c>
      <c r="C204" s="11">
        <v>1150</v>
      </c>
      <c r="D204" s="11"/>
      <c r="F204" s="52" t="s">
        <v>118</v>
      </c>
    </row>
    <row r="205" spans="1:12" x14ac:dyDescent="0.3">
      <c r="A205" s="97">
        <v>45900</v>
      </c>
      <c r="B205" t="s">
        <v>152</v>
      </c>
      <c r="C205" s="11">
        <v>5000</v>
      </c>
      <c r="D205" s="11"/>
      <c r="E205" t="s">
        <v>176</v>
      </c>
      <c r="F205" s="52" t="s">
        <v>118</v>
      </c>
    </row>
    <row r="206" spans="1:12" x14ac:dyDescent="0.3">
      <c r="A206" s="97">
        <v>45900</v>
      </c>
      <c r="B206" t="s">
        <v>102</v>
      </c>
      <c r="C206" s="11">
        <v>37000</v>
      </c>
      <c r="D206" s="11"/>
      <c r="E206" t="s">
        <v>191</v>
      </c>
      <c r="F206" s="52" t="s">
        <v>117</v>
      </c>
    </row>
    <row r="207" spans="1:12" x14ac:dyDescent="0.3">
      <c r="A207" s="97">
        <v>45900</v>
      </c>
      <c r="B207" t="s">
        <v>24</v>
      </c>
      <c r="C207" s="11"/>
      <c r="D207" s="11">
        <v>500000</v>
      </c>
      <c r="E207" t="s">
        <v>87</v>
      </c>
      <c r="F207" s="52" t="s">
        <v>117</v>
      </c>
    </row>
    <row r="208" spans="1:12" x14ac:dyDescent="0.3">
      <c r="A208" s="97">
        <v>45900</v>
      </c>
      <c r="B208" t="s">
        <v>141</v>
      </c>
      <c r="C208" s="47"/>
      <c r="D208" s="47">
        <v>3000</v>
      </c>
      <c r="F208" s="52" t="s">
        <v>117</v>
      </c>
    </row>
    <row r="209" spans="1:6" x14ac:dyDescent="0.3">
      <c r="A209" s="97">
        <v>45900</v>
      </c>
      <c r="B209" t="s">
        <v>52</v>
      </c>
      <c r="C209" s="11">
        <v>3000</v>
      </c>
      <c r="D209" s="11"/>
      <c r="E209" t="s">
        <v>254</v>
      </c>
      <c r="F209" s="52" t="s">
        <v>117</v>
      </c>
    </row>
    <row r="210" spans="1:6" x14ac:dyDescent="0.3">
      <c r="A210" s="97">
        <v>45900</v>
      </c>
      <c r="B210" t="s">
        <v>194</v>
      </c>
      <c r="C210" s="11">
        <v>100000</v>
      </c>
      <c r="D210" s="11"/>
      <c r="E210" t="s">
        <v>125</v>
      </c>
      <c r="F210" s="52" t="s">
        <v>117</v>
      </c>
    </row>
    <row r="211" spans="1:6" x14ac:dyDescent="0.3">
      <c r="A211" s="97">
        <v>45901</v>
      </c>
      <c r="B211" t="s">
        <v>102</v>
      </c>
      <c r="C211" s="11">
        <v>34000</v>
      </c>
      <c r="D211" s="11"/>
      <c r="E211" t="s">
        <v>255</v>
      </c>
      <c r="F211" s="52" t="s">
        <v>117</v>
      </c>
    </row>
    <row r="212" spans="1:6" x14ac:dyDescent="0.3">
      <c r="A212" s="43">
        <v>45901</v>
      </c>
      <c r="B212" t="s">
        <v>23</v>
      </c>
      <c r="C212" s="47"/>
      <c r="D212" s="47">
        <v>250000</v>
      </c>
      <c r="E212" t="s">
        <v>87</v>
      </c>
      <c r="F212" s="52" t="s">
        <v>117</v>
      </c>
    </row>
    <row r="213" spans="1:6" x14ac:dyDescent="0.3">
      <c r="A213" s="97">
        <v>45901</v>
      </c>
      <c r="B213" t="s">
        <v>21</v>
      </c>
      <c r="C213" s="11"/>
      <c r="D213" s="11">
        <v>1000</v>
      </c>
      <c r="F213" s="52" t="s">
        <v>117</v>
      </c>
    </row>
    <row r="214" spans="1:6" x14ac:dyDescent="0.3">
      <c r="A214" s="43">
        <v>45901</v>
      </c>
      <c r="B214" t="s">
        <v>56</v>
      </c>
      <c r="C214" s="11">
        <v>1000</v>
      </c>
      <c r="D214" s="11"/>
      <c r="E214" t="s">
        <v>142</v>
      </c>
      <c r="F214" s="52" t="s">
        <v>117</v>
      </c>
    </row>
    <row r="215" spans="1:6" x14ac:dyDescent="0.3">
      <c r="A215" s="97">
        <v>45901</v>
      </c>
      <c r="B215" t="s">
        <v>168</v>
      </c>
      <c r="C215" s="11">
        <v>51600</v>
      </c>
      <c r="D215" s="11"/>
      <c r="E215" t="s">
        <v>169</v>
      </c>
      <c r="F215" s="52" t="s">
        <v>117</v>
      </c>
    </row>
    <row r="216" spans="1:6" x14ac:dyDescent="0.3">
      <c r="A216" s="43">
        <v>45901</v>
      </c>
      <c r="B216" t="s">
        <v>52</v>
      </c>
      <c r="C216" s="11">
        <v>800</v>
      </c>
      <c r="D216" s="11"/>
      <c r="E216" t="s">
        <v>256</v>
      </c>
      <c r="F216" s="52" t="s">
        <v>118</v>
      </c>
    </row>
    <row r="217" spans="1:6" x14ac:dyDescent="0.3">
      <c r="A217" s="97">
        <v>45901</v>
      </c>
      <c r="B217" t="s">
        <v>137</v>
      </c>
      <c r="C217" s="11">
        <v>6115</v>
      </c>
      <c r="D217" s="11"/>
      <c r="E217" t="s">
        <v>257</v>
      </c>
      <c r="F217" s="52" t="s">
        <v>117</v>
      </c>
    </row>
    <row r="218" spans="1:6" x14ac:dyDescent="0.3">
      <c r="A218" s="43">
        <v>45901</v>
      </c>
      <c r="B218" t="s">
        <v>52</v>
      </c>
      <c r="C218" s="11">
        <v>3160</v>
      </c>
      <c r="D218" s="11"/>
      <c r="E218" t="s">
        <v>258</v>
      </c>
      <c r="F218" s="52" t="s">
        <v>117</v>
      </c>
    </row>
    <row r="219" spans="1:6" x14ac:dyDescent="0.3">
      <c r="A219" s="97">
        <v>45901</v>
      </c>
      <c r="B219" t="s">
        <v>194</v>
      </c>
      <c r="C219" s="11">
        <v>10400</v>
      </c>
      <c r="D219" s="11"/>
      <c r="E219" t="s">
        <v>259</v>
      </c>
      <c r="F219" s="52" t="s">
        <v>117</v>
      </c>
    </row>
    <row r="220" spans="1:6" x14ac:dyDescent="0.3">
      <c r="A220" s="43">
        <v>45901</v>
      </c>
      <c r="B220" t="s">
        <v>56</v>
      </c>
      <c r="C220" s="11">
        <v>6140</v>
      </c>
      <c r="D220" s="11"/>
      <c r="E220" t="s">
        <v>132</v>
      </c>
      <c r="F220" s="52" t="s">
        <v>117</v>
      </c>
    </row>
    <row r="221" spans="1:6" x14ac:dyDescent="0.3">
      <c r="A221" s="97">
        <v>45901</v>
      </c>
      <c r="B221" t="s">
        <v>24</v>
      </c>
      <c r="C221" s="11"/>
      <c r="D221" s="11">
        <v>300000</v>
      </c>
      <c r="E221" t="s">
        <v>118</v>
      </c>
      <c r="F221" s="52" t="s">
        <v>117</v>
      </c>
    </row>
    <row r="222" spans="1:6" x14ac:dyDescent="0.3">
      <c r="A222" s="97">
        <v>45901</v>
      </c>
      <c r="B222" t="s">
        <v>52</v>
      </c>
      <c r="C222" s="11">
        <v>1700</v>
      </c>
      <c r="D222" s="11"/>
      <c r="E222" t="s">
        <v>260</v>
      </c>
      <c r="F222" s="52" t="s">
        <v>117</v>
      </c>
    </row>
    <row r="223" spans="1:6" x14ac:dyDescent="0.3">
      <c r="A223" s="97">
        <v>45902</v>
      </c>
      <c r="B223" t="s">
        <v>125</v>
      </c>
      <c r="C223" s="11">
        <v>3700</v>
      </c>
      <c r="D223" s="11"/>
      <c r="F223" s="52" t="s">
        <v>118</v>
      </c>
    </row>
    <row r="224" spans="1:6" x14ac:dyDescent="0.3">
      <c r="A224" s="43">
        <v>45902</v>
      </c>
      <c r="B224" t="s">
        <v>102</v>
      </c>
      <c r="C224" s="47">
        <v>40000</v>
      </c>
      <c r="D224" s="47"/>
      <c r="E224" t="s">
        <v>264</v>
      </c>
      <c r="F224" s="52" t="s">
        <v>117</v>
      </c>
    </row>
    <row r="225" spans="1:7" x14ac:dyDescent="0.3">
      <c r="A225" s="97">
        <v>45902</v>
      </c>
      <c r="B225" t="s">
        <v>102</v>
      </c>
      <c r="C225" s="11">
        <v>303000</v>
      </c>
      <c r="D225" s="11"/>
      <c r="E225" t="s">
        <v>128</v>
      </c>
      <c r="F225" s="52" t="s">
        <v>117</v>
      </c>
    </row>
    <row r="226" spans="1:7" x14ac:dyDescent="0.3">
      <c r="A226" s="43">
        <v>45902</v>
      </c>
      <c r="B226" t="s">
        <v>118</v>
      </c>
      <c r="C226" s="11"/>
      <c r="D226" s="11"/>
      <c r="F226" s="52" t="s">
        <v>159</v>
      </c>
      <c r="G226">
        <v>80000</v>
      </c>
    </row>
    <row r="227" spans="1:7" x14ac:dyDescent="0.3">
      <c r="A227" s="97">
        <v>45902</v>
      </c>
      <c r="B227" t="s">
        <v>102</v>
      </c>
      <c r="C227" s="11">
        <v>31500</v>
      </c>
      <c r="D227" s="11"/>
      <c r="E227" t="s">
        <v>265</v>
      </c>
      <c r="F227" s="52" t="s">
        <v>118</v>
      </c>
    </row>
    <row r="228" spans="1:7" x14ac:dyDescent="0.3">
      <c r="A228" s="43">
        <v>45902</v>
      </c>
      <c r="B228" t="s">
        <v>52</v>
      </c>
      <c r="C228" s="11">
        <v>230</v>
      </c>
      <c r="D228" s="11"/>
      <c r="E228" t="s">
        <v>266</v>
      </c>
      <c r="F228" s="52" t="s">
        <v>118</v>
      </c>
    </row>
    <row r="229" spans="1:7" x14ac:dyDescent="0.3">
      <c r="A229" s="97">
        <v>45902</v>
      </c>
      <c r="B229" t="s">
        <v>56</v>
      </c>
      <c r="C229" s="11">
        <v>500</v>
      </c>
      <c r="D229" s="11"/>
      <c r="E229" t="s">
        <v>267</v>
      </c>
      <c r="F229" s="52" t="s">
        <v>117</v>
      </c>
    </row>
    <row r="230" spans="1:7" x14ac:dyDescent="0.3">
      <c r="A230" s="43">
        <v>45902</v>
      </c>
      <c r="B230" t="s">
        <v>56</v>
      </c>
      <c r="C230" s="11">
        <v>1000</v>
      </c>
      <c r="D230" s="11"/>
      <c r="E230" t="s">
        <v>130</v>
      </c>
      <c r="F230" s="52" t="s">
        <v>117</v>
      </c>
    </row>
    <row r="231" spans="1:7" x14ac:dyDescent="0.3">
      <c r="A231" s="97">
        <v>45902</v>
      </c>
      <c r="B231" t="s">
        <v>56</v>
      </c>
      <c r="C231" s="11">
        <v>1500</v>
      </c>
      <c r="D231" s="11"/>
      <c r="E231" t="s">
        <v>268</v>
      </c>
      <c r="F231" s="52" t="s">
        <v>118</v>
      </c>
    </row>
    <row r="232" spans="1:7" x14ac:dyDescent="0.3">
      <c r="A232" s="43">
        <v>45902</v>
      </c>
      <c r="B232" t="s">
        <v>57</v>
      </c>
      <c r="C232" s="11">
        <v>1170</v>
      </c>
      <c r="D232" s="11"/>
      <c r="F232" s="52" t="s">
        <v>117</v>
      </c>
    </row>
    <row r="233" spans="1:7" x14ac:dyDescent="0.3">
      <c r="A233" s="97">
        <v>45902</v>
      </c>
      <c r="B233" t="s">
        <v>102</v>
      </c>
      <c r="C233" s="11">
        <v>41000</v>
      </c>
      <c r="D233" s="11"/>
      <c r="E233" t="s">
        <v>269</v>
      </c>
      <c r="F233" s="52" t="s">
        <v>118</v>
      </c>
    </row>
    <row r="234" spans="1:7" x14ac:dyDescent="0.3">
      <c r="A234" s="43">
        <v>45902</v>
      </c>
      <c r="B234" t="s">
        <v>102</v>
      </c>
      <c r="C234" s="11">
        <v>7000</v>
      </c>
      <c r="D234" s="11"/>
      <c r="E234" t="s">
        <v>270</v>
      </c>
      <c r="F234" s="52" t="s">
        <v>118</v>
      </c>
    </row>
    <row r="235" spans="1:7" x14ac:dyDescent="0.3">
      <c r="A235" s="97">
        <v>45902</v>
      </c>
      <c r="B235" t="s">
        <v>52</v>
      </c>
      <c r="C235" s="11">
        <v>1000</v>
      </c>
      <c r="D235" s="11"/>
      <c r="E235" t="s">
        <v>270</v>
      </c>
      <c r="F235" s="52" t="s">
        <v>118</v>
      </c>
    </row>
    <row r="236" spans="1:7" x14ac:dyDescent="0.3">
      <c r="A236" s="43">
        <v>45902</v>
      </c>
      <c r="B236" t="s">
        <v>194</v>
      </c>
      <c r="C236" s="11">
        <v>8400</v>
      </c>
      <c r="D236" s="11"/>
      <c r="E236" t="s">
        <v>271</v>
      </c>
      <c r="F236" s="52" t="s">
        <v>117</v>
      </c>
    </row>
    <row r="237" spans="1:7" x14ac:dyDescent="0.3">
      <c r="A237" s="97">
        <v>45902</v>
      </c>
      <c r="B237" t="s">
        <v>21</v>
      </c>
      <c r="C237" s="11"/>
      <c r="D237" s="11">
        <v>6900</v>
      </c>
      <c r="F237" s="52" t="s">
        <v>117</v>
      </c>
    </row>
    <row r="238" spans="1:7" x14ac:dyDescent="0.3">
      <c r="A238" s="43">
        <v>45902</v>
      </c>
      <c r="B238" t="s">
        <v>57</v>
      </c>
      <c r="C238" s="11">
        <v>15000</v>
      </c>
      <c r="D238" s="11"/>
      <c r="E238" t="s">
        <v>272</v>
      </c>
      <c r="F238" s="52" t="s">
        <v>117</v>
      </c>
    </row>
    <row r="239" spans="1:7" x14ac:dyDescent="0.3">
      <c r="A239" s="97">
        <v>45902</v>
      </c>
      <c r="B239" t="s">
        <v>57</v>
      </c>
      <c r="C239" s="11">
        <v>3300</v>
      </c>
      <c r="D239" s="11"/>
      <c r="E239" t="s">
        <v>273</v>
      </c>
      <c r="F239" s="52" t="s">
        <v>117</v>
      </c>
    </row>
    <row r="240" spans="1:7" x14ac:dyDescent="0.3">
      <c r="A240" s="43">
        <v>45902</v>
      </c>
      <c r="B240" t="s">
        <v>57</v>
      </c>
      <c r="C240" s="11">
        <v>1600</v>
      </c>
      <c r="D240" s="11"/>
      <c r="E240" t="s">
        <v>274</v>
      </c>
      <c r="F240" s="52" t="s">
        <v>117</v>
      </c>
    </row>
    <row r="241" spans="1:7" x14ac:dyDescent="0.3">
      <c r="A241" s="97">
        <v>45902</v>
      </c>
      <c r="B241" t="s">
        <v>56</v>
      </c>
      <c r="C241" s="11">
        <v>1600</v>
      </c>
      <c r="D241" s="11"/>
      <c r="E241" t="s">
        <v>175</v>
      </c>
      <c r="F241" s="52" t="s">
        <v>117</v>
      </c>
    </row>
    <row r="242" spans="1:7" x14ac:dyDescent="0.3">
      <c r="A242" s="43">
        <v>45902</v>
      </c>
      <c r="B242" t="s">
        <v>57</v>
      </c>
      <c r="C242" s="11">
        <v>1200</v>
      </c>
      <c r="D242" s="11"/>
      <c r="F242" s="52" t="s">
        <v>117</v>
      </c>
    </row>
    <row r="243" spans="1:7" x14ac:dyDescent="0.3">
      <c r="A243" s="97">
        <v>45902</v>
      </c>
      <c r="B243" t="s">
        <v>118</v>
      </c>
      <c r="C243" s="11"/>
      <c r="D243" s="11"/>
      <c r="F243" s="52" t="s">
        <v>159</v>
      </c>
      <c r="G243">
        <v>25000</v>
      </c>
    </row>
    <row r="244" spans="1:7" x14ac:dyDescent="0.3">
      <c r="A244" s="43">
        <v>45902</v>
      </c>
      <c r="B244" t="s">
        <v>194</v>
      </c>
      <c r="C244" s="11">
        <v>25000</v>
      </c>
      <c r="D244" s="11"/>
      <c r="E244" t="s">
        <v>176</v>
      </c>
      <c r="F244" s="52" t="s">
        <v>118</v>
      </c>
    </row>
    <row r="245" spans="1:7" x14ac:dyDescent="0.3">
      <c r="A245" s="97">
        <v>45903</v>
      </c>
      <c r="B245" t="s">
        <v>57</v>
      </c>
      <c r="C245" s="47">
        <v>1840</v>
      </c>
      <c r="D245" s="47"/>
      <c r="F245" s="52" t="s">
        <v>117</v>
      </c>
    </row>
    <row r="246" spans="1:7" x14ac:dyDescent="0.3">
      <c r="A246" s="43">
        <v>45903</v>
      </c>
      <c r="B246" t="s">
        <v>52</v>
      </c>
      <c r="C246" s="11">
        <v>10000</v>
      </c>
      <c r="D246" s="11"/>
      <c r="E246" t="s">
        <v>276</v>
      </c>
      <c r="F246" s="52" t="s">
        <v>117</v>
      </c>
    </row>
    <row r="247" spans="1:7" x14ac:dyDescent="0.3">
      <c r="A247" s="97">
        <v>45903</v>
      </c>
      <c r="B247" t="s">
        <v>57</v>
      </c>
      <c r="C247" s="11">
        <v>30000</v>
      </c>
      <c r="D247" s="11"/>
      <c r="E247" t="s">
        <v>248</v>
      </c>
      <c r="F247" s="52" t="s">
        <v>117</v>
      </c>
    </row>
    <row r="248" spans="1:7" x14ac:dyDescent="0.3">
      <c r="A248" s="43">
        <v>45903</v>
      </c>
      <c r="B248" t="s">
        <v>56</v>
      </c>
      <c r="C248" s="11">
        <v>4850</v>
      </c>
      <c r="D248" s="11"/>
      <c r="E248" t="s">
        <v>132</v>
      </c>
      <c r="F248" s="52" t="s">
        <v>117</v>
      </c>
    </row>
    <row r="249" spans="1:7" x14ac:dyDescent="0.3">
      <c r="A249" s="97">
        <v>45903</v>
      </c>
      <c r="B249" t="s">
        <v>52</v>
      </c>
      <c r="C249" s="11">
        <v>920</v>
      </c>
      <c r="D249" s="11"/>
      <c r="E249" t="s">
        <v>150</v>
      </c>
      <c r="F249" s="52" t="s">
        <v>118</v>
      </c>
    </row>
    <row r="250" spans="1:7" x14ac:dyDescent="0.3">
      <c r="A250" s="43">
        <v>45903</v>
      </c>
      <c r="B250" t="s">
        <v>104</v>
      </c>
      <c r="C250" s="11">
        <v>30000</v>
      </c>
      <c r="D250" s="11"/>
      <c r="F250" s="52" t="s">
        <v>117</v>
      </c>
    </row>
    <row r="251" spans="1:7" x14ac:dyDescent="0.3">
      <c r="A251" s="97">
        <v>45903</v>
      </c>
      <c r="B251" t="s">
        <v>21</v>
      </c>
      <c r="C251" s="11"/>
      <c r="D251" s="11">
        <v>30000</v>
      </c>
      <c r="F251" s="52" t="s">
        <v>117</v>
      </c>
    </row>
    <row r="252" spans="1:7" x14ac:dyDescent="0.3">
      <c r="A252" s="43">
        <v>45903</v>
      </c>
      <c r="B252" t="s">
        <v>52</v>
      </c>
      <c r="C252" s="11">
        <v>580</v>
      </c>
      <c r="D252" s="11"/>
      <c r="E252" t="s">
        <v>277</v>
      </c>
      <c r="F252" s="52" t="s">
        <v>117</v>
      </c>
    </row>
    <row r="253" spans="1:7" x14ac:dyDescent="0.3">
      <c r="A253" s="97">
        <v>45903</v>
      </c>
      <c r="B253" t="s">
        <v>125</v>
      </c>
      <c r="C253" s="11"/>
      <c r="D253" s="11">
        <v>180</v>
      </c>
      <c r="E253" t="s">
        <v>277</v>
      </c>
      <c r="F253" s="52" t="s">
        <v>117</v>
      </c>
    </row>
    <row r="254" spans="1:7" x14ac:dyDescent="0.3">
      <c r="A254" s="43">
        <v>45903</v>
      </c>
      <c r="B254" t="s">
        <v>137</v>
      </c>
      <c r="C254" s="11">
        <v>3990</v>
      </c>
      <c r="D254" s="11"/>
      <c r="E254" s="101" t="s">
        <v>278</v>
      </c>
      <c r="F254" s="52" t="s">
        <v>117</v>
      </c>
    </row>
    <row r="255" spans="1:7" x14ac:dyDescent="0.3">
      <c r="A255" s="97">
        <v>45903</v>
      </c>
      <c r="B255" t="s">
        <v>57</v>
      </c>
      <c r="C255" s="11">
        <v>4400</v>
      </c>
      <c r="D255" s="11"/>
      <c r="E255" t="s">
        <v>279</v>
      </c>
      <c r="F255" s="52" t="s">
        <v>117</v>
      </c>
    </row>
    <row r="256" spans="1:7" x14ac:dyDescent="0.3">
      <c r="A256" s="97">
        <v>45903</v>
      </c>
      <c r="B256" t="s">
        <v>52</v>
      </c>
      <c r="C256" s="47">
        <v>4000</v>
      </c>
      <c r="D256" s="47"/>
      <c r="E256" t="s">
        <v>280</v>
      </c>
      <c r="F256" s="52" t="s">
        <v>117</v>
      </c>
    </row>
    <row r="257" spans="1:7" x14ac:dyDescent="0.3">
      <c r="A257" s="97">
        <v>45904</v>
      </c>
      <c r="B257" t="s">
        <v>56</v>
      </c>
      <c r="C257" s="11">
        <v>5335</v>
      </c>
      <c r="D257" s="11"/>
      <c r="E257" t="s">
        <v>281</v>
      </c>
      <c r="F257" s="52" t="s">
        <v>117</v>
      </c>
    </row>
    <row r="258" spans="1:7" x14ac:dyDescent="0.3">
      <c r="A258" s="43">
        <v>45904</v>
      </c>
      <c r="B258" t="s">
        <v>102</v>
      </c>
      <c r="C258" s="11">
        <v>202500</v>
      </c>
      <c r="D258" s="11"/>
      <c r="E258" t="s">
        <v>128</v>
      </c>
      <c r="F258" s="52" t="s">
        <v>117</v>
      </c>
    </row>
    <row r="259" spans="1:7" x14ac:dyDescent="0.3">
      <c r="A259" s="97">
        <v>45904</v>
      </c>
      <c r="B259" t="s">
        <v>56</v>
      </c>
      <c r="C259" s="11">
        <v>2400</v>
      </c>
      <c r="D259" s="11"/>
      <c r="E259" t="s">
        <v>282</v>
      </c>
      <c r="F259" s="52" t="s">
        <v>117</v>
      </c>
    </row>
    <row r="260" spans="1:7" x14ac:dyDescent="0.3">
      <c r="A260" s="43">
        <v>45904</v>
      </c>
      <c r="B260" t="s">
        <v>56</v>
      </c>
      <c r="C260" s="11">
        <v>1000</v>
      </c>
      <c r="D260" s="11"/>
      <c r="E260" t="s">
        <v>130</v>
      </c>
      <c r="F260" s="52" t="s">
        <v>118</v>
      </c>
    </row>
    <row r="261" spans="1:7" x14ac:dyDescent="0.3">
      <c r="A261" s="97">
        <v>45904</v>
      </c>
      <c r="B261" t="s">
        <v>125</v>
      </c>
      <c r="C261" s="11"/>
      <c r="D261" s="11">
        <v>27000</v>
      </c>
      <c r="E261" t="s">
        <v>283</v>
      </c>
      <c r="F261" s="52" t="s">
        <v>117</v>
      </c>
    </row>
    <row r="262" spans="1:7" x14ac:dyDescent="0.3">
      <c r="A262" s="43">
        <v>45904</v>
      </c>
      <c r="B262" t="s">
        <v>57</v>
      </c>
      <c r="C262" s="11">
        <v>27000</v>
      </c>
      <c r="D262" s="11"/>
      <c r="E262" t="s">
        <v>283</v>
      </c>
      <c r="F262" s="52" t="s">
        <v>117</v>
      </c>
    </row>
    <row r="263" spans="1:7" x14ac:dyDescent="0.3">
      <c r="A263" s="97">
        <v>45904</v>
      </c>
      <c r="B263" t="s">
        <v>118</v>
      </c>
      <c r="C263" s="11"/>
      <c r="D263" s="11"/>
      <c r="F263" s="52" t="s">
        <v>159</v>
      </c>
      <c r="G263">
        <v>110000</v>
      </c>
    </row>
    <row r="264" spans="1:7" x14ac:dyDescent="0.3">
      <c r="A264" s="43">
        <v>45904</v>
      </c>
      <c r="B264" t="s">
        <v>102</v>
      </c>
      <c r="C264" s="11">
        <v>44750</v>
      </c>
      <c r="D264" s="11"/>
      <c r="E264" t="s">
        <v>284</v>
      </c>
      <c r="F264" s="52" t="s">
        <v>118</v>
      </c>
    </row>
    <row r="265" spans="1:7" x14ac:dyDescent="0.3">
      <c r="A265" s="97">
        <v>45904</v>
      </c>
      <c r="B265" t="s">
        <v>125</v>
      </c>
      <c r="C265" s="11"/>
      <c r="D265" s="11">
        <v>5000</v>
      </c>
      <c r="F265" s="52" t="s">
        <v>117</v>
      </c>
    </row>
    <row r="266" spans="1:7" x14ac:dyDescent="0.3">
      <c r="A266" s="43">
        <v>45904</v>
      </c>
      <c r="B266" t="s">
        <v>152</v>
      </c>
      <c r="C266" s="11">
        <v>5000</v>
      </c>
      <c r="D266" s="11"/>
      <c r="E266" t="s">
        <v>179</v>
      </c>
      <c r="F266" s="52" t="s">
        <v>117</v>
      </c>
    </row>
    <row r="267" spans="1:7" x14ac:dyDescent="0.3">
      <c r="A267" s="97">
        <v>45904</v>
      </c>
      <c r="B267" t="s">
        <v>25</v>
      </c>
      <c r="C267" s="47"/>
      <c r="D267" s="47">
        <v>500000</v>
      </c>
      <c r="E267" t="s">
        <v>285</v>
      </c>
      <c r="F267" s="52" t="s">
        <v>117</v>
      </c>
    </row>
    <row r="268" spans="1:7" x14ac:dyDescent="0.3">
      <c r="A268" s="43">
        <v>45904</v>
      </c>
      <c r="B268" t="s">
        <v>57</v>
      </c>
      <c r="C268" s="11">
        <v>140000</v>
      </c>
      <c r="D268" s="11"/>
      <c r="E268" t="s">
        <v>286</v>
      </c>
      <c r="F268" s="52" t="s">
        <v>117</v>
      </c>
    </row>
    <row r="269" spans="1:7" x14ac:dyDescent="0.3">
      <c r="A269" s="97">
        <v>45904</v>
      </c>
      <c r="B269" t="s">
        <v>57</v>
      </c>
      <c r="C269" s="11">
        <v>80000</v>
      </c>
      <c r="D269" s="11"/>
      <c r="E269" t="s">
        <v>287</v>
      </c>
      <c r="F269" s="52" t="s">
        <v>117</v>
      </c>
    </row>
    <row r="270" spans="1:7" x14ac:dyDescent="0.3">
      <c r="A270" s="43">
        <v>45904</v>
      </c>
      <c r="B270" t="s">
        <v>125</v>
      </c>
      <c r="C270" s="11"/>
      <c r="D270" s="11">
        <v>3036</v>
      </c>
      <c r="F270" s="52" t="s">
        <v>117</v>
      </c>
    </row>
    <row r="271" spans="1:7" x14ac:dyDescent="0.3">
      <c r="A271" s="97">
        <v>45904</v>
      </c>
      <c r="B271" t="s">
        <v>57</v>
      </c>
      <c r="C271" s="11">
        <v>3036</v>
      </c>
      <c r="D271" s="11"/>
      <c r="F271" s="52" t="s">
        <v>117</v>
      </c>
    </row>
    <row r="272" spans="1:7" x14ac:dyDescent="0.3">
      <c r="A272" s="43">
        <v>45904</v>
      </c>
      <c r="B272" t="s">
        <v>152</v>
      </c>
      <c r="C272" s="11">
        <v>10000</v>
      </c>
      <c r="D272" s="11"/>
      <c r="E272" t="s">
        <v>234</v>
      </c>
      <c r="F272" s="52" t="s">
        <v>118</v>
      </c>
    </row>
    <row r="273" spans="1:7" x14ac:dyDescent="0.3">
      <c r="A273" s="43">
        <v>45904</v>
      </c>
      <c r="B273" t="s">
        <v>125</v>
      </c>
      <c r="C273" s="11"/>
      <c r="D273" s="11">
        <v>10000</v>
      </c>
      <c r="E273" t="s">
        <v>294</v>
      </c>
      <c r="F273" s="52" t="s">
        <v>117</v>
      </c>
    </row>
    <row r="274" spans="1:7" x14ac:dyDescent="0.3">
      <c r="A274" s="97">
        <v>45904</v>
      </c>
      <c r="B274" t="s">
        <v>152</v>
      </c>
      <c r="C274" s="11">
        <v>10000</v>
      </c>
      <c r="D274" s="11"/>
      <c r="E274" t="s">
        <v>288</v>
      </c>
      <c r="F274" s="52" t="s">
        <v>117</v>
      </c>
    </row>
    <row r="275" spans="1:7" x14ac:dyDescent="0.3">
      <c r="A275" s="43">
        <v>45904</v>
      </c>
      <c r="B275" t="s">
        <v>152</v>
      </c>
      <c r="C275" s="11">
        <v>5000</v>
      </c>
      <c r="D275" s="11"/>
      <c r="E275" t="s">
        <v>289</v>
      </c>
      <c r="F275" s="52" t="s">
        <v>118</v>
      </c>
    </row>
    <row r="276" spans="1:7" x14ac:dyDescent="0.3">
      <c r="A276" s="97">
        <v>45904</v>
      </c>
      <c r="B276" t="s">
        <v>57</v>
      </c>
      <c r="C276" s="11">
        <v>4115</v>
      </c>
      <c r="D276" s="11"/>
      <c r="E276" t="s">
        <v>290</v>
      </c>
      <c r="F276" s="52" t="s">
        <v>117</v>
      </c>
    </row>
    <row r="277" spans="1:7" x14ac:dyDescent="0.3">
      <c r="A277" s="43">
        <v>45904</v>
      </c>
      <c r="B277" t="s">
        <v>57</v>
      </c>
      <c r="C277" s="11">
        <v>1500</v>
      </c>
      <c r="D277" s="11"/>
      <c r="E277" t="s">
        <v>291</v>
      </c>
      <c r="F277" s="52" t="s">
        <v>117</v>
      </c>
    </row>
    <row r="278" spans="1:7" x14ac:dyDescent="0.3">
      <c r="A278" s="97">
        <v>45904</v>
      </c>
      <c r="B278" t="s">
        <v>102</v>
      </c>
      <c r="C278" s="11">
        <v>43300</v>
      </c>
      <c r="D278" s="11"/>
      <c r="E278" t="s">
        <v>292</v>
      </c>
      <c r="F278" s="52" t="s">
        <v>118</v>
      </c>
    </row>
    <row r="279" spans="1:7" x14ac:dyDescent="0.3">
      <c r="A279" s="43">
        <v>45904</v>
      </c>
      <c r="B279" t="s">
        <v>57</v>
      </c>
      <c r="C279" s="11">
        <v>11620</v>
      </c>
      <c r="D279" s="11"/>
      <c r="F279" s="52" t="s">
        <v>117</v>
      </c>
    </row>
    <row r="280" spans="1:7" x14ac:dyDescent="0.3">
      <c r="A280" s="97">
        <v>45904</v>
      </c>
      <c r="B280" t="s">
        <v>57</v>
      </c>
      <c r="C280" s="11">
        <v>2045</v>
      </c>
      <c r="D280" s="11"/>
      <c r="E280" t="s">
        <v>293</v>
      </c>
      <c r="F280" s="52" t="s">
        <v>117</v>
      </c>
    </row>
    <row r="281" spans="1:7" x14ac:dyDescent="0.3">
      <c r="A281" s="43">
        <v>45904</v>
      </c>
      <c r="B281" t="s">
        <v>125</v>
      </c>
      <c r="C281" s="11">
        <v>2700</v>
      </c>
      <c r="D281" s="11"/>
      <c r="F281" s="52" t="s">
        <v>118</v>
      </c>
    </row>
    <row r="282" spans="1:7" x14ac:dyDescent="0.3">
      <c r="A282" s="97">
        <v>45904</v>
      </c>
      <c r="B282" t="s">
        <v>52</v>
      </c>
      <c r="C282" s="11">
        <v>1000</v>
      </c>
      <c r="D282" s="11"/>
      <c r="E282" t="s">
        <v>142</v>
      </c>
      <c r="F282" s="52" t="s">
        <v>118</v>
      </c>
    </row>
    <row r="283" spans="1:7" x14ac:dyDescent="0.3">
      <c r="A283" s="43">
        <v>45904</v>
      </c>
      <c r="B283" t="s">
        <v>125</v>
      </c>
      <c r="C283" s="47">
        <v>44836</v>
      </c>
      <c r="D283" s="47"/>
      <c r="E283" t="s">
        <v>296</v>
      </c>
      <c r="F283" s="52" t="s">
        <v>117</v>
      </c>
    </row>
    <row r="284" spans="1:7" x14ac:dyDescent="0.3">
      <c r="A284" s="43">
        <v>45905</v>
      </c>
      <c r="B284" t="s">
        <v>137</v>
      </c>
      <c r="C284" s="11">
        <v>17000</v>
      </c>
      <c r="D284" s="11"/>
      <c r="E284" t="s">
        <v>297</v>
      </c>
      <c r="F284" s="52" t="s">
        <v>117</v>
      </c>
    </row>
    <row r="285" spans="1:7" x14ac:dyDescent="0.3">
      <c r="A285" s="97">
        <v>45905</v>
      </c>
      <c r="B285" t="s">
        <v>56</v>
      </c>
      <c r="C285" s="11">
        <v>5335</v>
      </c>
      <c r="D285" s="11"/>
      <c r="E285" t="s">
        <v>281</v>
      </c>
      <c r="F285" s="52" t="s">
        <v>117</v>
      </c>
    </row>
    <row r="286" spans="1:7" x14ac:dyDescent="0.3">
      <c r="A286" s="43">
        <v>45905</v>
      </c>
      <c r="B286" t="s">
        <v>118</v>
      </c>
      <c r="C286" s="47"/>
      <c r="D286" s="47"/>
      <c r="F286" s="52" t="s">
        <v>159</v>
      </c>
      <c r="G286">
        <v>85000</v>
      </c>
    </row>
    <row r="287" spans="1:7" x14ac:dyDescent="0.3">
      <c r="A287" s="97">
        <v>45905</v>
      </c>
      <c r="B287" t="s">
        <v>52</v>
      </c>
      <c r="C287" s="11">
        <v>300</v>
      </c>
      <c r="D287" s="11"/>
      <c r="E287" t="s">
        <v>298</v>
      </c>
      <c r="F287" s="52" t="s">
        <v>118</v>
      </c>
    </row>
    <row r="288" spans="1:7" x14ac:dyDescent="0.3">
      <c r="A288" s="43">
        <v>45905</v>
      </c>
      <c r="B288" t="s">
        <v>295</v>
      </c>
      <c r="C288" s="11">
        <v>51330</v>
      </c>
      <c r="D288" s="11"/>
      <c r="E288" t="s">
        <v>128</v>
      </c>
      <c r="F288" s="52" t="s">
        <v>117</v>
      </c>
    </row>
    <row r="289" spans="1:6" x14ac:dyDescent="0.3">
      <c r="A289" s="97">
        <v>45905</v>
      </c>
      <c r="B289" t="s">
        <v>102</v>
      </c>
      <c r="C289" s="11">
        <v>44700</v>
      </c>
      <c r="D289" s="11"/>
      <c r="E289" t="s">
        <v>299</v>
      </c>
      <c r="F289" s="52" t="s">
        <v>118</v>
      </c>
    </row>
    <row r="290" spans="1:6" x14ac:dyDescent="0.3">
      <c r="A290" s="43">
        <v>45905</v>
      </c>
      <c r="B290" t="s">
        <v>102</v>
      </c>
      <c r="C290" s="11">
        <v>202100</v>
      </c>
      <c r="D290" s="11"/>
      <c r="E290" t="s">
        <v>128</v>
      </c>
      <c r="F290" s="52" t="s">
        <v>117</v>
      </c>
    </row>
    <row r="291" spans="1:6" x14ac:dyDescent="0.3">
      <c r="A291" s="97">
        <v>45905</v>
      </c>
      <c r="B291" t="s">
        <v>102</v>
      </c>
      <c r="C291" s="11">
        <v>33000</v>
      </c>
      <c r="D291" s="11"/>
      <c r="E291" t="s">
        <v>300</v>
      </c>
      <c r="F291" s="52" t="s">
        <v>118</v>
      </c>
    </row>
    <row r="292" spans="1:6" x14ac:dyDescent="0.3">
      <c r="A292" s="43">
        <v>45905</v>
      </c>
      <c r="B292" t="s">
        <v>57</v>
      </c>
      <c r="C292" s="11">
        <v>1500</v>
      </c>
      <c r="D292" s="11"/>
      <c r="E292" t="s">
        <v>301</v>
      </c>
      <c r="F292" s="52" t="s">
        <v>117</v>
      </c>
    </row>
    <row r="293" spans="1:6" x14ac:dyDescent="0.3">
      <c r="A293" s="97">
        <v>45905</v>
      </c>
      <c r="B293" t="s">
        <v>52</v>
      </c>
      <c r="C293" s="11">
        <v>500</v>
      </c>
      <c r="D293" s="11"/>
      <c r="E293" t="s">
        <v>302</v>
      </c>
      <c r="F293" s="52" t="s">
        <v>118</v>
      </c>
    </row>
    <row r="294" spans="1:6" x14ac:dyDescent="0.3">
      <c r="A294" s="43">
        <v>45905</v>
      </c>
      <c r="B294" t="s">
        <v>177</v>
      </c>
      <c r="C294" s="11"/>
      <c r="D294" s="11"/>
      <c r="E294" t="s">
        <v>303</v>
      </c>
      <c r="F294" s="52"/>
    </row>
    <row r="295" spans="1:6" x14ac:dyDescent="0.3">
      <c r="A295" s="97">
        <v>45905</v>
      </c>
      <c r="B295" t="s">
        <v>56</v>
      </c>
      <c r="C295" s="11">
        <v>5900</v>
      </c>
      <c r="D295" s="11"/>
      <c r="E295" t="s">
        <v>132</v>
      </c>
      <c r="F295" s="52" t="s">
        <v>117</v>
      </c>
    </row>
    <row r="296" spans="1:6" x14ac:dyDescent="0.3">
      <c r="A296" s="43">
        <v>45905</v>
      </c>
      <c r="B296" t="s">
        <v>152</v>
      </c>
      <c r="C296" s="11">
        <v>5000</v>
      </c>
      <c r="D296" s="11"/>
      <c r="E296" t="s">
        <v>304</v>
      </c>
      <c r="F296" s="52" t="s">
        <v>118</v>
      </c>
    </row>
    <row r="297" spans="1:6" x14ac:dyDescent="0.3">
      <c r="A297" s="97">
        <v>45905</v>
      </c>
      <c r="B297" t="s">
        <v>9</v>
      </c>
      <c r="C297" s="11"/>
      <c r="D297" s="11">
        <v>100000</v>
      </c>
      <c r="E297" t="s">
        <v>305</v>
      </c>
      <c r="F297" s="52" t="s">
        <v>117</v>
      </c>
    </row>
    <row r="298" spans="1:6" x14ac:dyDescent="0.3">
      <c r="A298" s="43">
        <v>45905</v>
      </c>
      <c r="B298" t="s">
        <v>57</v>
      </c>
      <c r="C298" s="11">
        <v>2000</v>
      </c>
      <c r="D298" s="11"/>
      <c r="E298" t="s">
        <v>306</v>
      </c>
      <c r="F298" s="52" t="s">
        <v>118</v>
      </c>
    </row>
    <row r="299" spans="1:6" x14ac:dyDescent="0.3">
      <c r="A299" s="97">
        <v>45905</v>
      </c>
      <c r="B299" t="s">
        <v>57</v>
      </c>
      <c r="C299" s="11">
        <v>4400</v>
      </c>
      <c r="D299" s="11"/>
      <c r="E299" t="s">
        <v>307</v>
      </c>
      <c r="F299" s="52" t="s">
        <v>117</v>
      </c>
    </row>
    <row r="300" spans="1:6" x14ac:dyDescent="0.3">
      <c r="A300" s="43">
        <v>45906</v>
      </c>
      <c r="B300" t="s">
        <v>137</v>
      </c>
      <c r="C300" s="47">
        <v>10130</v>
      </c>
      <c r="D300" s="47"/>
      <c r="E300" t="s">
        <v>308</v>
      </c>
      <c r="F300" s="52" t="s">
        <v>117</v>
      </c>
    </row>
    <row r="301" spans="1:6" x14ac:dyDescent="0.3">
      <c r="A301" s="97">
        <v>45907</v>
      </c>
      <c r="B301" t="s">
        <v>57</v>
      </c>
      <c r="C301" s="11">
        <v>8144</v>
      </c>
      <c r="D301" s="11"/>
      <c r="E301" t="s">
        <v>160</v>
      </c>
      <c r="F301" s="52" t="s">
        <v>117</v>
      </c>
    </row>
    <row r="302" spans="1:6" x14ac:dyDescent="0.3">
      <c r="A302" s="97">
        <v>45907</v>
      </c>
      <c r="B302" t="s">
        <v>21</v>
      </c>
      <c r="C302" s="11"/>
      <c r="D302" s="11">
        <v>8144</v>
      </c>
      <c r="F302" s="52" t="s">
        <v>117</v>
      </c>
    </row>
    <row r="303" spans="1:6" x14ac:dyDescent="0.3">
      <c r="A303" s="43">
        <v>45907</v>
      </c>
      <c r="B303" t="s">
        <v>23</v>
      </c>
      <c r="C303" s="47"/>
      <c r="D303" s="47">
        <v>250000</v>
      </c>
      <c r="E303" t="s">
        <v>309</v>
      </c>
      <c r="F303" s="52" t="s">
        <v>117</v>
      </c>
    </row>
    <row r="304" spans="1:6" x14ac:dyDescent="0.3">
      <c r="A304" s="43">
        <v>45907</v>
      </c>
      <c r="B304" t="s">
        <v>310</v>
      </c>
      <c r="C304" s="47">
        <f>500+300+250+100</f>
        <v>1150</v>
      </c>
      <c r="D304" s="47"/>
      <c r="E304" t="s">
        <v>311</v>
      </c>
      <c r="F304" s="52" t="s">
        <v>118</v>
      </c>
    </row>
    <row r="305" spans="1:7" x14ac:dyDescent="0.3">
      <c r="A305" s="43">
        <v>45908</v>
      </c>
      <c r="B305" t="s">
        <v>102</v>
      </c>
      <c r="C305" s="47">
        <v>200500</v>
      </c>
      <c r="D305" s="47"/>
      <c r="E305" t="s">
        <v>128</v>
      </c>
      <c r="F305" s="52" t="s">
        <v>117</v>
      </c>
    </row>
    <row r="306" spans="1:7" x14ac:dyDescent="0.3">
      <c r="A306" s="43">
        <v>45908</v>
      </c>
      <c r="B306" t="s">
        <v>295</v>
      </c>
      <c r="C306" s="11">
        <v>134190</v>
      </c>
      <c r="D306" s="11"/>
      <c r="F306" s="52" t="s">
        <v>117</v>
      </c>
    </row>
    <row r="307" spans="1:7" x14ac:dyDescent="0.3">
      <c r="A307" s="43">
        <v>45908</v>
      </c>
      <c r="B307" t="s">
        <v>57</v>
      </c>
      <c r="C307" s="11">
        <v>8144</v>
      </c>
      <c r="D307" s="11"/>
      <c r="E307" t="s">
        <v>160</v>
      </c>
      <c r="F307" s="52" t="s">
        <v>117</v>
      </c>
    </row>
    <row r="308" spans="1:7" x14ac:dyDescent="0.3">
      <c r="A308" s="43">
        <v>45909</v>
      </c>
      <c r="B308" t="s">
        <v>57</v>
      </c>
      <c r="C308" s="11">
        <v>2560</v>
      </c>
      <c r="D308" s="11"/>
      <c r="E308" t="s">
        <v>314</v>
      </c>
      <c r="F308" s="52" t="s">
        <v>117</v>
      </c>
    </row>
    <row r="309" spans="1:7" x14ac:dyDescent="0.3">
      <c r="A309" s="43">
        <v>45909</v>
      </c>
      <c r="B309" t="s">
        <v>57</v>
      </c>
      <c r="C309" s="11">
        <v>16289</v>
      </c>
      <c r="D309" s="11"/>
      <c r="E309" t="s">
        <v>160</v>
      </c>
      <c r="F309" s="52" t="s">
        <v>117</v>
      </c>
    </row>
    <row r="310" spans="1:7" x14ac:dyDescent="0.3">
      <c r="A310" s="43">
        <v>45909</v>
      </c>
      <c r="B310" t="s">
        <v>168</v>
      </c>
      <c r="C310" s="11">
        <v>69500</v>
      </c>
      <c r="D310" s="11"/>
      <c r="E310" t="s">
        <v>63</v>
      </c>
      <c r="F310" s="52" t="s">
        <v>117</v>
      </c>
    </row>
    <row r="311" spans="1:7" x14ac:dyDescent="0.3">
      <c r="A311" s="43">
        <v>45909</v>
      </c>
      <c r="B311" t="s">
        <v>21</v>
      </c>
      <c r="C311" s="11"/>
      <c r="D311" s="11">
        <f>16289+69500</f>
        <v>85789</v>
      </c>
      <c r="F311" s="52" t="s">
        <v>117</v>
      </c>
    </row>
    <row r="312" spans="1:7" x14ac:dyDescent="0.3">
      <c r="A312" s="43">
        <v>45909</v>
      </c>
      <c r="B312" t="s">
        <v>24</v>
      </c>
      <c r="C312" s="11"/>
      <c r="D312" s="11">
        <v>500000</v>
      </c>
      <c r="F312" s="52" t="s">
        <v>117</v>
      </c>
    </row>
    <row r="313" spans="1:7" x14ac:dyDescent="0.3">
      <c r="A313" s="43">
        <v>45909</v>
      </c>
      <c r="B313" t="s">
        <v>118</v>
      </c>
      <c r="C313" s="11"/>
      <c r="D313" s="11"/>
      <c r="F313" s="52" t="s">
        <v>159</v>
      </c>
      <c r="G313">
        <v>50000</v>
      </c>
    </row>
    <row r="314" spans="1:7" x14ac:dyDescent="0.3">
      <c r="A314" s="43">
        <v>45909</v>
      </c>
      <c r="B314" t="s">
        <v>56</v>
      </c>
      <c r="C314" s="11">
        <v>500</v>
      </c>
      <c r="D314" s="11"/>
      <c r="E314" t="s">
        <v>281</v>
      </c>
      <c r="F314" s="52" t="s">
        <v>118</v>
      </c>
    </row>
    <row r="315" spans="1:7" x14ac:dyDescent="0.3">
      <c r="A315" s="43">
        <v>45909</v>
      </c>
      <c r="B315" t="s">
        <v>56</v>
      </c>
      <c r="C315" s="11">
        <v>5180</v>
      </c>
      <c r="D315" s="11"/>
      <c r="E315" t="s">
        <v>132</v>
      </c>
      <c r="F315" s="52" t="s">
        <v>117</v>
      </c>
    </row>
    <row r="316" spans="1:7" x14ac:dyDescent="0.3">
      <c r="A316" s="43">
        <v>45909</v>
      </c>
      <c r="B316" t="s">
        <v>9</v>
      </c>
      <c r="C316" s="11"/>
      <c r="D316" s="11">
        <v>50000</v>
      </c>
      <c r="F316" s="52" t="s">
        <v>117</v>
      </c>
    </row>
    <row r="317" spans="1:7" x14ac:dyDescent="0.3">
      <c r="A317" s="43">
        <v>45909</v>
      </c>
      <c r="B317" t="s">
        <v>102</v>
      </c>
      <c r="C317" s="11">
        <v>36550</v>
      </c>
      <c r="D317" s="11"/>
      <c r="E317" t="s">
        <v>315</v>
      </c>
      <c r="F317" s="52" t="s">
        <v>118</v>
      </c>
    </row>
    <row r="318" spans="1:7" x14ac:dyDescent="0.3">
      <c r="A318" s="43">
        <v>45909</v>
      </c>
      <c r="B318" t="s">
        <v>125</v>
      </c>
      <c r="C318" s="11"/>
      <c r="D318" s="11">
        <v>2500</v>
      </c>
      <c r="F318" s="52" t="s">
        <v>117</v>
      </c>
    </row>
    <row r="319" spans="1:7" x14ac:dyDescent="0.3">
      <c r="A319" s="43">
        <v>45909</v>
      </c>
      <c r="B319" t="s">
        <v>52</v>
      </c>
      <c r="C319" s="11">
        <v>2600</v>
      </c>
      <c r="D319" s="11"/>
      <c r="E319" t="s">
        <v>316</v>
      </c>
      <c r="F319" s="52" t="s">
        <v>117</v>
      </c>
    </row>
    <row r="320" spans="1:7" x14ac:dyDescent="0.3">
      <c r="A320" s="43">
        <v>45909</v>
      </c>
      <c r="B320" t="s">
        <v>52</v>
      </c>
      <c r="C320" s="11">
        <v>200</v>
      </c>
      <c r="D320" s="11"/>
      <c r="E320" t="s">
        <v>317</v>
      </c>
      <c r="F320" s="52" t="s">
        <v>118</v>
      </c>
    </row>
    <row r="321" spans="1:7" x14ac:dyDescent="0.3">
      <c r="A321" s="43">
        <v>45909</v>
      </c>
      <c r="B321" t="s">
        <v>102</v>
      </c>
      <c r="C321" s="11">
        <v>200400</v>
      </c>
      <c r="D321" s="11"/>
      <c r="E321" t="s">
        <v>128</v>
      </c>
      <c r="F321" s="52" t="s">
        <v>117</v>
      </c>
    </row>
    <row r="322" spans="1:7" x14ac:dyDescent="0.3">
      <c r="A322" s="43">
        <v>45908</v>
      </c>
      <c r="B322" t="s">
        <v>125</v>
      </c>
      <c r="C322" s="47">
        <v>1100</v>
      </c>
      <c r="D322" s="47"/>
      <c r="F322" s="52" t="s">
        <v>118</v>
      </c>
    </row>
    <row r="323" spans="1:7" x14ac:dyDescent="0.3">
      <c r="A323" s="43">
        <v>45909</v>
      </c>
      <c r="B323" t="s">
        <v>52</v>
      </c>
      <c r="C323" s="47">
        <v>920</v>
      </c>
      <c r="D323" s="47"/>
      <c r="E323" t="s">
        <v>142</v>
      </c>
      <c r="F323" s="52" t="s">
        <v>118</v>
      </c>
    </row>
    <row r="324" spans="1:7" x14ac:dyDescent="0.3">
      <c r="A324" s="97">
        <v>45910</v>
      </c>
      <c r="B324" t="s">
        <v>21</v>
      </c>
      <c r="C324" s="11"/>
      <c r="D324" s="11">
        <v>500000</v>
      </c>
      <c r="E324" t="s">
        <v>66</v>
      </c>
      <c r="F324" s="52" t="s">
        <v>117</v>
      </c>
    </row>
    <row r="325" spans="1:7" x14ac:dyDescent="0.3">
      <c r="A325" s="97">
        <v>45910</v>
      </c>
      <c r="B325" t="s">
        <v>143</v>
      </c>
      <c r="C325" s="11">
        <v>500000</v>
      </c>
      <c r="D325" s="11"/>
      <c r="E325" t="s">
        <v>66</v>
      </c>
      <c r="F325" s="52" t="s">
        <v>117</v>
      </c>
    </row>
    <row r="326" spans="1:7" x14ac:dyDescent="0.3">
      <c r="A326" s="97">
        <v>45910</v>
      </c>
      <c r="B326" t="s">
        <v>102</v>
      </c>
      <c r="C326" s="11">
        <v>37500</v>
      </c>
      <c r="D326" s="11"/>
      <c r="E326" t="s">
        <v>318</v>
      </c>
      <c r="F326" s="52" t="s">
        <v>118</v>
      </c>
    </row>
    <row r="327" spans="1:7" x14ac:dyDescent="0.3">
      <c r="A327" s="97">
        <v>45910</v>
      </c>
      <c r="B327" t="s">
        <v>56</v>
      </c>
      <c r="C327" s="11">
        <v>2050</v>
      </c>
      <c r="D327" s="11"/>
      <c r="E327" t="s">
        <v>282</v>
      </c>
      <c r="F327" s="52" t="s">
        <v>117</v>
      </c>
    </row>
    <row r="328" spans="1:7" x14ac:dyDescent="0.3">
      <c r="A328" s="97">
        <v>45910</v>
      </c>
      <c r="B328" t="s">
        <v>21</v>
      </c>
      <c r="C328" s="11"/>
      <c r="D328" s="11">
        <v>2050</v>
      </c>
      <c r="E328" t="s">
        <v>282</v>
      </c>
      <c r="F328" s="52" t="s">
        <v>117</v>
      </c>
    </row>
    <row r="329" spans="1:7" x14ac:dyDescent="0.3">
      <c r="A329" s="97">
        <v>45910</v>
      </c>
      <c r="B329" t="s">
        <v>295</v>
      </c>
      <c r="C329" s="11">
        <v>148610</v>
      </c>
      <c r="D329" s="11"/>
      <c r="E329" t="s">
        <v>319</v>
      </c>
      <c r="F329" s="52" t="s">
        <v>117</v>
      </c>
    </row>
    <row r="330" spans="1:7" x14ac:dyDescent="0.3">
      <c r="A330" s="97">
        <v>45910</v>
      </c>
      <c r="B330" t="s">
        <v>118</v>
      </c>
      <c r="C330" s="11"/>
      <c r="D330" s="11"/>
      <c r="F330" s="52" t="s">
        <v>159</v>
      </c>
      <c r="G330">
        <v>55000</v>
      </c>
    </row>
    <row r="331" spans="1:7" x14ac:dyDescent="0.3">
      <c r="A331" s="97">
        <v>45910</v>
      </c>
      <c r="B331" t="s">
        <v>194</v>
      </c>
      <c r="C331" s="11">
        <v>2000</v>
      </c>
      <c r="D331" s="11"/>
      <c r="E331" t="s">
        <v>320</v>
      </c>
      <c r="F331" s="52" t="s">
        <v>118</v>
      </c>
    </row>
    <row r="332" spans="1:7" x14ac:dyDescent="0.3">
      <c r="A332" s="97">
        <v>45910</v>
      </c>
      <c r="B332" t="s">
        <v>9</v>
      </c>
      <c r="C332" s="11"/>
      <c r="D332" s="11">
        <v>50000</v>
      </c>
      <c r="E332" t="s">
        <v>87</v>
      </c>
      <c r="F332" s="52" t="s">
        <v>117</v>
      </c>
    </row>
    <row r="333" spans="1:7" x14ac:dyDescent="0.3">
      <c r="A333" s="97">
        <v>45910</v>
      </c>
      <c r="B333" t="s">
        <v>56</v>
      </c>
      <c r="C333" s="11">
        <v>1600</v>
      </c>
      <c r="D333" s="11"/>
      <c r="E333" t="s">
        <v>175</v>
      </c>
      <c r="F333" s="52" t="s">
        <v>117</v>
      </c>
    </row>
    <row r="334" spans="1:7" x14ac:dyDescent="0.3">
      <c r="A334" s="97">
        <v>45910</v>
      </c>
      <c r="B334" t="s">
        <v>321</v>
      </c>
      <c r="C334" s="11">
        <v>6400</v>
      </c>
      <c r="D334" s="11"/>
      <c r="E334" t="s">
        <v>317</v>
      </c>
      <c r="F334" s="52" t="s">
        <v>118</v>
      </c>
    </row>
    <row r="335" spans="1:7" x14ac:dyDescent="0.3">
      <c r="A335" s="97">
        <v>45910</v>
      </c>
      <c r="B335" t="s">
        <v>102</v>
      </c>
      <c r="C335" s="11">
        <v>13000</v>
      </c>
      <c r="D335" s="11"/>
      <c r="E335" t="s">
        <v>270</v>
      </c>
      <c r="F335" s="52" t="s">
        <v>117</v>
      </c>
    </row>
    <row r="336" spans="1:7" x14ac:dyDescent="0.3">
      <c r="A336" s="97">
        <v>45910</v>
      </c>
      <c r="B336" t="s">
        <v>194</v>
      </c>
      <c r="C336" s="11">
        <v>5000</v>
      </c>
      <c r="D336" s="11"/>
      <c r="E336" t="s">
        <v>322</v>
      </c>
      <c r="F336" s="52" t="s">
        <v>118</v>
      </c>
    </row>
    <row r="337" spans="1:6" x14ac:dyDescent="0.3">
      <c r="A337" s="97">
        <v>45910</v>
      </c>
      <c r="B337" t="s">
        <v>137</v>
      </c>
      <c r="C337" s="11">
        <v>7692</v>
      </c>
      <c r="D337" s="11"/>
      <c r="F337" s="52" t="s">
        <v>118</v>
      </c>
    </row>
    <row r="338" spans="1:6" x14ac:dyDescent="0.3">
      <c r="A338" s="97">
        <v>45910</v>
      </c>
      <c r="B338" t="s">
        <v>57</v>
      </c>
      <c r="C338" s="11">
        <v>3900</v>
      </c>
      <c r="D338" s="11"/>
      <c r="E338" t="s">
        <v>323</v>
      </c>
      <c r="F338" s="52" t="s">
        <v>117</v>
      </c>
    </row>
    <row r="339" spans="1:6" x14ac:dyDescent="0.3">
      <c r="A339" s="97">
        <v>45910</v>
      </c>
      <c r="B339" t="s">
        <v>37</v>
      </c>
      <c r="C339" s="11"/>
      <c r="D339" s="11">
        <v>97000</v>
      </c>
      <c r="E339" t="s">
        <v>87</v>
      </c>
      <c r="F339" s="52" t="s">
        <v>117</v>
      </c>
    </row>
    <row r="340" spans="1:6" x14ac:dyDescent="0.3">
      <c r="A340" s="97">
        <v>45910</v>
      </c>
      <c r="B340" t="s">
        <v>102</v>
      </c>
      <c r="C340" s="11">
        <v>201450</v>
      </c>
      <c r="D340" s="11"/>
      <c r="E340" t="s">
        <v>128</v>
      </c>
      <c r="F340" s="52" t="s">
        <v>117</v>
      </c>
    </row>
    <row r="341" spans="1:6" x14ac:dyDescent="0.3">
      <c r="A341" s="97">
        <v>45910</v>
      </c>
      <c r="B341" t="s">
        <v>56</v>
      </c>
      <c r="C341" s="11">
        <v>5335</v>
      </c>
      <c r="D341" s="11"/>
      <c r="E341" t="s">
        <v>281</v>
      </c>
      <c r="F341" s="52" t="s">
        <v>117</v>
      </c>
    </row>
    <row r="342" spans="1:6" x14ac:dyDescent="0.3">
      <c r="A342" s="97">
        <v>45911</v>
      </c>
      <c r="B342" t="s">
        <v>24</v>
      </c>
      <c r="C342" s="11"/>
      <c r="D342" s="11">
        <v>627000</v>
      </c>
      <c r="E342" t="s">
        <v>325</v>
      </c>
      <c r="F342" s="52" t="s">
        <v>118</v>
      </c>
    </row>
    <row r="343" spans="1:6" x14ac:dyDescent="0.3">
      <c r="A343" s="97">
        <v>45911</v>
      </c>
      <c r="B343" t="s">
        <v>23</v>
      </c>
      <c r="C343" s="11"/>
      <c r="D343" s="11">
        <v>275940</v>
      </c>
      <c r="E343" t="s">
        <v>87</v>
      </c>
      <c r="F343" s="52" t="s">
        <v>117</v>
      </c>
    </row>
    <row r="344" spans="1:6" x14ac:dyDescent="0.3">
      <c r="A344" s="43">
        <v>45911</v>
      </c>
      <c r="B344" t="s">
        <v>194</v>
      </c>
      <c r="C344" s="107">
        <f>854000-7000</f>
        <v>847000</v>
      </c>
      <c r="D344" s="107"/>
      <c r="E344" s="106" t="s">
        <v>325</v>
      </c>
      <c r="F344" s="108" t="s">
        <v>118</v>
      </c>
    </row>
    <row r="345" spans="1:6" x14ac:dyDescent="0.3">
      <c r="A345" s="97">
        <v>45911</v>
      </c>
      <c r="B345" t="s">
        <v>194</v>
      </c>
      <c r="C345" s="11">
        <v>10000</v>
      </c>
      <c r="D345" s="11"/>
      <c r="E345" t="s">
        <v>179</v>
      </c>
      <c r="F345" s="52" t="s">
        <v>117</v>
      </c>
    </row>
    <row r="346" spans="1:6" x14ac:dyDescent="0.3">
      <c r="A346" s="97">
        <v>45911</v>
      </c>
      <c r="B346" t="s">
        <v>194</v>
      </c>
      <c r="C346" s="11">
        <v>5000</v>
      </c>
      <c r="D346" s="11"/>
      <c r="E346" t="s">
        <v>173</v>
      </c>
      <c r="F346" s="52" t="s">
        <v>118</v>
      </c>
    </row>
    <row r="347" spans="1:6" x14ac:dyDescent="0.3">
      <c r="A347" s="43">
        <v>45911</v>
      </c>
      <c r="B347" t="s">
        <v>56</v>
      </c>
      <c r="C347" s="11">
        <v>6350</v>
      </c>
      <c r="D347" s="11"/>
      <c r="E347" t="s">
        <v>132</v>
      </c>
      <c r="F347" s="52" t="s">
        <v>117</v>
      </c>
    </row>
    <row r="348" spans="1:6" x14ac:dyDescent="0.3">
      <c r="A348" s="97">
        <v>45911</v>
      </c>
      <c r="B348" t="s">
        <v>56</v>
      </c>
      <c r="C348" s="11">
        <v>900</v>
      </c>
      <c r="D348" s="11"/>
      <c r="E348" t="s">
        <v>326</v>
      </c>
      <c r="F348" s="52" t="s">
        <v>118</v>
      </c>
    </row>
    <row r="349" spans="1:6" x14ac:dyDescent="0.3">
      <c r="A349" s="97">
        <v>45911</v>
      </c>
      <c r="B349" t="s">
        <v>102</v>
      </c>
      <c r="C349" s="11">
        <v>200700</v>
      </c>
      <c r="D349" s="11"/>
      <c r="E349" t="s">
        <v>128</v>
      </c>
      <c r="F349" s="52" t="s">
        <v>117</v>
      </c>
    </row>
    <row r="350" spans="1:6" x14ac:dyDescent="0.3">
      <c r="A350" s="97">
        <v>45912</v>
      </c>
      <c r="B350" t="s">
        <v>21</v>
      </c>
      <c r="C350" s="11"/>
      <c r="D350" s="11">
        <v>57000</v>
      </c>
      <c r="E350" t="s">
        <v>203</v>
      </c>
      <c r="F350" s="52" t="s">
        <v>117</v>
      </c>
    </row>
    <row r="351" spans="1:6" x14ac:dyDescent="0.3">
      <c r="A351" s="97">
        <v>45912</v>
      </c>
      <c r="B351" t="s">
        <v>138</v>
      </c>
      <c r="C351" s="11">
        <v>57000</v>
      </c>
      <c r="D351" s="11"/>
      <c r="E351" t="s">
        <v>327</v>
      </c>
      <c r="F351" s="52" t="s">
        <v>117</v>
      </c>
    </row>
    <row r="352" spans="1:6" x14ac:dyDescent="0.3">
      <c r="A352" s="97">
        <v>45912</v>
      </c>
      <c r="B352" t="s">
        <v>24</v>
      </c>
      <c r="C352" s="11"/>
      <c r="D352" s="11">
        <v>348000</v>
      </c>
      <c r="F352" s="52" t="s">
        <v>118</v>
      </c>
    </row>
    <row r="353" spans="1:6" x14ac:dyDescent="0.3">
      <c r="A353" s="97">
        <v>45912</v>
      </c>
      <c r="B353" t="s">
        <v>321</v>
      </c>
      <c r="C353" s="11">
        <v>21000</v>
      </c>
      <c r="D353" s="11"/>
      <c r="E353" t="s">
        <v>317</v>
      </c>
      <c r="F353" s="52" t="s">
        <v>118</v>
      </c>
    </row>
    <row r="354" spans="1:6" x14ac:dyDescent="0.3">
      <c r="A354" s="97">
        <v>45912</v>
      </c>
      <c r="B354" t="s">
        <v>194</v>
      </c>
      <c r="C354" s="47">
        <v>50000</v>
      </c>
      <c r="D354" s="47"/>
      <c r="E354" t="s">
        <v>173</v>
      </c>
      <c r="F354" s="52" t="s">
        <v>117</v>
      </c>
    </row>
    <row r="355" spans="1:6" x14ac:dyDescent="0.3">
      <c r="A355" s="97">
        <v>45912</v>
      </c>
      <c r="B355" t="s">
        <v>194</v>
      </c>
      <c r="C355" s="11">
        <v>41600</v>
      </c>
      <c r="D355" s="11"/>
      <c r="E355" t="s">
        <v>173</v>
      </c>
      <c r="F355" s="52" t="s">
        <v>118</v>
      </c>
    </row>
    <row r="356" spans="1:6" x14ac:dyDescent="0.3">
      <c r="A356" s="97">
        <v>45912</v>
      </c>
      <c r="B356" t="s">
        <v>194</v>
      </c>
      <c r="C356" s="11">
        <v>40000</v>
      </c>
      <c r="D356" s="11"/>
      <c r="E356" t="s">
        <v>328</v>
      </c>
      <c r="F356" s="52" t="s">
        <v>118</v>
      </c>
    </row>
    <row r="357" spans="1:6" x14ac:dyDescent="0.3">
      <c r="A357" s="97">
        <v>45912</v>
      </c>
      <c r="B357" t="s">
        <v>194</v>
      </c>
      <c r="C357" s="47">
        <v>140000</v>
      </c>
      <c r="D357" s="47"/>
      <c r="E357" t="s">
        <v>328</v>
      </c>
      <c r="F357" s="52" t="s">
        <v>117</v>
      </c>
    </row>
    <row r="358" spans="1:6" x14ac:dyDescent="0.3">
      <c r="A358" s="97">
        <v>45912</v>
      </c>
      <c r="B358" t="s">
        <v>102</v>
      </c>
      <c r="C358" s="47">
        <v>2000</v>
      </c>
      <c r="D358" s="47"/>
      <c r="E358" t="s">
        <v>270</v>
      </c>
      <c r="F358" s="52" t="s">
        <v>118</v>
      </c>
    </row>
    <row r="359" spans="1:6" x14ac:dyDescent="0.3">
      <c r="A359" s="97">
        <v>45912</v>
      </c>
      <c r="B359" t="s">
        <v>102</v>
      </c>
      <c r="C359" s="47">
        <v>36300</v>
      </c>
      <c r="D359" s="47"/>
      <c r="E359" t="s">
        <v>329</v>
      </c>
      <c r="F359" s="52" t="s">
        <v>117</v>
      </c>
    </row>
    <row r="360" spans="1:6" x14ac:dyDescent="0.3">
      <c r="A360" s="97">
        <v>45912</v>
      </c>
      <c r="B360" t="s">
        <v>102</v>
      </c>
      <c r="C360" s="47">
        <v>32100</v>
      </c>
      <c r="D360" s="47"/>
      <c r="E360" t="s">
        <v>330</v>
      </c>
      <c r="F360" s="52" t="s">
        <v>118</v>
      </c>
    </row>
    <row r="361" spans="1:6" x14ac:dyDescent="0.3">
      <c r="A361" s="97">
        <v>45912</v>
      </c>
      <c r="B361" t="s">
        <v>194</v>
      </c>
      <c r="C361" s="47"/>
      <c r="D361" s="47"/>
      <c r="E361" t="s">
        <v>334</v>
      </c>
      <c r="F361" s="52" t="s">
        <v>118</v>
      </c>
    </row>
    <row r="362" spans="1:6" x14ac:dyDescent="0.3">
      <c r="A362" s="97">
        <v>45912</v>
      </c>
      <c r="B362" t="s">
        <v>52</v>
      </c>
      <c r="C362" s="47">
        <v>550</v>
      </c>
      <c r="D362" s="47"/>
      <c r="E362" t="s">
        <v>331</v>
      </c>
      <c r="F362" s="52" t="s">
        <v>118</v>
      </c>
    </row>
    <row r="363" spans="1:6" x14ac:dyDescent="0.3">
      <c r="A363" s="97">
        <v>45912</v>
      </c>
      <c r="B363" t="s">
        <v>52</v>
      </c>
      <c r="C363" s="47">
        <v>400</v>
      </c>
      <c r="D363" s="47"/>
      <c r="E363" t="s">
        <v>332</v>
      </c>
      <c r="F363" s="52" t="s">
        <v>118</v>
      </c>
    </row>
    <row r="364" spans="1:6" x14ac:dyDescent="0.3">
      <c r="A364" s="97">
        <v>45912</v>
      </c>
      <c r="B364" t="s">
        <v>321</v>
      </c>
      <c r="C364" s="47">
        <v>70000</v>
      </c>
      <c r="D364" s="47">
        <v>70000</v>
      </c>
      <c r="E364" t="s">
        <v>333</v>
      </c>
      <c r="F364" s="52" t="s">
        <v>118</v>
      </c>
    </row>
    <row r="365" spans="1:6" x14ac:dyDescent="0.3">
      <c r="A365" s="97">
        <v>45912</v>
      </c>
      <c r="B365" t="s">
        <v>125</v>
      </c>
      <c r="C365" s="47"/>
      <c r="D365" s="47">
        <v>55000</v>
      </c>
      <c r="E365" t="s">
        <v>328</v>
      </c>
      <c r="F365" s="52" t="s">
        <v>117</v>
      </c>
    </row>
    <row r="366" spans="1:6" x14ac:dyDescent="0.3">
      <c r="A366" s="97">
        <v>45913</v>
      </c>
      <c r="B366" t="s">
        <v>125</v>
      </c>
      <c r="C366" s="47">
        <v>1100</v>
      </c>
      <c r="D366" s="47"/>
      <c r="F366" s="52" t="s">
        <v>118</v>
      </c>
    </row>
    <row r="367" spans="1:6" x14ac:dyDescent="0.3">
      <c r="A367" s="97">
        <v>45913</v>
      </c>
      <c r="B367" t="s">
        <v>57</v>
      </c>
      <c r="C367" s="47">
        <v>4200</v>
      </c>
      <c r="D367" s="47"/>
      <c r="E367" t="s">
        <v>335</v>
      </c>
      <c r="F367" s="52" t="s">
        <v>117</v>
      </c>
    </row>
    <row r="368" spans="1:6" x14ac:dyDescent="0.3">
      <c r="A368" s="97">
        <v>45913</v>
      </c>
      <c r="B368" t="s">
        <v>56</v>
      </c>
      <c r="C368" s="47">
        <v>40000</v>
      </c>
      <c r="D368" s="47"/>
      <c r="E368" t="s">
        <v>282</v>
      </c>
      <c r="F368" s="52" t="s">
        <v>117</v>
      </c>
    </row>
    <row r="369" spans="1:6" x14ac:dyDescent="0.3">
      <c r="A369" s="97">
        <v>45913</v>
      </c>
      <c r="B369" t="s">
        <v>21</v>
      </c>
      <c r="C369" s="11"/>
      <c r="D369" s="11">
        <v>40000</v>
      </c>
      <c r="F369" s="52" t="s">
        <v>117</v>
      </c>
    </row>
    <row r="370" spans="1:6" x14ac:dyDescent="0.3">
      <c r="A370" s="97">
        <v>45913</v>
      </c>
      <c r="B370" t="s">
        <v>56</v>
      </c>
      <c r="C370" s="11">
        <v>3000</v>
      </c>
      <c r="D370" s="11"/>
      <c r="E370" t="s">
        <v>336</v>
      </c>
      <c r="F370" s="52" t="s">
        <v>118</v>
      </c>
    </row>
    <row r="371" spans="1:6" x14ac:dyDescent="0.3">
      <c r="A371" s="97">
        <v>45913</v>
      </c>
      <c r="B371" t="s">
        <v>66</v>
      </c>
      <c r="C371" s="11">
        <v>32800</v>
      </c>
      <c r="D371" s="11"/>
      <c r="F371" s="52" t="s">
        <v>117</v>
      </c>
    </row>
    <row r="372" spans="1:6" x14ac:dyDescent="0.3">
      <c r="A372" s="97">
        <v>45913</v>
      </c>
      <c r="B372" t="s">
        <v>21</v>
      </c>
      <c r="C372" s="11"/>
      <c r="D372" s="11">
        <v>32800</v>
      </c>
      <c r="F372" s="52" t="s">
        <v>117</v>
      </c>
    </row>
    <row r="373" spans="1:6" x14ac:dyDescent="0.3">
      <c r="A373" s="97">
        <v>45913</v>
      </c>
      <c r="B373" t="s">
        <v>125</v>
      </c>
      <c r="C373" s="11"/>
      <c r="D373" s="11">
        <v>10000</v>
      </c>
      <c r="F373" s="52" t="s">
        <v>117</v>
      </c>
    </row>
    <row r="374" spans="1:6" x14ac:dyDescent="0.3">
      <c r="A374" s="97">
        <v>45913</v>
      </c>
      <c r="B374" t="s">
        <v>57</v>
      </c>
      <c r="C374" s="47">
        <v>550</v>
      </c>
      <c r="D374" s="47"/>
      <c r="E374" t="s">
        <v>337</v>
      </c>
      <c r="F374" s="52" t="s">
        <v>118</v>
      </c>
    </row>
    <row r="375" spans="1:6" x14ac:dyDescent="0.3">
      <c r="A375" s="97">
        <v>45913</v>
      </c>
      <c r="B375" t="s">
        <v>321</v>
      </c>
      <c r="C375" s="11">
        <v>3300</v>
      </c>
      <c r="D375" s="11"/>
      <c r="E375" t="s">
        <v>317</v>
      </c>
      <c r="F375" s="52" t="s">
        <v>118</v>
      </c>
    </row>
    <row r="376" spans="1:6" x14ac:dyDescent="0.3">
      <c r="A376" s="97">
        <v>45913</v>
      </c>
      <c r="B376" t="s">
        <v>56</v>
      </c>
      <c r="C376" s="11">
        <v>2700</v>
      </c>
      <c r="D376" s="11"/>
      <c r="E376" t="s">
        <v>66</v>
      </c>
      <c r="F376" s="52" t="s">
        <v>118</v>
      </c>
    </row>
    <row r="377" spans="1:6" x14ac:dyDescent="0.3">
      <c r="A377" s="97">
        <v>45913</v>
      </c>
      <c r="B377" t="s">
        <v>137</v>
      </c>
      <c r="C377" s="11">
        <v>18000</v>
      </c>
      <c r="D377" s="11"/>
      <c r="E377" t="s">
        <v>338</v>
      </c>
      <c r="F377" s="52" t="s">
        <v>117</v>
      </c>
    </row>
    <row r="378" spans="1:6" x14ac:dyDescent="0.3">
      <c r="A378" s="97">
        <v>45913</v>
      </c>
      <c r="B378" t="s">
        <v>102</v>
      </c>
      <c r="C378" s="11">
        <v>200000</v>
      </c>
      <c r="D378" s="11"/>
      <c r="E378" t="s">
        <v>128</v>
      </c>
      <c r="F378" s="52" t="s">
        <v>117</v>
      </c>
    </row>
    <row r="379" spans="1:6" x14ac:dyDescent="0.3">
      <c r="A379" s="97">
        <v>45913</v>
      </c>
      <c r="B379" t="s">
        <v>324</v>
      </c>
      <c r="C379" s="11"/>
      <c r="D379" s="11">
        <v>200000</v>
      </c>
      <c r="F379" s="52" t="s">
        <v>117</v>
      </c>
    </row>
    <row r="380" spans="1:6" x14ac:dyDescent="0.3">
      <c r="A380" s="97">
        <v>45913</v>
      </c>
      <c r="B380" t="s">
        <v>56</v>
      </c>
      <c r="C380" s="11">
        <v>300</v>
      </c>
      <c r="D380" s="11"/>
      <c r="F380" s="52" t="s">
        <v>118</v>
      </c>
    </row>
    <row r="381" spans="1:6" x14ac:dyDescent="0.3">
      <c r="A381" s="97">
        <v>45913</v>
      </c>
      <c r="B381" t="s">
        <v>24</v>
      </c>
      <c r="C381" s="47"/>
      <c r="D381" s="47">
        <v>25000</v>
      </c>
      <c r="F381" s="52" t="s">
        <v>118</v>
      </c>
    </row>
    <row r="382" spans="1:6" x14ac:dyDescent="0.3">
      <c r="A382" s="97">
        <v>45913</v>
      </c>
      <c r="B382" t="s">
        <v>152</v>
      </c>
      <c r="C382" s="47">
        <v>5000</v>
      </c>
      <c r="D382" s="47"/>
      <c r="E382" t="s">
        <v>176</v>
      </c>
      <c r="F382" s="52" t="s">
        <v>118</v>
      </c>
    </row>
    <row r="383" spans="1:6" x14ac:dyDescent="0.3">
      <c r="A383" s="97">
        <v>45912</v>
      </c>
      <c r="B383" t="s">
        <v>25</v>
      </c>
      <c r="C383" s="11"/>
      <c r="D383" s="11">
        <v>500000</v>
      </c>
      <c r="E383" t="s">
        <v>340</v>
      </c>
      <c r="F383" s="52" t="s">
        <v>117</v>
      </c>
    </row>
    <row r="384" spans="1:6" x14ac:dyDescent="0.3">
      <c r="A384" s="43">
        <v>45914</v>
      </c>
      <c r="B384" t="s">
        <v>102</v>
      </c>
      <c r="C384" s="47">
        <v>200700</v>
      </c>
      <c r="D384" s="47"/>
      <c r="E384" t="s">
        <v>128</v>
      </c>
      <c r="F384" s="52" t="s">
        <v>117</v>
      </c>
    </row>
    <row r="385" spans="1:7" x14ac:dyDescent="0.3">
      <c r="A385" s="97">
        <v>45914</v>
      </c>
      <c r="B385" t="s">
        <v>102</v>
      </c>
      <c r="C385" s="47">
        <v>41500</v>
      </c>
      <c r="D385" s="47"/>
      <c r="E385" t="s">
        <v>341</v>
      </c>
      <c r="F385" s="52" t="s">
        <v>117</v>
      </c>
    </row>
    <row r="386" spans="1:7" x14ac:dyDescent="0.3">
      <c r="A386" s="43">
        <v>45914</v>
      </c>
      <c r="B386" t="s">
        <v>137</v>
      </c>
      <c r="C386" s="11">
        <v>8637</v>
      </c>
      <c r="D386" s="11"/>
      <c r="F386" s="52" t="s">
        <v>117</v>
      </c>
    </row>
    <row r="387" spans="1:7" x14ac:dyDescent="0.3">
      <c r="A387" s="97">
        <v>45914</v>
      </c>
      <c r="B387" t="s">
        <v>295</v>
      </c>
      <c r="C387" s="11">
        <v>150000</v>
      </c>
      <c r="D387" s="11"/>
      <c r="F387" s="52" t="s">
        <v>117</v>
      </c>
    </row>
    <row r="388" spans="1:7" x14ac:dyDescent="0.3">
      <c r="A388" s="97">
        <v>45915</v>
      </c>
      <c r="B388" t="s">
        <v>102</v>
      </c>
      <c r="C388" s="11">
        <v>36750</v>
      </c>
      <c r="D388" s="11"/>
      <c r="E388" t="s">
        <v>330</v>
      </c>
      <c r="F388" s="52" t="s">
        <v>117</v>
      </c>
    </row>
    <row r="389" spans="1:7" x14ac:dyDescent="0.3">
      <c r="A389" s="97">
        <v>45915</v>
      </c>
      <c r="B389" t="s">
        <v>102</v>
      </c>
      <c r="C389" s="11">
        <v>37500</v>
      </c>
      <c r="D389" s="11"/>
      <c r="E389" t="s">
        <v>191</v>
      </c>
      <c r="F389" s="52" t="s">
        <v>117</v>
      </c>
    </row>
    <row r="390" spans="1:7" x14ac:dyDescent="0.3">
      <c r="A390" s="97">
        <v>45915</v>
      </c>
      <c r="B390" t="s">
        <v>102</v>
      </c>
      <c r="C390" s="11">
        <v>39500</v>
      </c>
      <c r="D390" s="11"/>
      <c r="E390" t="s">
        <v>344</v>
      </c>
      <c r="F390" s="52" t="s">
        <v>118</v>
      </c>
    </row>
    <row r="391" spans="1:7" x14ac:dyDescent="0.3">
      <c r="A391" s="97">
        <v>45915</v>
      </c>
      <c r="B391" t="s">
        <v>321</v>
      </c>
      <c r="C391" s="11">
        <v>4500</v>
      </c>
      <c r="D391" s="11"/>
      <c r="E391" t="s">
        <v>345</v>
      </c>
      <c r="F391" s="52" t="s">
        <v>117</v>
      </c>
    </row>
    <row r="392" spans="1:7" x14ac:dyDescent="0.3">
      <c r="A392" s="43">
        <v>45915</v>
      </c>
      <c r="B392" t="s">
        <v>57</v>
      </c>
      <c r="C392" s="47">
        <v>950</v>
      </c>
      <c r="D392" s="47"/>
      <c r="E392" t="s">
        <v>346</v>
      </c>
      <c r="F392" s="52" t="s">
        <v>118</v>
      </c>
    </row>
    <row r="393" spans="1:7" x14ac:dyDescent="0.3">
      <c r="A393" s="97">
        <v>45915</v>
      </c>
      <c r="B393" t="s">
        <v>118</v>
      </c>
      <c r="C393" s="11"/>
      <c r="D393" s="11"/>
      <c r="F393" s="52" t="s">
        <v>159</v>
      </c>
      <c r="G393">
        <v>45000</v>
      </c>
    </row>
    <row r="394" spans="1:7" x14ac:dyDescent="0.3">
      <c r="A394" s="97">
        <v>45915</v>
      </c>
      <c r="B394" t="s">
        <v>125</v>
      </c>
      <c r="C394" s="11"/>
      <c r="D394" s="11">
        <v>35000</v>
      </c>
      <c r="F394" s="52" t="s">
        <v>118</v>
      </c>
    </row>
    <row r="395" spans="1:7" x14ac:dyDescent="0.3">
      <c r="A395" s="97">
        <v>45915</v>
      </c>
      <c r="B395" t="s">
        <v>57</v>
      </c>
      <c r="C395" s="11">
        <v>400</v>
      </c>
      <c r="D395" s="11"/>
      <c r="F395" s="52" t="s">
        <v>118</v>
      </c>
    </row>
    <row r="396" spans="1:7" x14ac:dyDescent="0.3">
      <c r="A396" s="97">
        <v>45915</v>
      </c>
      <c r="B396" t="s">
        <v>57</v>
      </c>
      <c r="C396" s="11">
        <v>10520</v>
      </c>
      <c r="D396" s="11"/>
      <c r="E396" t="s">
        <v>347</v>
      </c>
      <c r="F396" s="52" t="s">
        <v>117</v>
      </c>
    </row>
    <row r="397" spans="1:7" x14ac:dyDescent="0.3">
      <c r="A397" s="97">
        <v>45915</v>
      </c>
      <c r="B397" t="s">
        <v>310</v>
      </c>
      <c r="C397" s="11"/>
      <c r="D397" s="11">
        <v>10520</v>
      </c>
      <c r="F397" s="52" t="s">
        <v>117</v>
      </c>
    </row>
    <row r="398" spans="1:7" x14ac:dyDescent="0.3">
      <c r="A398" s="43">
        <v>45915</v>
      </c>
      <c r="B398" t="s">
        <v>57</v>
      </c>
      <c r="C398" s="47">
        <f>910+200</f>
        <v>1110</v>
      </c>
      <c r="D398" s="47"/>
      <c r="E398" t="s">
        <v>348</v>
      </c>
      <c r="F398" s="52" t="s">
        <v>118</v>
      </c>
    </row>
    <row r="399" spans="1:7" x14ac:dyDescent="0.3">
      <c r="A399" s="97">
        <v>45915</v>
      </c>
      <c r="B399" t="s">
        <v>102</v>
      </c>
      <c r="C399" s="11">
        <v>27500</v>
      </c>
      <c r="D399" s="11"/>
      <c r="E399" t="s">
        <v>349</v>
      </c>
      <c r="F399" s="52" t="s">
        <v>118</v>
      </c>
    </row>
    <row r="400" spans="1:7" x14ac:dyDescent="0.3">
      <c r="A400" s="43">
        <v>45915</v>
      </c>
      <c r="B400" t="s">
        <v>21</v>
      </c>
      <c r="C400" s="47"/>
      <c r="D400" s="47">
        <v>115000</v>
      </c>
      <c r="E400" t="s">
        <v>350</v>
      </c>
      <c r="F400" s="52" t="s">
        <v>117</v>
      </c>
    </row>
    <row r="401" spans="1:6" x14ac:dyDescent="0.3">
      <c r="A401" s="97">
        <v>45915</v>
      </c>
      <c r="B401" t="s">
        <v>153</v>
      </c>
      <c r="C401" s="11">
        <v>115000</v>
      </c>
      <c r="D401" s="11"/>
      <c r="F401" s="52" t="s">
        <v>117</v>
      </c>
    </row>
    <row r="402" spans="1:6" x14ac:dyDescent="0.3">
      <c r="A402" s="43">
        <v>45915</v>
      </c>
      <c r="B402" t="s">
        <v>21</v>
      </c>
      <c r="C402" s="11"/>
      <c r="D402" s="11">
        <v>11000</v>
      </c>
      <c r="E402" t="s">
        <v>104</v>
      </c>
      <c r="F402" s="52" t="s">
        <v>117</v>
      </c>
    </row>
    <row r="403" spans="1:6" x14ac:dyDescent="0.3">
      <c r="A403" s="97">
        <v>45915</v>
      </c>
      <c r="B403" t="s">
        <v>104</v>
      </c>
      <c r="C403" s="11">
        <v>11000</v>
      </c>
      <c r="D403" s="11"/>
      <c r="F403" s="52" t="s">
        <v>117</v>
      </c>
    </row>
    <row r="404" spans="1:6" x14ac:dyDescent="0.3">
      <c r="A404" s="97">
        <v>45916</v>
      </c>
      <c r="B404" t="s">
        <v>194</v>
      </c>
      <c r="C404" s="11">
        <v>40000</v>
      </c>
      <c r="D404" s="11"/>
      <c r="E404" t="s">
        <v>179</v>
      </c>
      <c r="F404" s="52" t="s">
        <v>117</v>
      </c>
    </row>
    <row r="405" spans="1:6" x14ac:dyDescent="0.3">
      <c r="A405" s="43">
        <v>45916</v>
      </c>
      <c r="B405" t="s">
        <v>152</v>
      </c>
      <c r="C405" s="47">
        <v>10000</v>
      </c>
      <c r="D405" s="47"/>
      <c r="E405" t="s">
        <v>241</v>
      </c>
      <c r="F405" s="52" t="s">
        <v>117</v>
      </c>
    </row>
    <row r="406" spans="1:6" x14ac:dyDescent="0.3">
      <c r="A406" s="43"/>
      <c r="C406" s="14">
        <f>SUBTOTAL(109,Table14[Debit])</f>
        <v>11353933</v>
      </c>
      <c r="D406" s="14">
        <f>SUBTOTAL(109,Table14[Credit])</f>
        <v>11324846</v>
      </c>
      <c r="F406" s="62">
        <f>(Table14[[#Totals],[Credit]]-Table14[[#Totals],[Debit]])</f>
        <v>-29087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56"/>
  <sheetViews>
    <sheetView topLeftCell="A31" zoomScale="93" zoomScaleNormal="210" workbookViewId="0">
      <selection activeCell="C34" sqref="C34:C55"/>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78</v>
      </c>
      <c r="B1" s="2" t="s">
        <v>198</v>
      </c>
      <c r="C1" s="2" t="s">
        <v>199</v>
      </c>
      <c r="D1" s="8" t="s">
        <v>4</v>
      </c>
      <c r="E1" s="8" t="s">
        <v>200</v>
      </c>
      <c r="F1" s="8" t="s">
        <v>119</v>
      </c>
      <c r="G1" s="8" t="s">
        <v>100</v>
      </c>
      <c r="H1" s="8" t="s">
        <v>18</v>
      </c>
      <c r="I1" s="8" t="s">
        <v>201</v>
      </c>
    </row>
    <row r="2" spans="1:14" x14ac:dyDescent="0.3">
      <c r="A2" s="93">
        <v>45885</v>
      </c>
      <c r="B2" s="90" t="s">
        <v>66</v>
      </c>
      <c r="C2" s="90"/>
      <c r="D2" s="90"/>
      <c r="E2" s="90"/>
      <c r="F2" s="90" t="s">
        <v>143</v>
      </c>
      <c r="G2" s="90"/>
      <c r="H2" s="90">
        <v>567500</v>
      </c>
      <c r="I2" s="90" t="s">
        <v>202</v>
      </c>
      <c r="K2" t="s">
        <v>78</v>
      </c>
      <c r="L2" t="s">
        <v>47</v>
      </c>
      <c r="M2" t="s">
        <v>38</v>
      </c>
      <c r="N2" t="s">
        <v>5</v>
      </c>
    </row>
    <row r="3" spans="1:14" hidden="1" x14ac:dyDescent="0.3">
      <c r="A3" s="1">
        <v>45885</v>
      </c>
      <c r="B3" t="s">
        <v>138</v>
      </c>
      <c r="E3">
        <v>114250</v>
      </c>
      <c r="G3">
        <v>114250</v>
      </c>
      <c r="H3">
        <f>Table8[[#This Row],[Price]]-Table8[[#This Row],[Paid]]</f>
        <v>0</v>
      </c>
      <c r="I3" t="s">
        <v>66</v>
      </c>
      <c r="K3" s="1"/>
      <c r="L3" t="s">
        <v>203</v>
      </c>
      <c r="N3" s="11">
        <f t="shared" ref="N3" si="0">47000+28750</f>
        <v>75750</v>
      </c>
    </row>
    <row r="4" spans="1:14" x14ac:dyDescent="0.3">
      <c r="A4" s="1">
        <v>45888</v>
      </c>
      <c r="B4" t="s">
        <v>138</v>
      </c>
      <c r="F4" t="s">
        <v>143</v>
      </c>
      <c r="G4">
        <f>SUMIFS(Table14[Debit], Table14[Date], Table8[[#This Row],[Date]], Table14[Party], F2)</f>
        <v>567500</v>
      </c>
      <c r="H4">
        <f>Table8[[#This Row],[Price]]-Table8[[#This Row],[Paid]]</f>
        <v>-567500</v>
      </c>
      <c r="K4" s="1"/>
      <c r="N4" s="11"/>
    </row>
    <row r="5" spans="1:14" hidden="1" x14ac:dyDescent="0.3">
      <c r="A5" s="1">
        <v>45888</v>
      </c>
      <c r="B5" t="s">
        <v>138</v>
      </c>
      <c r="E5">
        <v>46500</v>
      </c>
      <c r="G5">
        <f>SUMIFS(Table14[Debit], Table14[Date], Table8[[#This Row],[Date]], Table14[Party], Table8[[#This Row],[Chemical Name]],Table14[Description],Table8[[#This Row],[info]])</f>
        <v>46500</v>
      </c>
      <c r="H5">
        <f>Table8[[#This Row],[Price]]-Table8[[#This Row],[Paid]]</f>
        <v>0</v>
      </c>
      <c r="I5" t="s">
        <v>139</v>
      </c>
      <c r="K5" s="1"/>
      <c r="N5" s="14">
        <f>SUM(Table7[Total])</f>
        <v>75750</v>
      </c>
    </row>
    <row r="6" spans="1:14" hidden="1" x14ac:dyDescent="0.3">
      <c r="A6" s="1">
        <v>45888</v>
      </c>
      <c r="B6" t="s">
        <v>138</v>
      </c>
      <c r="E6">
        <v>13600</v>
      </c>
      <c r="G6">
        <f>SUMIFS(Table14[Debit], Table14[Date], Table8[[#This Row],[Date]], Table14[Party], Table8[[#This Row],[Chemical Name]],Table14[Description],Table8[[#This Row],[info]])</f>
        <v>13600</v>
      </c>
      <c r="H6">
        <f>Table8[[#This Row],[Price]]-Table8[[#This Row],[Paid]]</f>
        <v>0</v>
      </c>
      <c r="I6" t="s">
        <v>140</v>
      </c>
    </row>
    <row r="7" spans="1:14" x14ac:dyDescent="0.3">
      <c r="A7" s="1">
        <v>45889</v>
      </c>
      <c r="B7" t="s">
        <v>204</v>
      </c>
      <c r="C7">
        <v>6</v>
      </c>
      <c r="D7">
        <v>920</v>
      </c>
      <c r="E7">
        <f>Table8[[#This Row],[Boxes]]*Table8[[#This Row],[Rate]]*25</f>
        <v>138000</v>
      </c>
      <c r="F7" t="s">
        <v>143</v>
      </c>
      <c r="H7">
        <f>Table8[[#This Row],[Price]]-Table8[[#This Row],[Paid]]</f>
        <v>138000</v>
      </c>
      <c r="K7" s="3" t="s">
        <v>119</v>
      </c>
      <c r="L7" t="s">
        <v>143</v>
      </c>
    </row>
    <row r="8" spans="1:14" x14ac:dyDescent="0.3">
      <c r="A8" s="1">
        <v>45889</v>
      </c>
      <c r="B8" t="s">
        <v>205</v>
      </c>
      <c r="C8">
        <v>3</v>
      </c>
      <c r="D8">
        <v>1130</v>
      </c>
      <c r="E8">
        <f>Table8[[#This Row],[Boxes]]*Table8[[#This Row],[Rate]]*25</f>
        <v>84750</v>
      </c>
      <c r="F8" t="s">
        <v>143</v>
      </c>
      <c r="H8">
        <f>Table8[[#This Row],[Price]]-Table8[[#This Row],[Paid]]</f>
        <v>84750</v>
      </c>
    </row>
    <row r="9" spans="1:14" x14ac:dyDescent="0.3">
      <c r="A9" s="1">
        <v>45889</v>
      </c>
      <c r="B9" t="s">
        <v>206</v>
      </c>
      <c r="C9">
        <v>3</v>
      </c>
      <c r="D9">
        <v>1130</v>
      </c>
      <c r="E9">
        <f>Table8[[#This Row],[Boxes]]*Table8[[#This Row],[Rate]]*25</f>
        <v>84750</v>
      </c>
      <c r="F9" t="s">
        <v>143</v>
      </c>
      <c r="H9">
        <f>Table8[[#This Row],[Price]]-Table8[[#This Row],[Paid]]</f>
        <v>84750</v>
      </c>
      <c r="K9" s="3" t="s">
        <v>6</v>
      </c>
      <c r="L9" t="s">
        <v>207</v>
      </c>
      <c r="M9" t="s">
        <v>208</v>
      </c>
    </row>
    <row r="10" spans="1:14" x14ac:dyDescent="0.3">
      <c r="A10" s="1">
        <v>45889</v>
      </c>
      <c r="B10" t="s">
        <v>209</v>
      </c>
      <c r="C10">
        <v>3</v>
      </c>
      <c r="D10">
        <v>1340</v>
      </c>
      <c r="E10">
        <f>Table8[[#This Row],[Boxes]]*Table8[[#This Row],[Rate]]*25</f>
        <v>100500</v>
      </c>
      <c r="F10" t="s">
        <v>143</v>
      </c>
      <c r="H10">
        <f>Table8[[#This Row],[Price]]-Table8[[#This Row],[Paid]]</f>
        <v>100500</v>
      </c>
      <c r="K10" s="27">
        <v>45888</v>
      </c>
      <c r="L10" s="118"/>
      <c r="M10" s="118">
        <v>-567500</v>
      </c>
    </row>
    <row r="11" spans="1:14" x14ac:dyDescent="0.3">
      <c r="A11" s="1">
        <v>45889</v>
      </c>
      <c r="B11" t="s">
        <v>210</v>
      </c>
      <c r="C11">
        <v>2</v>
      </c>
      <c r="D11">
        <v>1130</v>
      </c>
      <c r="E11">
        <f>Table8[[#This Row],[Boxes]]*Table8[[#This Row],[Rate]]*25</f>
        <v>56500</v>
      </c>
      <c r="F11" t="s">
        <v>143</v>
      </c>
      <c r="H11">
        <f>Table8[[#This Row],[Price]]-Table8[[#This Row],[Paid]]</f>
        <v>56500</v>
      </c>
      <c r="K11" s="27">
        <v>45889</v>
      </c>
      <c r="L11" s="118">
        <v>659500</v>
      </c>
      <c r="M11" s="118">
        <v>659500</v>
      </c>
    </row>
    <row r="12" spans="1:14" x14ac:dyDescent="0.3">
      <c r="A12" s="1">
        <v>45889</v>
      </c>
      <c r="B12" t="s">
        <v>211</v>
      </c>
      <c r="C12">
        <v>2</v>
      </c>
      <c r="D12">
        <v>1650</v>
      </c>
      <c r="E12">
        <f>Table8[[#This Row],[Boxes]]*Table8[[#This Row],[Rate]]*25</f>
        <v>82500</v>
      </c>
      <c r="F12" t="s">
        <v>143</v>
      </c>
      <c r="H12">
        <f>Table8[[#This Row],[Price]]-Table8[[#This Row],[Paid]]</f>
        <v>82500</v>
      </c>
      <c r="K12" s="27">
        <v>45892</v>
      </c>
      <c r="L12" s="118">
        <v>154500</v>
      </c>
      <c r="M12" s="118">
        <v>154500</v>
      </c>
    </row>
    <row r="13" spans="1:14" x14ac:dyDescent="0.3">
      <c r="A13" s="1">
        <v>45889</v>
      </c>
      <c r="B13" t="s">
        <v>212</v>
      </c>
      <c r="C13">
        <v>1</v>
      </c>
      <c r="D13">
        <v>1400</v>
      </c>
      <c r="E13">
        <f>Table8[[#This Row],[Boxes]]*Table8[[#This Row],[Rate]]*25</f>
        <v>35000</v>
      </c>
      <c r="F13" t="s">
        <v>143</v>
      </c>
      <c r="H13">
        <f>Table8[[#This Row],[Price]]-Table8[[#This Row],[Paid]]</f>
        <v>35000</v>
      </c>
      <c r="K13" s="27">
        <v>45885</v>
      </c>
      <c r="L13" s="118"/>
      <c r="M13" s="118">
        <v>567500</v>
      </c>
    </row>
    <row r="14" spans="1:14" x14ac:dyDescent="0.3">
      <c r="A14" s="1">
        <v>45889</v>
      </c>
      <c r="B14" t="s">
        <v>213</v>
      </c>
      <c r="C14">
        <v>1</v>
      </c>
      <c r="D14">
        <v>1450</v>
      </c>
      <c r="E14">
        <f>Table8[[#This Row],[Boxes]]*Table8[[#This Row],[Rate]]*25</f>
        <v>36250</v>
      </c>
      <c r="F14" t="s">
        <v>143</v>
      </c>
      <c r="H14">
        <f>Table8[[#This Row],[Price]]-Table8[[#This Row],[Paid]]</f>
        <v>36250</v>
      </c>
      <c r="K14" s="27">
        <v>45910</v>
      </c>
      <c r="L14" s="118"/>
      <c r="M14" s="118">
        <v>-500000</v>
      </c>
    </row>
    <row r="15" spans="1:14" x14ac:dyDescent="0.3">
      <c r="A15" s="1">
        <v>45889</v>
      </c>
      <c r="B15" t="s">
        <v>214</v>
      </c>
      <c r="C15">
        <v>1</v>
      </c>
      <c r="D15">
        <v>1650</v>
      </c>
      <c r="E15">
        <f>Table8[[#This Row],[Boxes]]*Table8[[#This Row],[Rate]]*25</f>
        <v>41250</v>
      </c>
      <c r="F15" t="s">
        <v>143</v>
      </c>
      <c r="H15">
        <f>Table8[[#This Row],[Price]]-Table8[[#This Row],[Paid]]</f>
        <v>41250</v>
      </c>
      <c r="K15" s="27">
        <v>45913</v>
      </c>
      <c r="L15" s="118">
        <v>394000</v>
      </c>
      <c r="M15" s="118">
        <v>394000</v>
      </c>
    </row>
    <row r="16" spans="1:14" hidden="1" x14ac:dyDescent="0.3">
      <c r="A16" s="1">
        <v>45892</v>
      </c>
      <c r="B16" t="s">
        <v>171</v>
      </c>
      <c r="C16">
        <v>1</v>
      </c>
      <c r="E16">
        <v>12000</v>
      </c>
      <c r="F16" t="s">
        <v>105</v>
      </c>
      <c r="G16">
        <f>SUMIFS(Table14[Debit], Table14[Date], Table8[[#This Row],[Date]], Table14[Party], "Chemicals",Table14[Description], Table8[[#This Row],[Chemical Name]])</f>
        <v>12000</v>
      </c>
      <c r="H16">
        <f>Table8[[#This Row],[Price]]-Table8[[#This Row],[Paid]]</f>
        <v>0</v>
      </c>
      <c r="K16" s="4" t="s">
        <v>28</v>
      </c>
      <c r="L16" s="118">
        <v>1208000</v>
      </c>
      <c r="M16" s="118">
        <v>708000</v>
      </c>
    </row>
    <row r="17" spans="1:9" x14ac:dyDescent="0.3">
      <c r="A17" s="1">
        <v>45892</v>
      </c>
      <c r="B17" t="s">
        <v>238</v>
      </c>
      <c r="C17">
        <v>3</v>
      </c>
      <c r="D17">
        <v>1300</v>
      </c>
      <c r="E17">
        <f>Table8[[#This Row],[Boxes]]*Table8[[#This Row],[Rate]]*25</f>
        <v>97500</v>
      </c>
      <c r="F17" t="s">
        <v>143</v>
      </c>
      <c r="H17">
        <f>Table8[[#This Row],[Price]]-Table8[[#This Row],[Paid]]</f>
        <v>97500</v>
      </c>
    </row>
    <row r="18" spans="1:9" x14ac:dyDescent="0.3">
      <c r="A18" s="1">
        <v>45892</v>
      </c>
      <c r="B18" t="s">
        <v>239</v>
      </c>
      <c r="C18">
        <v>2</v>
      </c>
      <c r="D18">
        <v>1140</v>
      </c>
      <c r="E18">
        <f>Table8[[#This Row],[Boxes]]*Table8[[#This Row],[Rate]]*25</f>
        <v>57000</v>
      </c>
      <c r="F18" t="s">
        <v>143</v>
      </c>
      <c r="H18">
        <f>Table8[[#This Row],[Price]]-Table8[[#This Row],[Paid]]</f>
        <v>57000</v>
      </c>
    </row>
    <row r="19" spans="1:9" x14ac:dyDescent="0.3">
      <c r="A19" s="1">
        <v>45910</v>
      </c>
      <c r="B19" t="s">
        <v>66</v>
      </c>
      <c r="F19" t="s">
        <v>143</v>
      </c>
      <c r="G19">
        <f>SUMIFS(Table14[Debit], Table14[Date], Table8[[#This Row],[Date]], Table14[Party], Table8[[#This Row],[Party]])</f>
        <v>500000</v>
      </c>
      <c r="H19">
        <f>Table8[[#This Row],[Price]]-Table8[[#This Row],[Paid]]</f>
        <v>-500000</v>
      </c>
    </row>
    <row r="20" spans="1:9" hidden="1" x14ac:dyDescent="0.3">
      <c r="A20" s="1">
        <v>45910</v>
      </c>
      <c r="B20" t="s">
        <v>206</v>
      </c>
      <c r="C20">
        <v>1</v>
      </c>
      <c r="E20">
        <v>28500</v>
      </c>
      <c r="F20" t="s">
        <v>105</v>
      </c>
      <c r="G20">
        <v>28500</v>
      </c>
      <c r="H20">
        <f>Table8[[#This Row],[Price]]-Table8[[#This Row],[Paid]]</f>
        <v>0</v>
      </c>
    </row>
    <row r="21" spans="1:9" hidden="1" x14ac:dyDescent="0.3">
      <c r="A21" s="1">
        <v>45910</v>
      </c>
      <c r="B21" t="s">
        <v>205</v>
      </c>
      <c r="C21">
        <v>1</v>
      </c>
      <c r="E21">
        <v>28500</v>
      </c>
      <c r="G21">
        <v>28500</v>
      </c>
      <c r="H21">
        <f>Table8[[#This Row],[Price]]-Table8[[#This Row],[Paid]]</f>
        <v>0</v>
      </c>
    </row>
    <row r="22" spans="1:9" hidden="1" x14ac:dyDescent="0.3">
      <c r="A22" s="1">
        <v>45913</v>
      </c>
      <c r="B22" t="s">
        <v>66</v>
      </c>
      <c r="E22">
        <v>32800</v>
      </c>
      <c r="G22">
        <v>32800</v>
      </c>
      <c r="H22">
        <f>Table8[[#This Row],[Price]]-Table8[[#This Row],[Paid]]</f>
        <v>0</v>
      </c>
      <c r="I22" t="s">
        <v>339</v>
      </c>
    </row>
    <row r="23" spans="1:9" x14ac:dyDescent="0.3">
      <c r="A23" s="1">
        <v>45913</v>
      </c>
      <c r="B23" t="s">
        <v>206</v>
      </c>
      <c r="C23">
        <v>2</v>
      </c>
      <c r="D23">
        <v>1140</v>
      </c>
      <c r="E23">
        <f>Table8[[#This Row],[Boxes]]*Table8[[#This Row],[Rate]]*25</f>
        <v>57000</v>
      </c>
      <c r="F23" t="s">
        <v>143</v>
      </c>
      <c r="H23">
        <f>Table8[[#This Row],[Price]]-Table8[[#This Row],[Paid]]</f>
        <v>57000</v>
      </c>
    </row>
    <row r="24" spans="1:9" x14ac:dyDescent="0.3">
      <c r="A24" s="1">
        <v>45913</v>
      </c>
      <c r="B24" t="s">
        <v>239</v>
      </c>
      <c r="C24">
        <v>2</v>
      </c>
      <c r="D24">
        <v>1140</v>
      </c>
      <c r="E24">
        <f>Table8[[#This Row],[Boxes]]*Table8[[#This Row],[Rate]]*25</f>
        <v>57000</v>
      </c>
      <c r="F24" t="s">
        <v>143</v>
      </c>
      <c r="H24">
        <f>Table8[[#This Row],[Price]]-Table8[[#This Row],[Paid]]</f>
        <v>57000</v>
      </c>
    </row>
    <row r="25" spans="1:9" x14ac:dyDescent="0.3">
      <c r="A25" s="1">
        <v>45913</v>
      </c>
      <c r="B25" t="s">
        <v>238</v>
      </c>
      <c r="C25">
        <v>2</v>
      </c>
      <c r="D25">
        <v>1300</v>
      </c>
      <c r="E25">
        <f>Table8[[#This Row],[Boxes]]*Table8[[#This Row],[Rate]]*25</f>
        <v>65000</v>
      </c>
      <c r="F25" t="s">
        <v>143</v>
      </c>
      <c r="H25">
        <f>Table8[[#This Row],[Price]]-Table8[[#This Row],[Paid]]</f>
        <v>65000</v>
      </c>
    </row>
    <row r="26" spans="1:9" x14ac:dyDescent="0.3">
      <c r="A26" s="1">
        <v>45913</v>
      </c>
      <c r="B26" t="s">
        <v>204</v>
      </c>
      <c r="C26">
        <v>2</v>
      </c>
      <c r="D26">
        <v>920</v>
      </c>
      <c r="E26">
        <f>Table8[[#This Row],[Boxes]]*Table8[[#This Row],[Rate]]*25</f>
        <v>46000</v>
      </c>
      <c r="F26" t="s">
        <v>143</v>
      </c>
      <c r="H26">
        <f>Table8[[#This Row],[Price]]-Table8[[#This Row],[Paid]]</f>
        <v>46000</v>
      </c>
    </row>
    <row r="27" spans="1:9" x14ac:dyDescent="0.3">
      <c r="A27" s="1">
        <v>45913</v>
      </c>
      <c r="B27" t="s">
        <v>205</v>
      </c>
      <c r="C27">
        <v>2</v>
      </c>
      <c r="D27">
        <v>1130</v>
      </c>
      <c r="E27">
        <f>Table8[[#This Row],[Boxes]]*Table8[[#This Row],[Rate]]*25</f>
        <v>56500</v>
      </c>
      <c r="F27" t="s">
        <v>143</v>
      </c>
      <c r="H27">
        <f>Table8[[#This Row],[Price]]-Table8[[#This Row],[Paid]]</f>
        <v>56500</v>
      </c>
    </row>
    <row r="28" spans="1:9" x14ac:dyDescent="0.3">
      <c r="A28" s="1">
        <v>45913</v>
      </c>
      <c r="B28" t="s">
        <v>342</v>
      </c>
      <c r="C28">
        <v>1</v>
      </c>
      <c r="D28">
        <v>3100</v>
      </c>
      <c r="E28">
        <f>Table8[[#This Row],[Boxes]]*Table8[[#This Row],[Rate]]*25</f>
        <v>77500</v>
      </c>
      <c r="F28" t="s">
        <v>143</v>
      </c>
      <c r="H28">
        <f>Table8[[#This Row],[Price]]-Table8[[#This Row],[Paid]]</f>
        <v>77500</v>
      </c>
    </row>
    <row r="29" spans="1:9" x14ac:dyDescent="0.3">
      <c r="A29" s="1">
        <v>45913</v>
      </c>
      <c r="B29" t="s">
        <v>212</v>
      </c>
      <c r="C29">
        <v>1</v>
      </c>
      <c r="D29">
        <v>1400</v>
      </c>
      <c r="E29">
        <f>Table8[[#This Row],[Boxes]]*Table8[[#This Row],[Rate]]*25</f>
        <v>35000</v>
      </c>
      <c r="F29" t="s">
        <v>143</v>
      </c>
      <c r="H29">
        <f>Table8[[#This Row],[Price]]-Table8[[#This Row],[Paid]]</f>
        <v>35000</v>
      </c>
    </row>
    <row r="30" spans="1:9" x14ac:dyDescent="0.3">
      <c r="E30">
        <f>SUBTOTAL(109,Table8[Price])</f>
        <v>1208000</v>
      </c>
      <c r="H30">
        <f>SUBTOTAL(109,Table8[Balance])</f>
        <v>708000</v>
      </c>
    </row>
    <row r="33" spans="1:5" x14ac:dyDescent="0.3">
      <c r="A33" t="s">
        <v>59</v>
      </c>
      <c r="B33" t="s">
        <v>351</v>
      </c>
      <c r="C33" t="s">
        <v>352</v>
      </c>
      <c r="D33" t="s">
        <v>4</v>
      </c>
      <c r="E33" t="s">
        <v>353</v>
      </c>
    </row>
    <row r="34" spans="1:5" x14ac:dyDescent="0.3">
      <c r="A34" t="s">
        <v>212</v>
      </c>
      <c r="B34">
        <v>1</v>
      </c>
      <c r="C34">
        <f>B34*25</f>
        <v>25</v>
      </c>
      <c r="D34">
        <v>1400</v>
      </c>
      <c r="E34">
        <f>D34*C34</f>
        <v>35000</v>
      </c>
    </row>
    <row r="35" spans="1:5" x14ac:dyDescent="0.3">
      <c r="A35" t="s">
        <v>209</v>
      </c>
      <c r="B35">
        <v>1</v>
      </c>
      <c r="C35">
        <f t="shared" ref="C35:C40" si="1">B35*25</f>
        <v>25</v>
      </c>
      <c r="D35">
        <v>1340</v>
      </c>
      <c r="E35">
        <f t="shared" ref="E35:E40" si="2">D35*C35</f>
        <v>33500</v>
      </c>
    </row>
    <row r="36" spans="1:5" x14ac:dyDescent="0.3">
      <c r="A36" t="s">
        <v>239</v>
      </c>
      <c r="B36">
        <v>2</v>
      </c>
      <c r="C36">
        <f t="shared" si="1"/>
        <v>50</v>
      </c>
      <c r="D36">
        <v>1140</v>
      </c>
      <c r="E36">
        <f t="shared" si="2"/>
        <v>57000</v>
      </c>
    </row>
    <row r="37" spans="1:5" x14ac:dyDescent="0.3">
      <c r="A37" t="s">
        <v>206</v>
      </c>
      <c r="B37">
        <v>1</v>
      </c>
      <c r="C37">
        <f t="shared" si="1"/>
        <v>25</v>
      </c>
      <c r="D37">
        <v>1140</v>
      </c>
      <c r="E37">
        <f t="shared" si="2"/>
        <v>28500</v>
      </c>
    </row>
    <row r="38" spans="1:5" x14ac:dyDescent="0.3">
      <c r="A38" t="s">
        <v>205</v>
      </c>
      <c r="B38">
        <v>2</v>
      </c>
      <c r="C38">
        <f t="shared" si="1"/>
        <v>50</v>
      </c>
      <c r="D38">
        <v>1130</v>
      </c>
      <c r="E38">
        <f t="shared" si="2"/>
        <v>56500</v>
      </c>
    </row>
    <row r="39" spans="1:5" x14ac:dyDescent="0.3">
      <c r="A39" t="s">
        <v>238</v>
      </c>
      <c r="B39">
        <v>1</v>
      </c>
      <c r="C39">
        <f t="shared" si="1"/>
        <v>25</v>
      </c>
      <c r="D39">
        <v>1300</v>
      </c>
      <c r="E39">
        <f t="shared" si="2"/>
        <v>32500</v>
      </c>
    </row>
    <row r="40" spans="1:5" x14ac:dyDescent="0.3">
      <c r="A40" s="19" t="s">
        <v>213</v>
      </c>
      <c r="B40" s="19">
        <v>1</v>
      </c>
      <c r="C40" s="19">
        <f t="shared" si="1"/>
        <v>25</v>
      </c>
      <c r="D40" s="19">
        <v>1450</v>
      </c>
      <c r="E40" s="19">
        <f t="shared" si="2"/>
        <v>36250</v>
      </c>
    </row>
    <row r="41" spans="1:5" x14ac:dyDescent="0.3">
      <c r="A41" t="s">
        <v>354</v>
      </c>
      <c r="C41">
        <v>6</v>
      </c>
      <c r="D41">
        <v>940</v>
      </c>
      <c r="E41">
        <f t="shared" ref="E41:E46" si="3">D41*C41</f>
        <v>5640</v>
      </c>
    </row>
    <row r="42" spans="1:5" x14ac:dyDescent="0.3">
      <c r="A42" t="s">
        <v>205</v>
      </c>
      <c r="C42">
        <v>8</v>
      </c>
      <c r="D42">
        <v>1130</v>
      </c>
      <c r="E42">
        <f t="shared" si="3"/>
        <v>9040</v>
      </c>
    </row>
    <row r="43" spans="1:5" x14ac:dyDescent="0.3">
      <c r="A43" t="s">
        <v>238</v>
      </c>
      <c r="C43">
        <v>10</v>
      </c>
      <c r="D43">
        <v>1300</v>
      </c>
      <c r="E43">
        <f t="shared" si="3"/>
        <v>13000</v>
      </c>
    </row>
    <row r="44" spans="1:5" x14ac:dyDescent="0.3">
      <c r="A44" t="s">
        <v>214</v>
      </c>
      <c r="C44">
        <v>9</v>
      </c>
      <c r="D44">
        <v>1650</v>
      </c>
      <c r="E44">
        <f t="shared" si="3"/>
        <v>14850</v>
      </c>
    </row>
    <row r="45" spans="1:5" x14ac:dyDescent="0.3">
      <c r="A45" t="s">
        <v>209</v>
      </c>
      <c r="C45">
        <v>5</v>
      </c>
      <c r="D45">
        <v>1340</v>
      </c>
      <c r="E45">
        <f t="shared" si="3"/>
        <v>6700</v>
      </c>
    </row>
    <row r="46" spans="1:5" x14ac:dyDescent="0.3">
      <c r="A46" t="s">
        <v>213</v>
      </c>
      <c r="C46">
        <v>20</v>
      </c>
      <c r="D46">
        <v>1450</v>
      </c>
      <c r="E46">
        <f t="shared" si="3"/>
        <v>29000</v>
      </c>
    </row>
    <row r="47" spans="1:5" x14ac:dyDescent="0.3">
      <c r="A47" t="s">
        <v>212</v>
      </c>
      <c r="C47">
        <v>8</v>
      </c>
      <c r="D47">
        <v>1400</v>
      </c>
      <c r="E47">
        <f t="shared" ref="E47:E49" si="4">D47*C47</f>
        <v>11200</v>
      </c>
    </row>
    <row r="48" spans="1:5" x14ac:dyDescent="0.3">
      <c r="A48" t="s">
        <v>355</v>
      </c>
      <c r="C48">
        <v>2</v>
      </c>
      <c r="D48">
        <v>1000</v>
      </c>
      <c r="E48">
        <f t="shared" si="4"/>
        <v>2000</v>
      </c>
    </row>
    <row r="49" spans="1:5" x14ac:dyDescent="0.3">
      <c r="A49" t="s">
        <v>211</v>
      </c>
      <c r="C49">
        <v>20</v>
      </c>
      <c r="D49">
        <v>1650</v>
      </c>
      <c r="E49">
        <f t="shared" si="4"/>
        <v>33000</v>
      </c>
    </row>
    <row r="50" spans="1:5" x14ac:dyDescent="0.3">
      <c r="A50" t="s">
        <v>139</v>
      </c>
      <c r="C50">
        <v>15</v>
      </c>
      <c r="D50">
        <v>1130</v>
      </c>
      <c r="E50">
        <f t="shared" ref="E50:E55" si="5">D50*C50</f>
        <v>16950</v>
      </c>
    </row>
    <row r="51" spans="1:5" x14ac:dyDescent="0.3">
      <c r="A51" t="s">
        <v>342</v>
      </c>
      <c r="C51">
        <v>25</v>
      </c>
      <c r="D51">
        <v>3100</v>
      </c>
      <c r="E51">
        <f t="shared" si="5"/>
        <v>77500</v>
      </c>
    </row>
    <row r="52" spans="1:5" x14ac:dyDescent="0.3">
      <c r="A52" t="s">
        <v>206</v>
      </c>
      <c r="C52">
        <v>10</v>
      </c>
      <c r="D52">
        <v>1140</v>
      </c>
      <c r="E52">
        <f t="shared" si="5"/>
        <v>11400</v>
      </c>
    </row>
    <row r="53" spans="1:5" x14ac:dyDescent="0.3">
      <c r="A53" t="s">
        <v>239</v>
      </c>
      <c r="C53">
        <v>5</v>
      </c>
      <c r="D53">
        <v>1140</v>
      </c>
      <c r="E53">
        <f t="shared" si="5"/>
        <v>5700</v>
      </c>
    </row>
    <row r="54" spans="1:5" x14ac:dyDescent="0.3">
      <c r="A54" t="s">
        <v>356</v>
      </c>
      <c r="C54">
        <v>9</v>
      </c>
      <c r="D54">
        <v>1000</v>
      </c>
      <c r="E54">
        <f t="shared" si="5"/>
        <v>9000</v>
      </c>
    </row>
    <row r="55" spans="1:5" x14ac:dyDescent="0.3">
      <c r="A55" t="s">
        <v>357</v>
      </c>
      <c r="C55">
        <v>10</v>
      </c>
      <c r="D55">
        <v>1000</v>
      </c>
      <c r="E55">
        <f t="shared" si="5"/>
        <v>10000</v>
      </c>
    </row>
    <row r="56" spans="1:5" x14ac:dyDescent="0.3">
      <c r="E56">
        <f>SUM(Table24[total])</f>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workbookViewId="0">
      <selection activeCell="F129" sqref="F129"/>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78</v>
      </c>
      <c r="B4" s="8" t="s">
        <v>2</v>
      </c>
      <c r="C4" s="2" t="s">
        <v>215</v>
      </c>
      <c r="D4" s="2" t="s">
        <v>199</v>
      </c>
      <c r="E4" s="8" t="s">
        <v>216</v>
      </c>
      <c r="F4" s="8" t="s">
        <v>200</v>
      </c>
      <c r="G4" s="8" t="s">
        <v>100</v>
      </c>
      <c r="H4" s="8" t="s">
        <v>18</v>
      </c>
      <c r="J4" s="3" t="s">
        <v>6</v>
      </c>
      <c r="K4" t="s">
        <v>207</v>
      </c>
      <c r="L4" t="s">
        <v>110</v>
      </c>
      <c r="M4" t="s">
        <v>208</v>
      </c>
    </row>
    <row r="5" spans="1:13" x14ac:dyDescent="0.3">
      <c r="A5" s="93">
        <v>45885</v>
      </c>
      <c r="B5" s="93" t="s">
        <v>153</v>
      </c>
      <c r="C5" s="90" t="s">
        <v>88</v>
      </c>
      <c r="D5" s="90"/>
      <c r="E5" s="90"/>
      <c r="F5" s="90"/>
      <c r="G5" s="90">
        <f>SUMIFS(Table14[Debit], Table14[Date], Table2[[#This Row],[Date]], Table14[Party], Table2[[#This Row],[Party Name]])</f>
        <v>0</v>
      </c>
      <c r="H5" s="90">
        <v>95000</v>
      </c>
      <c r="J5" s="4" t="s">
        <v>153</v>
      </c>
      <c r="K5" s="118">
        <v>75000</v>
      </c>
      <c r="L5" s="118">
        <v>175000</v>
      </c>
      <c r="M5" s="118">
        <v>-5000</v>
      </c>
    </row>
    <row r="6" spans="1:13" x14ac:dyDescent="0.3">
      <c r="A6" s="1">
        <v>45885</v>
      </c>
      <c r="B6" s="1" t="s">
        <v>105</v>
      </c>
      <c r="C6" t="s">
        <v>63</v>
      </c>
      <c r="D6">
        <v>10</v>
      </c>
      <c r="F6">
        <v>69950</v>
      </c>
      <c r="G6">
        <v>69950</v>
      </c>
      <c r="H6">
        <f>Table2[[#This Row],[Price]]-Table2[[#This Row],[Paid]]</f>
        <v>0</v>
      </c>
      <c r="J6" s="4" t="s">
        <v>105</v>
      </c>
      <c r="K6" s="118">
        <v>123050</v>
      </c>
      <c r="L6" s="118">
        <v>123050</v>
      </c>
      <c r="M6" s="118">
        <v>0</v>
      </c>
    </row>
    <row r="7" spans="1:13" x14ac:dyDescent="0.3">
      <c r="A7" s="1">
        <v>45889</v>
      </c>
      <c r="B7" s="1" t="s">
        <v>153</v>
      </c>
      <c r="G7">
        <f>SUMIFS(Table14[Debit], Table14[Date], Table2[[#This Row],[Date]], Table14[Party], Table2[[#This Row],[Party Name]])</f>
        <v>60000</v>
      </c>
      <c r="H7">
        <f>Table2[[#This Row],[Price]]-Table2[[#This Row],[Paid]]</f>
        <v>-60000</v>
      </c>
      <c r="J7" s="4" t="s">
        <v>168</v>
      </c>
      <c r="K7" s="118">
        <v>735350</v>
      </c>
      <c r="L7" s="118">
        <v>424850</v>
      </c>
      <c r="M7" s="118">
        <v>310500</v>
      </c>
    </row>
    <row r="8" spans="1:13" x14ac:dyDescent="0.3">
      <c r="A8" s="1">
        <v>45892</v>
      </c>
      <c r="B8" s="1" t="s">
        <v>105</v>
      </c>
      <c r="C8" t="s">
        <v>169</v>
      </c>
      <c r="D8">
        <v>3</v>
      </c>
      <c r="F8">
        <v>43500</v>
      </c>
      <c r="G8">
        <f>SUMIFS(Table14[Debit], Table14[Date], Table2[[#This Row],[Date]], Table14[Party], "Finish",Table14[Description],Table2[[#This Row],[Item]])</f>
        <v>43500</v>
      </c>
      <c r="H8">
        <f>Table2[[#This Row],[Price]]-Table2[[#This Row],[Paid]]</f>
        <v>0</v>
      </c>
      <c r="J8" s="4" t="s">
        <v>28</v>
      </c>
      <c r="K8" s="118">
        <v>933400</v>
      </c>
      <c r="L8" s="118">
        <v>722900</v>
      </c>
      <c r="M8" s="118">
        <v>305500</v>
      </c>
    </row>
    <row r="9" spans="1:13" x14ac:dyDescent="0.3">
      <c r="A9" s="1">
        <v>45892</v>
      </c>
      <c r="B9" s="1" t="s">
        <v>105</v>
      </c>
      <c r="C9" t="s">
        <v>170</v>
      </c>
      <c r="F9">
        <v>9600</v>
      </c>
      <c r="G9">
        <f>SUMIFS(Table14[Debit], Table14[Date], Table2[[#This Row],[Date]], Table14[Party], "Finish",Table14[Description],Table2[[#This Row],[Item]])</f>
        <v>9600</v>
      </c>
      <c r="H9">
        <f>Table2[[#This Row],[Price]]-Table2[[#This Row],[Paid]]</f>
        <v>0</v>
      </c>
    </row>
    <row r="10" spans="1:13" x14ac:dyDescent="0.3">
      <c r="A10" s="1">
        <v>45896</v>
      </c>
      <c r="B10" s="1" t="s">
        <v>168</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168</v>
      </c>
      <c r="C11" t="s">
        <v>169</v>
      </c>
      <c r="D11">
        <v>3</v>
      </c>
      <c r="F11">
        <v>51600</v>
      </c>
      <c r="G11">
        <f>SUMIFS(Table14[Debit], Table14[Date], Table2[[#This Row],[Date]], Table14[Party], Table2[[#This Row],[Party Name]])</f>
        <v>51600</v>
      </c>
      <c r="H11">
        <f>Table2[[#This Row],[Price]]-Table2[[#This Row],[Paid]]</f>
        <v>0</v>
      </c>
    </row>
    <row r="12" spans="1:13" x14ac:dyDescent="0.3">
      <c r="A12" s="1">
        <v>45909</v>
      </c>
      <c r="B12" s="1" t="s">
        <v>168</v>
      </c>
      <c r="C12" t="s">
        <v>63</v>
      </c>
      <c r="D12">
        <v>10</v>
      </c>
      <c r="F12">
        <v>69500</v>
      </c>
      <c r="G12">
        <f>SUMIFS(Table14[Debit], Table14[Date], Table2[[#This Row],[Date]], Table14[Party], Table2[[#This Row],[Party Name]])</f>
        <v>69500</v>
      </c>
      <c r="H12">
        <f>Table2[[#This Row],[Price]]-Table2[[#This Row],[Paid]]</f>
        <v>0</v>
      </c>
    </row>
    <row r="13" spans="1:13" x14ac:dyDescent="0.3">
      <c r="A13" s="1"/>
      <c r="B13" s="1" t="s">
        <v>153</v>
      </c>
      <c r="C13" t="s">
        <v>154</v>
      </c>
      <c r="F13">
        <f>200*125</f>
        <v>25000</v>
      </c>
      <c r="G13">
        <f>SUMIFS(Table14[Debit], Table14[Date], Table2[[#This Row],[Date]], Table14[Party], Table2[[#This Row],[Party Name]])</f>
        <v>0</v>
      </c>
      <c r="H13">
        <f>Table2[[#This Row],[Price]]-Table2[[#This Row],[Paid]]</f>
        <v>25000</v>
      </c>
    </row>
    <row r="14" spans="1:13" x14ac:dyDescent="0.3">
      <c r="A14" s="1">
        <v>45913</v>
      </c>
      <c r="B14" s="1" t="s">
        <v>168</v>
      </c>
      <c r="C14" t="s">
        <v>63</v>
      </c>
      <c r="D14">
        <v>45</v>
      </c>
      <c r="F14">
        <v>310500</v>
      </c>
      <c r="G14">
        <f>SUMIFS(Table14[Debit], Table14[Date], Table2[[#This Row],[Date]], Table14[Party], Table2[[#This Row],[Party Name]])</f>
        <v>0</v>
      </c>
      <c r="H14">
        <f>Table2[[#This Row],[Price]]-Table2[[#This Row],[Paid]]</f>
        <v>310500</v>
      </c>
    </row>
    <row r="15" spans="1:13" x14ac:dyDescent="0.3">
      <c r="A15" s="1">
        <v>45915</v>
      </c>
      <c r="B15" s="1" t="s">
        <v>153</v>
      </c>
      <c r="C15" t="s">
        <v>154</v>
      </c>
      <c r="D15">
        <v>2</v>
      </c>
      <c r="F15">
        <f>2*125*200</f>
        <v>50000</v>
      </c>
      <c r="G15">
        <f>SUMIFS(Table14[Debit], Table14[Date], Table2[[#This Row],[Date]], Table14[Party], Table2[[#This Row],[Party Name]])</f>
        <v>115000</v>
      </c>
      <c r="H15">
        <f>Table2[[#This Row],[Price]]-Table2[[#This Row],[Paid]]</f>
        <v>-65000</v>
      </c>
    </row>
    <row r="16" spans="1:13" x14ac:dyDescent="0.3">
      <c r="A16" s="1"/>
      <c r="F16">
        <f>SUBTOTAL(109,Table2[Price])</f>
        <v>933400</v>
      </c>
      <c r="G16">
        <f>SUBTOTAL(109,Table2[Paid])</f>
        <v>722900</v>
      </c>
      <c r="H16">
        <f>SUBTOTAL(109,Table2[Balance])</f>
        <v>305500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78</v>
      </c>
      <c r="C2" t="s">
        <v>217</v>
      </c>
      <c r="D2" t="s">
        <v>218</v>
      </c>
      <c r="E2" t="s">
        <v>5</v>
      </c>
    </row>
    <row r="3" spans="2:5" x14ac:dyDescent="0.3">
      <c r="B3" s="19" t="s">
        <v>219</v>
      </c>
      <c r="C3" s="19" t="s">
        <v>105</v>
      </c>
      <c r="D3" s="19" t="s">
        <v>105</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78</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B1" zoomScale="118" workbookViewId="0">
      <selection activeCell="O7" sqref="O7"/>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 min="14" max="14" width="14" customWidth="1"/>
  </cols>
  <sheetData>
    <row r="2" spans="2:15" x14ac:dyDescent="0.3">
      <c r="B2" t="s">
        <v>78</v>
      </c>
      <c r="C2" t="s">
        <v>48</v>
      </c>
      <c r="D2" t="s">
        <v>68</v>
      </c>
      <c r="E2" t="s">
        <v>69</v>
      </c>
      <c r="H2" t="s">
        <v>78</v>
      </c>
      <c r="I2" t="s">
        <v>220</v>
      </c>
      <c r="J2" t="s">
        <v>221</v>
      </c>
      <c r="N2" t="s">
        <v>360</v>
      </c>
    </row>
    <row r="3" spans="2:15" x14ac:dyDescent="0.3">
      <c r="B3" s="1">
        <v>45893</v>
      </c>
      <c r="C3" s="20">
        <f>SUMIFS(Table14[Debit], Table14[Date], Table11[[#This Row],[Date]], Table14[Party],"Salary ", Table14[Description],Table11[[#This Row],[Column1]])</f>
        <v>0</v>
      </c>
      <c r="H3" s="1">
        <v>45886</v>
      </c>
      <c r="I3" s="106">
        <v>4000</v>
      </c>
      <c r="J3" t="s">
        <v>173</v>
      </c>
    </row>
    <row r="4" spans="2:15"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c r="N4" s="22" t="s">
        <v>173</v>
      </c>
      <c r="O4" s="117">
        <v>70000</v>
      </c>
    </row>
    <row r="5" spans="2:15" x14ac:dyDescent="0.3">
      <c r="B5" s="1">
        <v>45895</v>
      </c>
      <c r="C5" s="20">
        <f>SUMIFS(Table14[Debit], Table14[Date], Table11[[#This Row],[Date]], Table14[Party],"Salary ", Table14[Description],Table11[[#This Row],[Column1]])</f>
        <v>10000</v>
      </c>
      <c r="D5" t="s">
        <v>233</v>
      </c>
      <c r="H5" s="1">
        <v>45888</v>
      </c>
      <c r="I5">
        <f>SUMIFS(Table14[Debit], Table14[Date], Table16[[#This Row],[Date]], Table14[Party], "Advance Salary", Table14[Description], Table16[[#This Row],[Person]] )</f>
        <v>0</v>
      </c>
      <c r="N5" s="22" t="s">
        <v>179</v>
      </c>
      <c r="O5" s="117">
        <v>20000</v>
      </c>
    </row>
    <row r="6" spans="2:15" x14ac:dyDescent="0.3">
      <c r="B6" s="1">
        <v>45895</v>
      </c>
      <c r="C6" s="20">
        <f>SUMIFS(Table14[Debit], Table14[Date], Table11[[#This Row],[Date]], Table14[Party],"Salary ", Table14[Description],Table11[[#This Row],[Column1]])</f>
        <v>35000</v>
      </c>
      <c r="D6" t="s">
        <v>179</v>
      </c>
      <c r="H6" s="1">
        <v>45889</v>
      </c>
      <c r="I6" s="116">
        <f>SUMIFS(Table14[Debit], Table14[Date], Table16[[#This Row],[Date]], Table14[Party], "Advance Salary", Table14[Description], Table16[[#This Row],[Person]] )</f>
        <v>1000</v>
      </c>
      <c r="J6" t="s">
        <v>237</v>
      </c>
      <c r="N6" s="22" t="s">
        <v>176</v>
      </c>
      <c r="O6" s="117">
        <f>14500+5000</f>
        <v>19500</v>
      </c>
    </row>
    <row r="7" spans="2:15" x14ac:dyDescent="0.3">
      <c r="B7" s="1">
        <v>45897</v>
      </c>
      <c r="C7" s="20">
        <f>SUMIFS(Table14[Debit], Table14[Date], Table11[[#This Row],[Date]], Table14[Party],"Salary ", Table14[Description],Table11[[#This Row],[Column1]])</f>
        <v>0</v>
      </c>
      <c r="H7" s="1">
        <v>45890</v>
      </c>
      <c r="I7" s="116">
        <f>SUMIFS(Table14[Debit], Table14[Date], Table16[[#This Row],[Date]], Table14[Party], "Advance Salary", Table14[Description], Table16[[#This Row],[Person]] )</f>
        <v>5000</v>
      </c>
      <c r="J7" t="s">
        <v>157</v>
      </c>
      <c r="N7" t="s">
        <v>241</v>
      </c>
      <c r="O7" s="106">
        <v>10000</v>
      </c>
    </row>
    <row r="8" spans="2:15" x14ac:dyDescent="0.3">
      <c r="B8" s="1">
        <v>45898</v>
      </c>
      <c r="C8" s="20">
        <f>SUMIFS(Table14[Debit], Table14[Date], Table11[[#This Row],[Date]], Table14[Party],"Salary ", Table14[Description],Table11[[#This Row],[Column1]])</f>
        <v>0</v>
      </c>
      <c r="H8" s="1">
        <v>45892</v>
      </c>
      <c r="I8" s="106">
        <f>SUMIFS(Table14[Debit], Table14[Date], Table16[[#This Row],[Date]], Table14[Party], "Advance Salary", Table14[Description], Table16[[#This Row],[Person]] )</f>
        <v>10000</v>
      </c>
      <c r="J8" t="s">
        <v>173</v>
      </c>
    </row>
    <row r="9" spans="2:15" x14ac:dyDescent="0.3">
      <c r="B9" s="1">
        <v>45899</v>
      </c>
      <c r="C9" s="20">
        <f>SUMIFS(Table14[Debit], Table14[Date], Table11[[#This Row],[Date]], Table14[Party],"Salary ", Table14[Description],Table11[[#This Row],[Column1]])</f>
        <v>13000</v>
      </c>
      <c r="D9" t="s">
        <v>252</v>
      </c>
      <c r="H9" s="1"/>
    </row>
    <row r="10" spans="2:15" x14ac:dyDescent="0.3">
      <c r="B10" s="1">
        <v>45900</v>
      </c>
      <c r="C10" s="20">
        <f>SUMIFS(Table14[Debit], Table14[Date], Table11[[#This Row],[Date]], Table14[Party],"Salary ", Table14[Description],Table11[[#This Row],[Column1]])</f>
        <v>100000</v>
      </c>
      <c r="D10" t="s">
        <v>125</v>
      </c>
      <c r="H10" s="1">
        <v>45892</v>
      </c>
      <c r="I10" s="116">
        <f>SUMIFS(Table14[Debit], Table14[Date], Table16[[#This Row],[Date]], Table14[Party], "Advance Salary", Table14[Description], Table16[[#This Row],[Person]] )</f>
        <v>1000</v>
      </c>
      <c r="J10" t="s">
        <v>176</v>
      </c>
    </row>
    <row r="11" spans="2:15" x14ac:dyDescent="0.3">
      <c r="B11" s="1">
        <v>45901</v>
      </c>
      <c r="C11" s="20">
        <f>SUMIFS(Table14[Debit], Table14[Date], Table11[[#This Row],[Date]], Table14[Party],"Salary ", Table14[Description],Table11[[#This Row],[Column1]])</f>
        <v>10400</v>
      </c>
      <c r="D11" t="s">
        <v>261</v>
      </c>
      <c r="E11" t="s">
        <v>262</v>
      </c>
      <c r="H11" s="1">
        <v>45893</v>
      </c>
      <c r="I11" s="106">
        <f>SUMIFS(Table14[Debit], Table14[Date], Table16[[#This Row],[Date]], Table14[Party], "Advance Salary", Table14[Description], Table16[[#This Row],[Person]] )</f>
        <v>30000</v>
      </c>
      <c r="J11" t="s">
        <v>179</v>
      </c>
    </row>
    <row r="12" spans="2:15" x14ac:dyDescent="0.3">
      <c r="B12" s="1">
        <v>45902</v>
      </c>
      <c r="C12" s="20">
        <f>SUMIFS(Table14[Debit], Table14[Date], Table11[[#This Row],[Date]], Table14[Party],"Salary ", Table14[Description],Table11[[#This Row],[Column1]])</f>
        <v>25000</v>
      </c>
      <c r="D12" t="s">
        <v>176</v>
      </c>
      <c r="E12" t="s">
        <v>275</v>
      </c>
      <c r="H12" s="1">
        <v>45895</v>
      </c>
      <c r="I12" s="106">
        <f>SUMIFS(Table14[Debit], Table14[Date], Table16[[#This Row],[Date]], Table14[Party], "Advance Salary", Table14[Description], Table16[[#This Row],[Person]] )</f>
        <v>38000</v>
      </c>
      <c r="J12" t="s">
        <v>173</v>
      </c>
    </row>
    <row r="13" spans="2:15" x14ac:dyDescent="0.3">
      <c r="B13" s="1">
        <v>45902</v>
      </c>
      <c r="C13" s="20">
        <f>SUMIFS(Table14[Debit], Table14[Date], Table11[[#This Row],[Date]], Table14[Party],"Salary ", Table14[Description],Table11[[#This Row],[Column1]])</f>
        <v>8400</v>
      </c>
      <c r="D13" t="s">
        <v>271</v>
      </c>
      <c r="H13" s="1"/>
    </row>
    <row r="14" spans="2:15" x14ac:dyDescent="0.3">
      <c r="B14" s="1">
        <v>45910</v>
      </c>
      <c r="C14" s="20">
        <f>SUMIFS(Table14[Debit], Table14[Date], Table11[[#This Row],[Date]], Table14[Party],"Salary ", Table14[Description],Table11[[#This Row],[Column1]])</f>
        <v>5000</v>
      </c>
      <c r="D14" t="s">
        <v>322</v>
      </c>
      <c r="H14" s="1">
        <v>45895</v>
      </c>
      <c r="I14" s="116">
        <f>SUMIFS(Table14[Debit], Table14[Date], Table16[[#This Row],[Date]], Table14[Party], "Advance Salary", Table14[Description], Table16[[#This Row],[Person]] )</f>
        <v>10000</v>
      </c>
      <c r="J14" t="s">
        <v>234</v>
      </c>
    </row>
    <row r="15" spans="2:15" x14ac:dyDescent="0.3">
      <c r="B15" s="1">
        <v>45910</v>
      </c>
      <c r="C15" s="20">
        <f>SUMIFS(Table14[Debit], Table14[Date], Table11[[#This Row],[Date]], Table14[Party],"Salary ", Table14[Description],Table11[[#This Row],[Column1]])</f>
        <v>2000</v>
      </c>
      <c r="D15" t="s">
        <v>320</v>
      </c>
      <c r="H15" s="1">
        <v>45895</v>
      </c>
      <c r="I15" s="116">
        <f>SUMIFS(Table14[Debit], Table14[Date], Table16[[#This Row],[Date]], Table14[Party], "Advance Salary", Table14[Description], Table16[[#This Row],[Person]] )</f>
        <v>5000</v>
      </c>
      <c r="J15" t="s">
        <v>237</v>
      </c>
    </row>
    <row r="16" spans="2:15" x14ac:dyDescent="0.3">
      <c r="B16" s="1">
        <v>45911</v>
      </c>
      <c r="C16" s="20">
        <f>SUMIFS(Table14[Debit], Table14[Date], Table11[[#This Row],[Date]], Table14[Party],"Salary ", Table14[Description],Table11[[#This Row],[Column1]])</f>
        <v>847000</v>
      </c>
      <c r="D16" t="s">
        <v>54</v>
      </c>
      <c r="H16" s="1">
        <v>45896</v>
      </c>
      <c r="I16" s="116">
        <f>SUMIFS(Table14[Debit], Table14[Date], Table16[[#This Row],[Date]], Table14[Party], "Advance Salary", Table14[Description], Table16[[#This Row],[Person]] )</f>
        <v>8000</v>
      </c>
      <c r="J16" t="s">
        <v>241</v>
      </c>
    </row>
    <row r="17" spans="2:10" x14ac:dyDescent="0.3">
      <c r="B17" s="1">
        <v>45911</v>
      </c>
      <c r="C17" s="20">
        <f>SUMIFS(Table14[Debit], Table14[Date], Table11[[#This Row],[Date]], Table14[Party],"Salary ", Table14[Description],Table11[[#This Row],[Column1]])</f>
        <v>10000</v>
      </c>
      <c r="D17" t="s">
        <v>179</v>
      </c>
      <c r="H17" s="1">
        <v>45897</v>
      </c>
      <c r="I17" s="106">
        <f>SUMIFS(Table14[Debit], Table14[Date], Table16[[#This Row],[Date]], Table14[Party], "Advance Salary", Table14[Description], Table16[[#This Row],[Person]] )</f>
        <v>18000</v>
      </c>
      <c r="J17" t="s">
        <v>173</v>
      </c>
    </row>
    <row r="18" spans="2:10" x14ac:dyDescent="0.3">
      <c r="B18" s="1">
        <v>45911</v>
      </c>
      <c r="C18" s="20">
        <f>SUMIFS(Table14[Debit], Table14[Date], Table11[[#This Row],[Date]], Table14[Party],"Salary ", Table14[Description],Table11[[#This Row],[Column1]])</f>
        <v>5000</v>
      </c>
      <c r="D18" t="s">
        <v>173</v>
      </c>
      <c r="H18" s="1"/>
    </row>
    <row r="19" spans="2:10" x14ac:dyDescent="0.3">
      <c r="B19" s="1">
        <v>45912</v>
      </c>
      <c r="C19" s="20">
        <f>SUMIFS(Table14[Debit], Table14[Date], Table11[[#This Row],[Date]], Table14[Party],"Salary ", Table14[Description],Table11[[#This Row],[Column1]])</f>
        <v>91600</v>
      </c>
      <c r="D19" t="s">
        <v>173</v>
      </c>
      <c r="H19" s="1">
        <v>45899</v>
      </c>
      <c r="I19" s="116">
        <f>SUMIFS(Table14[Debit], Table14[Date], Table16[[#This Row],[Date]], Table14[Party], "Advance Salary", Table14[Description], Table16[[#This Row],[Person]] )</f>
        <v>5000</v>
      </c>
      <c r="J19" t="s">
        <v>251</v>
      </c>
    </row>
    <row r="20" spans="2:10" x14ac:dyDescent="0.3">
      <c r="B20" s="1">
        <v>45912</v>
      </c>
      <c r="C20" s="20">
        <f>SUMIFS(Table14[Debit], Table14[Date], Table11[[#This Row],[Date]], Table14[Party],"Salary ", Table14[Description],Table11[[#This Row],[Column1]])</f>
        <v>180000</v>
      </c>
      <c r="D20" t="s">
        <v>328</v>
      </c>
      <c r="H20" s="1">
        <v>45900</v>
      </c>
      <c r="I20" s="106">
        <f>SUMIFS(Table14[Debit], Table14[Date], Table16[[#This Row],[Date]], Table14[Party], "Advance Salary", Table14[Description], Table16[[#This Row],[Person]] )</f>
        <v>5000</v>
      </c>
      <c r="J20" t="s">
        <v>176</v>
      </c>
    </row>
    <row r="21" spans="2:10" x14ac:dyDescent="0.3">
      <c r="B21" s="1">
        <v>45916</v>
      </c>
      <c r="C21" s="20">
        <f>SUMIFS(Table14[Debit], Table14[Date], Table11[[#This Row],[Date]], Table14[Party],"Salary ", Table14[Description],Table11[[#This Row],[Column1]])</f>
        <v>40000</v>
      </c>
      <c r="D21" t="s">
        <v>179</v>
      </c>
      <c r="H21" s="1">
        <v>45904</v>
      </c>
      <c r="I21" s="106">
        <f>SUMIFS(Table14[Debit], Table14[Date], Table16[[#This Row],[Date]], Table14[Party], "Advance Salary", Table14[Description], Table16[[#This Row],[Person]] )</f>
        <v>5000</v>
      </c>
      <c r="J21" t="s">
        <v>179</v>
      </c>
    </row>
    <row r="22" spans="2:10" x14ac:dyDescent="0.3">
      <c r="B22" s="1">
        <v>45910</v>
      </c>
      <c r="C22" s="20">
        <f>SUMIFS(Table14[Debit], Table14[Date], Table11[[#This Row],[Date]], Table14[Party],"Salary ", Table14[Description],Table11[[#This Row],[Column1]])</f>
        <v>0</v>
      </c>
      <c r="H22" s="1">
        <v>45904</v>
      </c>
      <c r="I22" s="116">
        <f>SUMIFS(Table14[Debit], Table14[Date], Table16[[#This Row],[Date]], Table14[Party], "Advance Salary", Table14[Description], Table16[[#This Row],[Person]] )</f>
        <v>10000</v>
      </c>
      <c r="J22" t="s">
        <v>288</v>
      </c>
    </row>
    <row r="23" spans="2:10" x14ac:dyDescent="0.3">
      <c r="B23" s="1">
        <v>45904</v>
      </c>
      <c r="C23" s="20">
        <f>SUMIFS(Table14[Debit], Table14[Date], Table11[[#This Row],[Date]], Table14[Party],"Salary ", Table14[Description],Table11[[#This Row],[Column1]])</f>
        <v>0</v>
      </c>
      <c r="H23" s="1">
        <v>45904</v>
      </c>
      <c r="I23" s="116">
        <f>SUMIFS(Table14[Debit], Table14[Date], Table16[[#This Row],[Date]], Table14[Party], "Advance Salary", Table14[Description], Table16[[#This Row],[Person]] )</f>
        <v>5000</v>
      </c>
      <c r="J23" t="s">
        <v>289</v>
      </c>
    </row>
    <row r="24" spans="2:10" x14ac:dyDescent="0.3">
      <c r="B24" s="1">
        <v>45905</v>
      </c>
      <c r="C24" s="20">
        <f>SUMIFS(Table14[Debit], Table14[Date], Table11[[#This Row],[Date]], Table14[Party],"Salary ", Table14[Description],Table11[[#This Row],[Column1]])</f>
        <v>0</v>
      </c>
      <c r="H24" s="1">
        <v>45904</v>
      </c>
      <c r="I24" s="116">
        <f>SUMIFS(Table14[Debit], Table14[Date], Table16[[#This Row],[Date]], Table14[Party], "Advance Salary", Table14[Description], Table16[[#This Row],[Person]] )</f>
        <v>10000</v>
      </c>
      <c r="J24" t="s">
        <v>234</v>
      </c>
    </row>
    <row r="25" spans="2:10" x14ac:dyDescent="0.3">
      <c r="B25" s="1">
        <v>45906</v>
      </c>
      <c r="C25" s="20">
        <f>SUMIFS(Table14[Debit], Table14[Date], Table11[[#This Row],[Date]], Table14[Party],"Salary ", Table14[Description],Table11[[#This Row],[Column1]])</f>
        <v>0</v>
      </c>
      <c r="H25" s="1">
        <v>45905</v>
      </c>
      <c r="I25" s="116">
        <f>SUMIFS(Table14[Debit], Table14[Date], Table16[[#This Row],[Date]], Table14[Party], "Advance Salary", Table14[Description], Table16[[#This Row],[Person]] )</f>
        <v>5000</v>
      </c>
      <c r="J25" t="s">
        <v>304</v>
      </c>
    </row>
    <row r="26" spans="2:10" x14ac:dyDescent="0.3">
      <c r="B26" s="1">
        <v>45907</v>
      </c>
      <c r="C26" s="20">
        <f>SUMIFS(Table14[Debit], Table14[Date], Table11[[#This Row],[Date]], Table14[Party],"Salary ", Table14[Description],Table11[[#This Row],[Column1]])</f>
        <v>0</v>
      </c>
      <c r="H26" s="1">
        <v>45913</v>
      </c>
      <c r="I26" s="106">
        <f>SUMIFS(Table14[Debit], Table14[Date], Table16[[#This Row],[Date]], Table14[Party], "Advance Salary", Table14[Description], Table16[[#This Row],[Person]] )</f>
        <v>5000</v>
      </c>
      <c r="J26" t="s">
        <v>176</v>
      </c>
    </row>
    <row r="27" spans="2:10" x14ac:dyDescent="0.3">
      <c r="B27" s="1">
        <v>45908</v>
      </c>
      <c r="C27" s="20">
        <f>SUMIFS(Table14[Debit], Table14[Date], Table11[[#This Row],[Date]], Table14[Party],"Salary ", Table14[Description],Table11[[#This Row],[Column1]])</f>
        <v>0</v>
      </c>
      <c r="H27" s="1"/>
      <c r="I27">
        <f>SUMIFS(Table14[Debit], Table14[Date], Table16[[#This Row],[Date]], Table14[Party], "Advance Salary", Table14[Description], Table16[[#This Row],[Person]] )</f>
        <v>0</v>
      </c>
    </row>
    <row r="28" spans="2:10" x14ac:dyDescent="0.3">
      <c r="B28" s="1">
        <v>45909</v>
      </c>
      <c r="C28" s="20">
        <f>SUMIFS(Table14[Debit], Table14[Date], Table11[[#This Row],[Date]], Table14[Party],"Salary ", Table14[Description],Table11[[#This Row],[Column1]])</f>
        <v>0</v>
      </c>
      <c r="H28" s="1">
        <v>45916</v>
      </c>
      <c r="I28" s="106">
        <f>SUMIFS(Table14[Debit], Table14[Date], Table16[[#This Row],[Date]], Table14[Party], "Advance Salary", Table14[Description], Table16[[#This Row],[Person]] )</f>
        <v>10000</v>
      </c>
      <c r="J28" t="s">
        <v>241</v>
      </c>
    </row>
    <row r="29" spans="2:10" x14ac:dyDescent="0.3">
      <c r="B29" s="1">
        <v>45910</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45911</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190000</v>
      </c>
    </row>
    <row r="36" spans="2:9" x14ac:dyDescent="0.3">
      <c r="B36" s="1">
        <v>45917</v>
      </c>
      <c r="C36" s="20">
        <f>SUMIFS(Table14[Debit], Table14[Date], Table11[[#This Row],[Date]], Table14[Party],"Salary ", Table14[Description],Table11[[#This Row],[Column1]])</f>
        <v>0</v>
      </c>
    </row>
    <row r="37" spans="2:9" x14ac:dyDescent="0.3">
      <c r="B37" s="1"/>
      <c r="C37" s="26">
        <f>SUM(Table11[Amount])</f>
        <v>1382400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J66" sqref="J66"/>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93</v>
      </c>
      <c r="C1" s="14"/>
    </row>
    <row r="2" spans="1:12" x14ac:dyDescent="0.3">
      <c r="A2" s="36" t="s">
        <v>28</v>
      </c>
      <c r="B2" s="38">
        <f>SUM(B4:INDEX(B:B, MATCH(1E+100, B:B)-1))</f>
        <v>80183</v>
      </c>
      <c r="C2" s="37">
        <f>GETPIVOTDATA("Sum of Tiyaar/gaz",$A$3)</f>
        <v>84391</v>
      </c>
      <c r="D2" s="36">
        <f>((B2*48)+((C2/1.0936)*10))/C2</f>
        <v>54.75068061330191</v>
      </c>
      <c r="J2">
        <v>48</v>
      </c>
    </row>
    <row r="3" spans="1:12" x14ac:dyDescent="0.3">
      <c r="A3" s="39" t="s">
        <v>222</v>
      </c>
      <c r="B3" s="40" t="s">
        <v>223</v>
      </c>
      <c r="C3" s="41" t="s">
        <v>94</v>
      </c>
      <c r="D3" s="37" t="s">
        <v>224</v>
      </c>
      <c r="E3" s="11" t="s">
        <v>225</v>
      </c>
      <c r="F3" s="11" t="str">
        <f t="shared" ref="F3:F38" si="0">C3</f>
        <v>Sum of Tiyaar/gaz</v>
      </c>
      <c r="G3" s="85" t="s">
        <v>85</v>
      </c>
      <c r="H3" s="11" t="s">
        <v>226</v>
      </c>
      <c r="I3" s="34" t="s">
        <v>227</v>
      </c>
    </row>
    <row r="4" spans="1:12" x14ac:dyDescent="0.3">
      <c r="A4" s="16">
        <v>1716</v>
      </c>
      <c r="B4" s="14">
        <v>80183</v>
      </c>
      <c r="C4" s="14">
        <v>84391</v>
      </c>
      <c r="D4" s="33">
        <f>I4</f>
        <v>54.75068061330191</v>
      </c>
      <c r="E4" s="11">
        <f>B4 * 1.0936</f>
        <v>87688.128799999991</v>
      </c>
      <c r="F4" s="11">
        <f t="shared" si="0"/>
        <v>84391</v>
      </c>
      <c r="G4" s="86">
        <f>100- (F4/E4 *100)</f>
        <v>3.760062901467677</v>
      </c>
      <c r="H4" s="33">
        <f>F4/1.0936</f>
        <v>77168.068763716175</v>
      </c>
      <c r="I4" s="33">
        <f>((B4*48)+(H4*10))/C4</f>
        <v>54.75068061330191</v>
      </c>
      <c r="J4" s="33"/>
      <c r="K4" s="33"/>
      <c r="L4" s="33"/>
    </row>
    <row r="5" spans="1:12" x14ac:dyDescent="0.3">
      <c r="A5" s="16" t="s">
        <v>28</v>
      </c>
      <c r="B5" s="35">
        <v>80183</v>
      </c>
      <c r="C5" s="35">
        <v>84391</v>
      </c>
      <c r="D5" s="33">
        <f t="shared" ref="D5:D38" si="1">I5</f>
        <v>54.75068061330191</v>
      </c>
      <c r="E5" s="11">
        <f t="shared" ref="E5:E38" si="2">B5 * 1.0936</f>
        <v>87688.128799999991</v>
      </c>
      <c r="F5" s="11">
        <f t="shared" si="0"/>
        <v>84391</v>
      </c>
      <c r="G5" s="86">
        <f>100- (F5/E5 *100)</f>
        <v>3.760062901467677</v>
      </c>
      <c r="H5" s="33">
        <f t="shared" ref="H5:H38" si="3">F5/1.0936</f>
        <v>77168.068763716175</v>
      </c>
      <c r="I5" s="33">
        <f>((B5*48)+(H5*10))/C5</f>
        <v>54.75068061330191</v>
      </c>
      <c r="J5" s="33"/>
      <c r="K5" s="33"/>
      <c r="L5" s="33"/>
    </row>
    <row r="6" spans="1:12" x14ac:dyDescent="0.3">
      <c r="D6" s="33" t="e">
        <f t="shared" si="1"/>
        <v>#DIV/0!</v>
      </c>
      <c r="E6" s="11">
        <f t="shared" si="2"/>
        <v>0</v>
      </c>
      <c r="F6" s="11">
        <f t="shared" si="0"/>
        <v>0</v>
      </c>
      <c r="G6" s="86" t="e">
        <f t="shared" ref="G6:G18" si="4">100- (F6/E6 *100)</f>
        <v>#DIV/0!</v>
      </c>
      <c r="H6" s="33">
        <f t="shared" si="3"/>
        <v>0</v>
      </c>
      <c r="I6" s="33" t="e">
        <f>((B6*48)+(H6*10))/C6</f>
        <v>#DIV/0!</v>
      </c>
      <c r="J6" s="33"/>
      <c r="K6" s="33"/>
      <c r="L6" s="33"/>
    </row>
    <row r="7" spans="1:12" x14ac:dyDescent="0.3">
      <c r="D7" s="33" t="e">
        <f t="shared" si="1"/>
        <v>#DIV/0!</v>
      </c>
      <c r="E7" s="11">
        <f t="shared" si="2"/>
        <v>0</v>
      </c>
      <c r="F7" s="11">
        <f t="shared" si="0"/>
        <v>0</v>
      </c>
      <c r="G7" s="86" t="e">
        <f t="shared" si="4"/>
        <v>#DIV/0!</v>
      </c>
      <c r="H7" s="33">
        <f t="shared" si="3"/>
        <v>0</v>
      </c>
      <c r="I7" s="33" t="e">
        <f>((B7*48)+(H7*10))/C7</f>
        <v>#DIV/0!</v>
      </c>
      <c r="J7" s="33"/>
      <c r="K7" s="33"/>
      <c r="L7" s="33"/>
    </row>
    <row r="8" spans="1:12" x14ac:dyDescent="0.3">
      <c r="D8" s="33" t="e">
        <f t="shared" si="1"/>
        <v>#DIV/0!</v>
      </c>
      <c r="E8" s="11">
        <f t="shared" si="2"/>
        <v>0</v>
      </c>
      <c r="F8" s="11">
        <f t="shared" si="0"/>
        <v>0</v>
      </c>
      <c r="G8" s="86" t="e">
        <f t="shared" si="4"/>
        <v>#DIV/0!</v>
      </c>
      <c r="H8" s="33">
        <f t="shared" si="3"/>
        <v>0</v>
      </c>
      <c r="I8" s="33" t="e">
        <f t="shared" ref="I8:I38" si="5">((B8*48)+(H8*10))/C8</f>
        <v>#DIV/0!</v>
      </c>
      <c r="J8" s="33"/>
      <c r="K8" s="33"/>
      <c r="L8" s="33"/>
    </row>
    <row r="9" spans="1:12" x14ac:dyDescent="0.3">
      <c r="D9" s="33" t="e">
        <f t="shared" si="1"/>
        <v>#DIV/0!</v>
      </c>
      <c r="E9" s="11">
        <f t="shared" si="2"/>
        <v>0</v>
      </c>
      <c r="F9" s="11">
        <f t="shared" si="0"/>
        <v>0</v>
      </c>
      <c r="G9" s="86" t="e">
        <f t="shared" si="4"/>
        <v>#DIV/0!</v>
      </c>
      <c r="H9" s="33">
        <f t="shared" si="3"/>
        <v>0</v>
      </c>
      <c r="I9" s="33" t="e">
        <f t="shared" si="5"/>
        <v>#DIV/0!</v>
      </c>
      <c r="J9" s="33"/>
      <c r="K9" s="33"/>
      <c r="L9" s="33"/>
    </row>
    <row r="10" spans="1:12" x14ac:dyDescent="0.3">
      <c r="D10" s="33" t="e">
        <f t="shared" si="1"/>
        <v>#DIV/0!</v>
      </c>
      <c r="E10" s="11">
        <f t="shared" si="2"/>
        <v>0</v>
      </c>
      <c r="F10" s="11">
        <f t="shared" si="0"/>
        <v>0</v>
      </c>
      <c r="G10" s="86" t="e">
        <f t="shared" si="4"/>
        <v>#DIV/0!</v>
      </c>
      <c r="H10" s="33">
        <f t="shared" si="3"/>
        <v>0</v>
      </c>
      <c r="I10" s="33" t="e">
        <f t="shared" si="5"/>
        <v>#DIV/0!</v>
      </c>
      <c r="J10" s="33"/>
      <c r="K10" s="33"/>
      <c r="L10" s="33"/>
    </row>
    <row r="11" spans="1:12" x14ac:dyDescent="0.3">
      <c r="D11" s="33"/>
      <c r="E11" s="11">
        <f t="shared" si="2"/>
        <v>0</v>
      </c>
      <c r="F11" s="11">
        <f t="shared" si="0"/>
        <v>0</v>
      </c>
      <c r="G11" s="86" t="e">
        <f t="shared" si="4"/>
        <v>#DIV/0!</v>
      </c>
      <c r="H11" s="33">
        <f t="shared" si="3"/>
        <v>0</v>
      </c>
      <c r="I11" s="33" t="e">
        <f t="shared" si="5"/>
        <v>#DIV/0!</v>
      </c>
      <c r="J11" s="33"/>
      <c r="K11" s="33"/>
      <c r="L11" s="33"/>
    </row>
    <row r="12" spans="1:12" x14ac:dyDescent="0.3">
      <c r="D12" s="33" t="e">
        <f t="shared" si="1"/>
        <v>#DIV/0!</v>
      </c>
      <c r="E12" s="11">
        <f t="shared" si="2"/>
        <v>0</v>
      </c>
      <c r="F12" s="11">
        <f t="shared" si="0"/>
        <v>0</v>
      </c>
      <c r="G12" s="86" t="e">
        <f t="shared" si="4"/>
        <v>#DIV/0!</v>
      </c>
      <c r="H12" s="33">
        <f t="shared" si="3"/>
        <v>0</v>
      </c>
      <c r="I12" s="33" t="e">
        <f t="shared" si="5"/>
        <v>#DIV/0!</v>
      </c>
    </row>
    <row r="13" spans="1:12" x14ac:dyDescent="0.3">
      <c r="D13" s="33" t="e">
        <f t="shared" si="1"/>
        <v>#DIV/0!</v>
      </c>
      <c r="E13" s="11">
        <f t="shared" si="2"/>
        <v>0</v>
      </c>
      <c r="F13" s="11">
        <f t="shared" si="0"/>
        <v>0</v>
      </c>
      <c r="G13" s="86" t="e">
        <f t="shared" si="4"/>
        <v>#DIV/0!</v>
      </c>
      <c r="H13" s="33">
        <f t="shared" si="3"/>
        <v>0</v>
      </c>
      <c r="I13" s="33" t="e">
        <f t="shared" si="5"/>
        <v>#DIV/0!</v>
      </c>
    </row>
    <row r="14" spans="1:12" x14ac:dyDescent="0.3">
      <c r="D14" s="33" t="e">
        <f t="shared" si="1"/>
        <v>#DIV/0!</v>
      </c>
      <c r="E14" s="11">
        <f t="shared" si="2"/>
        <v>0</v>
      </c>
      <c r="F14" s="11">
        <f t="shared" si="0"/>
        <v>0</v>
      </c>
      <c r="G14" s="86" t="e">
        <f t="shared" si="4"/>
        <v>#DIV/0!</v>
      </c>
      <c r="H14" s="33">
        <f t="shared" si="3"/>
        <v>0</v>
      </c>
      <c r="I14" s="33" t="e">
        <f t="shared" si="5"/>
        <v>#DIV/0!</v>
      </c>
    </row>
    <row r="15" spans="1:12" x14ac:dyDescent="0.3">
      <c r="D15" s="33" t="e">
        <f t="shared" si="1"/>
        <v>#DIV/0!</v>
      </c>
      <c r="E15" s="11">
        <f>B15 * 1.0936</f>
        <v>0</v>
      </c>
      <c r="F15" s="11">
        <f t="shared" si="0"/>
        <v>0</v>
      </c>
      <c r="G15" s="86" t="e">
        <f t="shared" si="4"/>
        <v>#DIV/0!</v>
      </c>
      <c r="H15" s="33">
        <f t="shared" si="3"/>
        <v>0</v>
      </c>
      <c r="I15" s="33" t="e">
        <f>((B15*48)+(H15*10))/C15</f>
        <v>#DIV/0!</v>
      </c>
    </row>
    <row r="16" spans="1:12" x14ac:dyDescent="0.3">
      <c r="D16" s="33" t="e">
        <f t="shared" si="1"/>
        <v>#DIV/0!</v>
      </c>
      <c r="E16" s="11">
        <f t="shared" si="2"/>
        <v>0</v>
      </c>
      <c r="F16" s="11">
        <f t="shared" si="0"/>
        <v>0</v>
      </c>
      <c r="G16" s="86" t="e">
        <f t="shared" si="4"/>
        <v>#DIV/0!</v>
      </c>
      <c r="H16" s="33">
        <f t="shared" si="3"/>
        <v>0</v>
      </c>
      <c r="I16" s="33" t="e">
        <f>((B16*48)+(H16*10))/C16</f>
        <v>#DIV/0!</v>
      </c>
    </row>
    <row r="17" spans="4:9" x14ac:dyDescent="0.3">
      <c r="D17" s="33" t="e">
        <f t="shared" si="1"/>
        <v>#DIV/0!</v>
      </c>
      <c r="E17" s="11">
        <f t="shared" si="2"/>
        <v>0</v>
      </c>
      <c r="F17" s="11">
        <f t="shared" si="0"/>
        <v>0</v>
      </c>
      <c r="G17" s="86" t="e">
        <f t="shared" si="4"/>
        <v>#DIV/0!</v>
      </c>
      <c r="H17" s="33">
        <f t="shared" si="3"/>
        <v>0</v>
      </c>
      <c r="I17" s="33" t="e">
        <f>((B17*48)+(H17*10))/C17</f>
        <v>#DIV/0!</v>
      </c>
    </row>
    <row r="18" spans="4:9" x14ac:dyDescent="0.3">
      <c r="D18" s="33" t="e">
        <f t="shared" si="1"/>
        <v>#DIV/0!</v>
      </c>
      <c r="E18" s="11">
        <f t="shared" si="2"/>
        <v>0</v>
      </c>
      <c r="F18" s="11">
        <f t="shared" si="0"/>
        <v>0</v>
      </c>
      <c r="G18" s="86" t="e">
        <f t="shared" si="4"/>
        <v>#DIV/0!</v>
      </c>
      <c r="H18" s="33">
        <f t="shared" si="3"/>
        <v>0</v>
      </c>
      <c r="I18" s="33" t="e">
        <f>((B18*48)+(H18*10))/C18</f>
        <v>#DIV/0!</v>
      </c>
    </row>
    <row r="19" spans="4:9" x14ac:dyDescent="0.3">
      <c r="D19" s="33" t="e">
        <f t="shared" si="1"/>
        <v>#DIV/0!</v>
      </c>
      <c r="E19" s="11">
        <f t="shared" si="2"/>
        <v>0</v>
      </c>
      <c r="F19" s="11">
        <f t="shared" si="0"/>
        <v>0</v>
      </c>
      <c r="G19" s="86" t="e">
        <f t="shared" ref="G19:G38" si="6">100- (F19/E19 *100)</f>
        <v>#DIV/0!</v>
      </c>
      <c r="H19" s="33">
        <f t="shared" si="3"/>
        <v>0</v>
      </c>
      <c r="I19" s="33" t="e">
        <f t="shared" si="5"/>
        <v>#DIV/0!</v>
      </c>
    </row>
    <row r="20" spans="4:9" x14ac:dyDescent="0.3">
      <c r="D20" s="33" t="e">
        <f t="shared" si="1"/>
        <v>#DIV/0!</v>
      </c>
      <c r="E20" s="11">
        <f>B20 * 1.0936</f>
        <v>0</v>
      </c>
      <c r="F20" s="11">
        <f t="shared" si="0"/>
        <v>0</v>
      </c>
      <c r="G20" s="86" t="e">
        <f t="shared" si="6"/>
        <v>#DIV/0!</v>
      </c>
      <c r="H20" s="33">
        <f t="shared" si="3"/>
        <v>0</v>
      </c>
      <c r="I20" s="33" t="e">
        <f t="shared" si="5"/>
        <v>#DIV/0!</v>
      </c>
    </row>
    <row r="21" spans="4:9" x14ac:dyDescent="0.3">
      <c r="D21" s="33" t="e">
        <f t="shared" si="1"/>
        <v>#DIV/0!</v>
      </c>
      <c r="E21" s="11">
        <f t="shared" si="2"/>
        <v>0</v>
      </c>
      <c r="F21" s="11">
        <f t="shared" si="0"/>
        <v>0</v>
      </c>
      <c r="G21" s="86" t="e">
        <f t="shared" si="6"/>
        <v>#DIV/0!</v>
      </c>
      <c r="H21" s="33">
        <f t="shared" si="3"/>
        <v>0</v>
      </c>
      <c r="I21" s="33" t="e">
        <f t="shared" si="5"/>
        <v>#DIV/0!</v>
      </c>
    </row>
    <row r="22" spans="4:9" x14ac:dyDescent="0.3">
      <c r="D22" s="33" t="e">
        <f t="shared" si="1"/>
        <v>#DIV/0!</v>
      </c>
      <c r="E22" s="11">
        <f t="shared" si="2"/>
        <v>0</v>
      </c>
      <c r="F22" s="11">
        <f t="shared" si="0"/>
        <v>0</v>
      </c>
      <c r="G22" s="86" t="e">
        <f t="shared" si="6"/>
        <v>#DIV/0!</v>
      </c>
      <c r="H22" s="33">
        <f t="shared" si="3"/>
        <v>0</v>
      </c>
      <c r="I22" s="33" t="e">
        <f t="shared" si="5"/>
        <v>#DIV/0!</v>
      </c>
    </row>
    <row r="23" spans="4:9" x14ac:dyDescent="0.3">
      <c r="D23" s="33" t="e">
        <f t="shared" si="1"/>
        <v>#DIV/0!</v>
      </c>
      <c r="E23" s="11">
        <f t="shared" si="2"/>
        <v>0</v>
      </c>
      <c r="F23" s="11">
        <f t="shared" si="0"/>
        <v>0</v>
      </c>
      <c r="G23" s="86" t="e">
        <f t="shared" si="6"/>
        <v>#DIV/0!</v>
      </c>
      <c r="H23" s="33">
        <f t="shared" si="3"/>
        <v>0</v>
      </c>
      <c r="I23" s="33" t="e">
        <f t="shared" si="5"/>
        <v>#DIV/0!</v>
      </c>
    </row>
    <row r="24" spans="4:9" x14ac:dyDescent="0.3">
      <c r="D24" s="33" t="e">
        <f t="shared" si="1"/>
        <v>#DIV/0!</v>
      </c>
      <c r="E24" s="11">
        <f t="shared" si="2"/>
        <v>0</v>
      </c>
      <c r="F24" s="11">
        <f t="shared" si="0"/>
        <v>0</v>
      </c>
      <c r="G24" s="86" t="e">
        <f t="shared" si="6"/>
        <v>#DIV/0!</v>
      </c>
      <c r="H24" s="33">
        <f t="shared" si="3"/>
        <v>0</v>
      </c>
      <c r="I24" s="33" t="e">
        <f t="shared" si="5"/>
        <v>#DIV/0!</v>
      </c>
    </row>
    <row r="25" spans="4:9" x14ac:dyDescent="0.3">
      <c r="D25" s="33" t="e">
        <f t="shared" si="1"/>
        <v>#DIV/0!</v>
      </c>
      <c r="E25" s="11">
        <f t="shared" si="2"/>
        <v>0</v>
      </c>
      <c r="F25" s="11">
        <f t="shared" si="0"/>
        <v>0</v>
      </c>
      <c r="G25" s="86" t="e">
        <f t="shared" si="6"/>
        <v>#DIV/0!</v>
      </c>
      <c r="H25" s="33">
        <f t="shared" si="3"/>
        <v>0</v>
      </c>
      <c r="I25" s="33" t="e">
        <f t="shared" si="5"/>
        <v>#DIV/0!</v>
      </c>
    </row>
    <row r="26" spans="4:9" x14ac:dyDescent="0.3">
      <c r="D26" s="33" t="e">
        <f t="shared" si="1"/>
        <v>#DIV/0!</v>
      </c>
      <c r="E26" s="11">
        <f t="shared" si="2"/>
        <v>0</v>
      </c>
      <c r="F26" s="11">
        <f t="shared" si="0"/>
        <v>0</v>
      </c>
      <c r="G26" s="86" t="e">
        <f t="shared" si="6"/>
        <v>#DIV/0!</v>
      </c>
      <c r="H26" s="33">
        <f t="shared" si="3"/>
        <v>0</v>
      </c>
      <c r="I26" s="33" t="e">
        <f t="shared" si="5"/>
        <v>#DIV/0!</v>
      </c>
    </row>
    <row r="27" spans="4:9" x14ac:dyDescent="0.3">
      <c r="D27" s="33" t="e">
        <f t="shared" si="1"/>
        <v>#DIV/0!</v>
      </c>
      <c r="E27" s="11">
        <f t="shared" si="2"/>
        <v>0</v>
      </c>
      <c r="F27" s="11">
        <f t="shared" si="0"/>
        <v>0</v>
      </c>
      <c r="G27" s="86" t="e">
        <f t="shared" si="6"/>
        <v>#DIV/0!</v>
      </c>
      <c r="H27" s="33">
        <f t="shared" si="3"/>
        <v>0</v>
      </c>
      <c r="I27" s="33" t="e">
        <f t="shared" si="5"/>
        <v>#DIV/0!</v>
      </c>
    </row>
    <row r="28" spans="4:9" x14ac:dyDescent="0.3">
      <c r="D28" s="33" t="e">
        <f t="shared" si="1"/>
        <v>#DIV/0!</v>
      </c>
      <c r="E28" s="11">
        <f t="shared" si="2"/>
        <v>0</v>
      </c>
      <c r="F28" s="11">
        <f t="shared" si="0"/>
        <v>0</v>
      </c>
      <c r="G28" s="86" t="e">
        <f t="shared" si="6"/>
        <v>#DIV/0!</v>
      </c>
      <c r="H28" s="33">
        <f t="shared" si="3"/>
        <v>0</v>
      </c>
      <c r="I28" s="33" t="e">
        <f t="shared" si="5"/>
        <v>#DIV/0!</v>
      </c>
    </row>
    <row r="29" spans="4:9" x14ac:dyDescent="0.3">
      <c r="D29" s="33" t="e">
        <f t="shared" si="1"/>
        <v>#DIV/0!</v>
      </c>
      <c r="E29" s="11">
        <f t="shared" si="2"/>
        <v>0</v>
      </c>
      <c r="F29" s="11">
        <f t="shared" si="0"/>
        <v>0</v>
      </c>
      <c r="G29" s="86" t="e">
        <f t="shared" si="6"/>
        <v>#DIV/0!</v>
      </c>
      <c r="H29" s="33">
        <f t="shared" si="3"/>
        <v>0</v>
      </c>
      <c r="I29" s="33" t="e">
        <f t="shared" si="5"/>
        <v>#DIV/0!</v>
      </c>
    </row>
    <row r="30" spans="4:9" x14ac:dyDescent="0.3">
      <c r="D30" s="33" t="e">
        <f t="shared" si="1"/>
        <v>#DIV/0!</v>
      </c>
      <c r="E30" s="11">
        <f t="shared" si="2"/>
        <v>0</v>
      </c>
      <c r="F30" s="11">
        <f t="shared" si="0"/>
        <v>0</v>
      </c>
      <c r="G30" s="86" t="e">
        <f t="shared" si="6"/>
        <v>#DIV/0!</v>
      </c>
      <c r="H30" s="33">
        <f t="shared" si="3"/>
        <v>0</v>
      </c>
      <c r="I30" s="33" t="e">
        <f t="shared" si="5"/>
        <v>#DIV/0!</v>
      </c>
    </row>
    <row r="31" spans="4:9" x14ac:dyDescent="0.3">
      <c r="D31" s="33" t="e">
        <f t="shared" si="1"/>
        <v>#DIV/0!</v>
      </c>
      <c r="E31" s="11">
        <f t="shared" si="2"/>
        <v>0</v>
      </c>
      <c r="F31" s="11">
        <f t="shared" si="0"/>
        <v>0</v>
      </c>
      <c r="G31" s="86" t="e">
        <f t="shared" si="6"/>
        <v>#DIV/0!</v>
      </c>
      <c r="H31" s="33">
        <f t="shared" si="3"/>
        <v>0</v>
      </c>
      <c r="I31" s="33" t="e">
        <f t="shared" si="5"/>
        <v>#DIV/0!</v>
      </c>
    </row>
    <row r="32" spans="4: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6" t="e">
        <f t="shared" si="22"/>
        <v>#DIV/0!</v>
      </c>
      <c r="H46" s="33">
        <f t="shared" si="23"/>
        <v>0</v>
      </c>
      <c r="I46" s="33" t="e">
        <f t="shared" si="24"/>
        <v>#DIV/0!</v>
      </c>
    </row>
    <row r="47" spans="4:9" x14ac:dyDescent="0.3">
      <c r="D47" s="33" t="e">
        <f t="shared" si="19"/>
        <v>#DIV/0!</v>
      </c>
      <c r="E47" s="11">
        <f t="shared" si="20"/>
        <v>0</v>
      </c>
      <c r="F47" s="11">
        <f t="shared" si="21"/>
        <v>0</v>
      </c>
      <c r="G47" s="86" t="e">
        <f t="shared" si="22"/>
        <v>#DIV/0!</v>
      </c>
      <c r="H47" s="33">
        <f t="shared" si="23"/>
        <v>0</v>
      </c>
      <c r="I47" s="33" t="e">
        <f t="shared" si="24"/>
        <v>#DIV/0!</v>
      </c>
    </row>
    <row r="48" spans="4: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5"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78</v>
      </c>
      <c r="C2" t="s">
        <v>47</v>
      </c>
      <c r="D2" t="s">
        <v>48</v>
      </c>
      <c r="E2" t="s">
        <v>68</v>
      </c>
      <c r="H2" t="s">
        <v>78</v>
      </c>
      <c r="I2" t="s">
        <v>47</v>
      </c>
      <c r="J2" t="s">
        <v>48</v>
      </c>
    </row>
    <row r="3" spans="2:10" x14ac:dyDescent="0.3">
      <c r="B3" s="1">
        <v>45886</v>
      </c>
      <c r="C3" t="s">
        <v>137</v>
      </c>
      <c r="D3">
        <f>SUMIFS(Table14[Debit], Table14[Date], Table5[[#This Row],[Date]], Table14[Party], "Rashan")</f>
        <v>0</v>
      </c>
      <c r="H3" s="1">
        <v>45886</v>
      </c>
      <c r="I3" t="s">
        <v>228</v>
      </c>
      <c r="J3">
        <v>80000</v>
      </c>
    </row>
    <row r="4" spans="2:10" x14ac:dyDescent="0.3">
      <c r="B4" s="1">
        <v>45887</v>
      </c>
      <c r="C4" t="s">
        <v>137</v>
      </c>
      <c r="D4">
        <f>SUMIFS(Table14[Debit], Table14[Date], Table5[[#This Row],[Date]], Table14[Party], "Rashan")</f>
        <v>0</v>
      </c>
      <c r="H4" s="1">
        <v>45887</v>
      </c>
      <c r="I4" t="s">
        <v>57</v>
      </c>
      <c r="J4">
        <f>SUMIFS(Table14[Debit], Table14[Date], Table15[[#This Row],[Date]], Table14[Party], "Parts")</f>
        <v>5600</v>
      </c>
    </row>
    <row r="5" spans="2:10" x14ac:dyDescent="0.3">
      <c r="B5" s="1">
        <v>45888</v>
      </c>
      <c r="C5" t="s">
        <v>137</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137</v>
      </c>
      <c r="D6">
        <f>SUMIFS(Table14[Debit], Table14[Date], Table5[[#This Row],[Date]], Table14[Party], "Rashan")</f>
        <v>0</v>
      </c>
      <c r="H6" s="1">
        <v>45889</v>
      </c>
      <c r="I6" t="s">
        <v>57</v>
      </c>
      <c r="J6">
        <f>SUMIFS(Table14[Debit], Table14[Date], Table15[[#This Row],[Date]], Table14[Party], "Parts")</f>
        <v>1590</v>
      </c>
    </row>
    <row r="7" spans="2:10" x14ac:dyDescent="0.3">
      <c r="B7" s="1">
        <v>45890</v>
      </c>
      <c r="C7" t="s">
        <v>137</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137</v>
      </c>
      <c r="D8">
        <f>SUMIFS(Table14[Debit], Table14[Date], Table5[[#This Row],[Date]], Table14[Party], "Rashan")</f>
        <v>0</v>
      </c>
      <c r="H8" s="1">
        <v>45891</v>
      </c>
      <c r="J8">
        <f>SUMIFS(Table14[Debit], Table14[Date], Table15[[#This Row],[Date]], Table14[Party], "Parts")</f>
        <v>450</v>
      </c>
    </row>
    <row r="9" spans="2:10" x14ac:dyDescent="0.3">
      <c r="B9" s="1">
        <v>45892</v>
      </c>
      <c r="C9" t="s">
        <v>137</v>
      </c>
      <c r="D9">
        <f>SUMIFS(Table14[Debit], Table14[Date], Table5[[#This Row],[Date]], Table14[Party], "Rashan")</f>
        <v>3702</v>
      </c>
      <c r="H9" s="1">
        <v>45892</v>
      </c>
      <c r="J9">
        <f>SUMIFS(Table14[Debit], Table14[Date], Table15[[#This Row],[Date]], Table14[Party], "Parts")</f>
        <v>6816</v>
      </c>
    </row>
    <row r="10" spans="2:10" x14ac:dyDescent="0.3">
      <c r="B10" s="1">
        <v>45893</v>
      </c>
      <c r="C10" t="s">
        <v>137</v>
      </c>
      <c r="D10">
        <f>SUMIFS(Table14[Debit], Table14[Date], Table5[[#This Row],[Date]], Table14[Party], "Rashan")</f>
        <v>1860</v>
      </c>
      <c r="H10" s="1">
        <v>45893</v>
      </c>
      <c r="J10">
        <f>SUMIFS(Table14[Debit], Table14[Date], Table15[[#This Row],[Date]], Table14[Party], "Parts")</f>
        <v>41471</v>
      </c>
    </row>
    <row r="11" spans="2:10" x14ac:dyDescent="0.3">
      <c r="B11" s="1">
        <v>45894</v>
      </c>
      <c r="C11" t="s">
        <v>137</v>
      </c>
      <c r="D11">
        <f>SUMIFS(Table14[Debit], Table14[Date], Table5[[#This Row],[Date]], Table14[Party], "Rashan")</f>
        <v>2780</v>
      </c>
      <c r="H11" s="1">
        <v>45894</v>
      </c>
      <c r="J11">
        <f>SUMIFS(Table14[Debit], Table14[Date], Table15[[#This Row],[Date]], Table14[Party], "Parts")</f>
        <v>0</v>
      </c>
    </row>
    <row r="12" spans="2:10" x14ac:dyDescent="0.3">
      <c r="B12" s="1">
        <v>45895</v>
      </c>
      <c r="C12" t="s">
        <v>137</v>
      </c>
      <c r="D12">
        <f>SUMIFS(Table14[Debit], Table14[Date], Table5[[#This Row],[Date]], Table14[Party], "Rashan")</f>
        <v>19000</v>
      </c>
      <c r="H12" s="1">
        <v>45895</v>
      </c>
      <c r="J12">
        <f>SUMIFS(Table14[Debit], Table14[Date], Table15[[#This Row],[Date]], Table14[Party], "Parts")</f>
        <v>41091</v>
      </c>
    </row>
    <row r="13" spans="2:10" x14ac:dyDescent="0.3">
      <c r="B13" s="1">
        <v>45896</v>
      </c>
      <c r="C13" t="s">
        <v>137</v>
      </c>
      <c r="D13">
        <f>SUMIFS(Table14[Debit], Table14[Date], Table5[[#This Row],[Date]], Table14[Party], "Rashan")</f>
        <v>3690</v>
      </c>
      <c r="H13" s="1">
        <v>45896</v>
      </c>
      <c r="J13">
        <f>SUMIFS(Table14[Debit], Table14[Date], Table15[[#This Row],[Date]], Table14[Party], "Parts")</f>
        <v>0</v>
      </c>
    </row>
    <row r="14" spans="2:10" x14ac:dyDescent="0.3">
      <c r="B14" s="1">
        <v>45897</v>
      </c>
      <c r="C14" t="s">
        <v>137</v>
      </c>
      <c r="D14">
        <f>SUMIFS(Table14[Debit], Table14[Date], Table5[[#This Row],[Date]], Table14[Party], "Rashan")</f>
        <v>0</v>
      </c>
      <c r="H14" s="1">
        <v>45897</v>
      </c>
      <c r="J14">
        <f>SUMIFS(Table14[Debit], Table14[Date], Table15[[#This Row],[Date]], Table14[Party], "Parts")</f>
        <v>0</v>
      </c>
    </row>
    <row r="15" spans="2:10" x14ac:dyDescent="0.3">
      <c r="B15" s="1">
        <v>45898</v>
      </c>
      <c r="C15" t="s">
        <v>137</v>
      </c>
      <c r="D15">
        <f>SUMIFS(Table14[Debit], Table14[Date], Table5[[#This Row],[Date]], Table14[Party], "Rashan")</f>
        <v>4380</v>
      </c>
      <c r="H15" s="1">
        <v>45898</v>
      </c>
      <c r="J15">
        <f>SUMIFS(Table14[Debit], Table14[Date], Table15[[#This Row],[Date]], Table14[Party], "Parts")</f>
        <v>49910</v>
      </c>
    </row>
    <row r="16" spans="2:10" x14ac:dyDescent="0.3">
      <c r="B16" s="1">
        <v>45899</v>
      </c>
      <c r="C16" t="s">
        <v>137</v>
      </c>
      <c r="D16">
        <f>SUMIFS(Table14[Debit], Table14[Date], Table5[[#This Row],[Date]], Table14[Party], "Rashan")</f>
        <v>0</v>
      </c>
      <c r="H16" s="1">
        <v>45899</v>
      </c>
      <c r="J16">
        <f>SUMIFS(Table14[Debit], Table14[Date], Table15[[#This Row],[Date]], Table14[Party], "Parts")</f>
        <v>8218</v>
      </c>
    </row>
    <row r="17" spans="2:10" x14ac:dyDescent="0.3">
      <c r="B17" s="1">
        <v>45900</v>
      </c>
      <c r="C17" t="s">
        <v>137</v>
      </c>
      <c r="D17">
        <f>SUMIFS(Table14[Debit], Table14[Date], Table5[[#This Row],[Date]], Table14[Party], "Rashan")</f>
        <v>0</v>
      </c>
      <c r="H17" s="1">
        <v>45900</v>
      </c>
      <c r="J17">
        <f>SUMIFS(Table14[Debit], Table14[Date], Table15[[#This Row],[Date]], Table14[Party], "Parts")</f>
        <v>0</v>
      </c>
    </row>
    <row r="18" spans="2:10" x14ac:dyDescent="0.3">
      <c r="B18" s="1">
        <v>45901</v>
      </c>
      <c r="C18" t="s">
        <v>137</v>
      </c>
      <c r="D18">
        <f>SUMIFS(Table14[Debit], Table14[Date], Table5[[#This Row],[Date]], Table14[Party], "Rashan")</f>
        <v>6115</v>
      </c>
      <c r="H18" s="1">
        <v>45901</v>
      </c>
      <c r="J18">
        <f>SUMIFS(Table14[Debit], Table14[Date], Table15[[#This Row],[Date]], Table14[Party], "Parts")</f>
        <v>0</v>
      </c>
    </row>
    <row r="19" spans="2:10" x14ac:dyDescent="0.3">
      <c r="B19" s="1">
        <v>45902</v>
      </c>
      <c r="C19" t="s">
        <v>137</v>
      </c>
      <c r="D19">
        <f>SUMIFS(Table14[Debit], Table14[Date], Table5[[#This Row],[Date]], Table14[Party], "Rashan")</f>
        <v>0</v>
      </c>
      <c r="H19" s="1">
        <v>45902</v>
      </c>
      <c r="J19">
        <f>SUMIFS(Table14[Debit], Table14[Date], Table15[[#This Row],[Date]], Table14[Party], "Parts")</f>
        <v>22270</v>
      </c>
    </row>
    <row r="20" spans="2:10" x14ac:dyDescent="0.3">
      <c r="B20" s="1">
        <v>45903</v>
      </c>
      <c r="C20" t="s">
        <v>137</v>
      </c>
      <c r="D20">
        <f>SUMIFS(Table14[Debit], Table14[Date], Table5[[#This Row],[Date]], Table14[Party], "Rashan")</f>
        <v>3990</v>
      </c>
      <c r="H20" s="1">
        <v>45903</v>
      </c>
      <c r="J20">
        <f>SUMIFS(Table14[Debit], Table14[Date], Table15[[#This Row],[Date]], Table14[Party], "Parts")</f>
        <v>36240</v>
      </c>
    </row>
    <row r="21" spans="2:10" x14ac:dyDescent="0.3">
      <c r="B21" s="1">
        <v>45904</v>
      </c>
      <c r="C21" t="s">
        <v>137</v>
      </c>
      <c r="D21">
        <f>SUMIFS(Table14[Debit], Table14[Date], Table5[[#This Row],[Date]], Table14[Party], "Rashan")</f>
        <v>0</v>
      </c>
      <c r="H21" s="1">
        <v>45904</v>
      </c>
      <c r="J21">
        <f>SUMIFS(Table14[Debit], Table14[Date], Table15[[#This Row],[Date]], Table14[Party], "Parts")</f>
        <v>269316</v>
      </c>
    </row>
    <row r="22" spans="2:10" x14ac:dyDescent="0.3">
      <c r="B22" s="1">
        <v>45905</v>
      </c>
      <c r="C22" t="s">
        <v>137</v>
      </c>
      <c r="D22">
        <f>SUMIFS(Table14[Debit], Table14[Date], Table5[[#This Row],[Date]], Table14[Party], "Rashan")</f>
        <v>17000</v>
      </c>
      <c r="H22" s="1">
        <v>45905</v>
      </c>
      <c r="J22">
        <f>SUMIFS(Table14[Debit], Table14[Date], Table15[[#This Row],[Date]], Table14[Party], "Parts")</f>
        <v>7900</v>
      </c>
    </row>
    <row r="23" spans="2:10" x14ac:dyDescent="0.3">
      <c r="B23" s="1">
        <v>45906</v>
      </c>
      <c r="C23" t="s">
        <v>137</v>
      </c>
      <c r="D23">
        <f>SUMIFS(Table14[Debit], Table14[Date], Table5[[#This Row],[Date]], Table14[Party], "Rashan")</f>
        <v>10130</v>
      </c>
      <c r="H23" s="1">
        <v>45906</v>
      </c>
      <c r="J23">
        <f>SUMIFS(Table14[Debit], Table14[Date], Table15[[#This Row],[Date]], Table14[Party], "Parts")</f>
        <v>0</v>
      </c>
    </row>
    <row r="24" spans="2:10" x14ac:dyDescent="0.3">
      <c r="B24" s="1">
        <v>45907</v>
      </c>
      <c r="C24" t="s">
        <v>137</v>
      </c>
      <c r="D24">
        <f>SUMIFS(Table14[Debit], Table14[Date], Table5[[#This Row],[Date]], Table14[Party], "Rashan")</f>
        <v>0</v>
      </c>
      <c r="H24" s="1">
        <v>45907</v>
      </c>
      <c r="J24">
        <f>SUMIFS(Table14[Debit], Table14[Date], Table15[[#This Row],[Date]], Table14[Party], "Parts")</f>
        <v>8144</v>
      </c>
    </row>
    <row r="25" spans="2:10" x14ac:dyDescent="0.3">
      <c r="B25" s="1">
        <v>45908</v>
      </c>
      <c r="C25" t="s">
        <v>137</v>
      </c>
      <c r="D25">
        <f>SUMIFS(Table14[Debit], Table14[Date], Table5[[#This Row],[Date]], Table14[Party], "Rashan")</f>
        <v>0</v>
      </c>
      <c r="H25" s="1">
        <v>45908</v>
      </c>
      <c r="J25">
        <f>SUMIFS(Table14[Debit], Table14[Date], Table15[[#This Row],[Date]], Table14[Party], "Parts")</f>
        <v>8144</v>
      </c>
    </row>
    <row r="26" spans="2:10" x14ac:dyDescent="0.3">
      <c r="B26" s="1">
        <v>45909</v>
      </c>
      <c r="C26" t="s">
        <v>137</v>
      </c>
      <c r="D26">
        <f>SUMIFS(Table14[Debit], Table14[Date], Table5[[#This Row],[Date]], Table14[Party], "Rashan")</f>
        <v>0</v>
      </c>
      <c r="H26" s="1">
        <v>45909</v>
      </c>
      <c r="J26">
        <f>SUMIFS(Table14[Debit], Table14[Date], Table15[[#This Row],[Date]], Table14[Party], "Parts")</f>
        <v>18849</v>
      </c>
    </row>
    <row r="27" spans="2:10" x14ac:dyDescent="0.3">
      <c r="B27" s="1">
        <v>45910</v>
      </c>
      <c r="C27" t="s">
        <v>137</v>
      </c>
      <c r="D27">
        <f>SUMIFS(Table14[Debit], Table14[Date], Table5[[#This Row],[Date]], Table14[Party], "Rashan")</f>
        <v>7692</v>
      </c>
      <c r="H27" s="1">
        <v>45910</v>
      </c>
      <c r="J27">
        <f>SUMIFS(Table14[Debit], Table14[Date], Table15[[#This Row],[Date]], Table14[Party], "Parts")</f>
        <v>3900</v>
      </c>
    </row>
    <row r="28" spans="2:10" x14ac:dyDescent="0.3">
      <c r="B28" s="1">
        <v>45911</v>
      </c>
      <c r="C28" t="s">
        <v>137</v>
      </c>
      <c r="D28">
        <f>SUMIFS(Table14[Debit], Table14[Date], Table5[[#This Row],[Date]], Table14[Party], "Rashan")</f>
        <v>0</v>
      </c>
      <c r="H28" s="1">
        <v>45911</v>
      </c>
      <c r="J28">
        <f>SUMIFS(Table14[Debit], Table14[Date], Table15[[#This Row],[Date]], Table14[Party], "Parts")</f>
        <v>0</v>
      </c>
    </row>
    <row r="29" spans="2:10" x14ac:dyDescent="0.3">
      <c r="B29" s="1">
        <v>45912</v>
      </c>
      <c r="C29" t="s">
        <v>137</v>
      </c>
      <c r="D29">
        <f>SUMIFS(Table14[Debit], Table14[Date], Table5[[#This Row],[Date]], Table14[Party], "Rashan")</f>
        <v>0</v>
      </c>
      <c r="H29" s="1">
        <v>45912</v>
      </c>
      <c r="J29">
        <f>SUMIFS(Table14[Debit], Table14[Date], Table15[[#This Row],[Date]], Table14[Party], "Parts")</f>
        <v>0</v>
      </c>
    </row>
    <row r="30" spans="2:10" x14ac:dyDescent="0.3">
      <c r="B30" s="1">
        <v>45913</v>
      </c>
      <c r="C30" t="s">
        <v>137</v>
      </c>
      <c r="D30">
        <f>SUMIFS(Table14[Debit], Table14[Date], Table5[[#This Row],[Date]], Table14[Party], "Rashan")</f>
        <v>18000</v>
      </c>
      <c r="H30" s="1">
        <v>45913</v>
      </c>
      <c r="J30">
        <f>SUMIFS(Table14[Debit], Table14[Date], Table15[[#This Row],[Date]], Table14[Party], "Parts")</f>
        <v>4750</v>
      </c>
    </row>
    <row r="31" spans="2:10" x14ac:dyDescent="0.3">
      <c r="B31" s="1">
        <v>45914</v>
      </c>
      <c r="C31" t="s">
        <v>137</v>
      </c>
      <c r="D31">
        <f>SUMIFS(Table14[Debit], Table14[Date], Table5[[#This Row],[Date]], Table14[Party], "Rashan")</f>
        <v>8637</v>
      </c>
      <c r="H31" s="1">
        <v>45914</v>
      </c>
      <c r="J31">
        <f>SUMIFS(Table14[Debit], Table14[Date], Table15[[#This Row],[Date]], Table14[Party], "Parts")</f>
        <v>0</v>
      </c>
    </row>
    <row r="32" spans="2:10" x14ac:dyDescent="0.3">
      <c r="B32" s="1">
        <v>45915</v>
      </c>
      <c r="C32" t="s">
        <v>137</v>
      </c>
      <c r="D32">
        <f>SUMIFS(Table14[Debit], Table14[Date], Table5[[#This Row],[Date]], Table14[Party], "Rashan")</f>
        <v>0</v>
      </c>
      <c r="H32" s="1">
        <v>45915</v>
      </c>
      <c r="J32">
        <f>SUMIFS(Table14[Debit], Table14[Date], Table15[[#This Row],[Date]], Table14[Party], "Parts")</f>
        <v>12980</v>
      </c>
    </row>
    <row r="33" spans="2:10" x14ac:dyDescent="0.3">
      <c r="B33" s="1">
        <v>45916</v>
      </c>
      <c r="C33" t="s">
        <v>137</v>
      </c>
      <c r="D33">
        <f>SUMIFS(Table14[Debit], Table14[Date], Table5[[#This Row],[Date]], Table14[Party], "Rashan")</f>
        <v>0</v>
      </c>
      <c r="H33" s="1">
        <v>45916</v>
      </c>
      <c r="J33">
        <f>SUMIFS(Table14[Debit], Table14[Date], Table15[[#This Row],[Date]], Table14[Party], "Parts")</f>
        <v>0</v>
      </c>
    </row>
    <row r="34" spans="2:10" x14ac:dyDescent="0.3">
      <c r="B34" s="1">
        <v>45917</v>
      </c>
      <c r="C34" t="s">
        <v>137</v>
      </c>
      <c r="D34">
        <f>SUMIFS(Table14[Debit], Table14[Date], Table5[[#This Row],[Date]], Table14[Party], "Rashan")</f>
        <v>0</v>
      </c>
      <c r="H34" s="1">
        <v>45917</v>
      </c>
      <c r="J34">
        <f>SUMIFS(Table14[Debit], Table14[Date], Table15[[#This Row],[Date]], Table14[Party], "Parts")</f>
        <v>0</v>
      </c>
    </row>
    <row r="35" spans="2:10" x14ac:dyDescent="0.3">
      <c r="B35" s="1"/>
      <c r="D35">
        <f>SUM(Table5[Amount])</f>
        <v>112148</v>
      </c>
      <c r="H35" s="1"/>
      <c r="J35">
        <f>SUM(Table15[Amount])</f>
        <v>649754</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D13" sqref="D1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7158783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Azam</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0C1F05-B158-4604-AEDF-01185F5F1A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2025-09-20T21:08:19Z</cp:lastPrinted>
  <dcterms:created xsi:type="dcterms:W3CDTF">2025-06-24T04:42:48Z</dcterms:created>
  <dcterms:modified xsi:type="dcterms:W3CDTF">2025-09-20T21:09:32Z</dcterms:modified>
  <cp:category/>
  <cp:contentStatus/>
</cp:coreProperties>
</file>