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44" documentId="13_ncr:1_{17F4D054-F142-4825-AEDC-57D0FF1CCBF0}" xr6:coauthVersionLast="47" xr6:coauthVersionMax="47" xr10:uidLastSave="{B5671BA5-8A26-4DF7-A896-6AAEF28F53A0}"/>
  <bookViews>
    <workbookView xWindow="-120" yWindow="-120" windowWidth="29040" windowHeight="15720" firstSheet="2" activeTab="5" xr2:uid="{00000000-000D-0000-FFFF-FFFF00000000}"/>
  </bookViews>
  <sheets>
    <sheet name="Assumptions" sheetId="3" r:id="rId1"/>
    <sheet name="Proforma Income Statement" sheetId="1" r:id="rId2"/>
    <sheet name="Proforma Balance Sheet" sheetId="2" r:id="rId3"/>
    <sheet name="Common Size" sheetId="4" r:id="rId4"/>
    <sheet name="Beta Calculation" sheetId="7" r:id="rId5"/>
    <sheet name="WACC" sheetId="8" r:id="rId6"/>
    <sheet name="DCF Valuation" sheetId="6" r:id="rId7"/>
  </sheets>
  <definedNames>
    <definedName name="CIQWBGuid" hidden="1">"2eb66133-0a87-4004-b209-275c9b6ca028"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45351.8530092593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6" l="1"/>
  <c r="A16" i="6"/>
  <c r="B16" i="6"/>
  <c r="B18" i="6"/>
  <c r="A4" i="8"/>
  <c r="D2" i="7"/>
  <c r="E2" i="7"/>
  <c r="D3" i="7"/>
  <c r="E3" i="7"/>
  <c r="D4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A2" i="4"/>
  <c r="B2" i="4"/>
  <c r="C2" i="4"/>
  <c r="D2" i="4"/>
  <c r="E2" i="4"/>
  <c r="F2" i="4"/>
  <c r="G2" i="4"/>
  <c r="H2" i="4"/>
  <c r="I2" i="4"/>
  <c r="J2" i="4"/>
  <c r="K2" i="4"/>
  <c r="A4" i="4"/>
  <c r="B4" i="4"/>
  <c r="C4" i="4"/>
  <c r="D4" i="4"/>
  <c r="E4" i="4"/>
  <c r="F4" i="4"/>
  <c r="A5" i="4"/>
  <c r="B5" i="4"/>
  <c r="C5" i="4"/>
  <c r="D5" i="4"/>
  <c r="E5" i="4"/>
  <c r="F5" i="4"/>
  <c r="A6" i="4"/>
  <c r="F6" i="4"/>
  <c r="A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A14" i="4"/>
  <c r="B14" i="4"/>
  <c r="B39" i="3" s="1"/>
  <c r="C14" i="4"/>
  <c r="D14" i="4"/>
  <c r="E14" i="4"/>
  <c r="F14" i="4"/>
  <c r="A15" i="4"/>
  <c r="B15" i="4"/>
  <c r="C15" i="4"/>
  <c r="D15" i="4"/>
  <c r="E15" i="4"/>
  <c r="F15" i="4"/>
  <c r="A16" i="4"/>
  <c r="A17" i="4"/>
  <c r="B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A24" i="4"/>
  <c r="B24" i="4"/>
  <c r="C24" i="4"/>
  <c r="D24" i="4"/>
  <c r="E24" i="4"/>
  <c r="F24" i="4"/>
  <c r="G24" i="4"/>
  <c r="H24" i="4"/>
  <c r="I24" i="4"/>
  <c r="J24" i="4"/>
  <c r="K24" i="4"/>
  <c r="A26" i="4"/>
  <c r="A27" i="4"/>
  <c r="A28" i="4"/>
  <c r="F28" i="4"/>
  <c r="A29" i="4"/>
  <c r="A30" i="4"/>
  <c r="A31" i="4"/>
  <c r="A32" i="4"/>
  <c r="A33" i="4"/>
  <c r="B33" i="4"/>
  <c r="A34" i="4"/>
  <c r="A36" i="4"/>
  <c r="A37" i="4"/>
  <c r="A38" i="4"/>
  <c r="F38" i="4"/>
  <c r="A39" i="4"/>
  <c r="F39" i="4"/>
  <c r="A40" i="4"/>
  <c r="A41" i="4"/>
  <c r="A42" i="4"/>
  <c r="A43" i="4"/>
  <c r="A44" i="4"/>
  <c r="F44" i="4"/>
  <c r="A45" i="4"/>
  <c r="F45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B12" i="2"/>
  <c r="C12" i="2"/>
  <c r="D12" i="2"/>
  <c r="E12" i="2"/>
  <c r="F12" i="2"/>
  <c r="G19" i="2"/>
  <c r="G28" i="2"/>
  <c r="G29" i="2"/>
  <c r="B22" i="2"/>
  <c r="C22" i="2"/>
  <c r="D22" i="2"/>
  <c r="E22" i="2"/>
  <c r="F22" i="2"/>
  <c r="F23" i="2" s="1"/>
  <c r="B23" i="2"/>
  <c r="B43" i="4" s="1"/>
  <c r="C23" i="2"/>
  <c r="H29" i="2"/>
  <c r="I29" i="2"/>
  <c r="J29" i="2"/>
  <c r="B32" i="2"/>
  <c r="B34" i="2" s="1"/>
  <c r="C32" i="2"/>
  <c r="C34" i="2" s="1"/>
  <c r="D32" i="2"/>
  <c r="E32" i="2"/>
  <c r="F32" i="2"/>
  <c r="E34" i="2"/>
  <c r="B40" i="2"/>
  <c r="C40" i="2"/>
  <c r="D40" i="2"/>
  <c r="E40" i="2"/>
  <c r="F40" i="2"/>
  <c r="I50" i="2"/>
  <c r="J50" i="2"/>
  <c r="K50" i="2"/>
  <c r="B52" i="2"/>
  <c r="B53" i="2" s="1"/>
  <c r="C52" i="2"/>
  <c r="C53" i="2" s="1"/>
  <c r="D52" i="2"/>
  <c r="E52" i="2"/>
  <c r="F52" i="2"/>
  <c r="D53" i="2"/>
  <c r="E53" i="2"/>
  <c r="F53" i="2"/>
  <c r="B7" i="1"/>
  <c r="C7" i="1"/>
  <c r="D7" i="1"/>
  <c r="E7" i="1"/>
  <c r="E6" i="4" s="1"/>
  <c r="F7" i="1"/>
  <c r="B8" i="1"/>
  <c r="B7" i="4" s="1"/>
  <c r="C8" i="1"/>
  <c r="C7" i="4" s="1"/>
  <c r="D8" i="1"/>
  <c r="D7" i="4" s="1"/>
  <c r="E8" i="1"/>
  <c r="E7" i="4" s="1"/>
  <c r="F8" i="1"/>
  <c r="E11" i="1"/>
  <c r="B18" i="1"/>
  <c r="C18" i="1"/>
  <c r="D18" i="1"/>
  <c r="E18" i="1"/>
  <c r="F18" i="1"/>
  <c r="A4" i="3"/>
  <c r="B4" i="3"/>
  <c r="C4" i="3"/>
  <c r="D4" i="3"/>
  <c r="E4" i="3"/>
  <c r="E5" i="3" s="1"/>
  <c r="F4" i="3"/>
  <c r="F9" i="3"/>
  <c r="G10" i="3"/>
  <c r="G8" i="3"/>
  <c r="D13" i="3"/>
  <c r="F13" i="3"/>
  <c r="G14" i="3"/>
  <c r="H14" i="3" s="1"/>
  <c r="I14" i="3" s="1"/>
  <c r="J14" i="3" s="1"/>
  <c r="K14" i="3" s="1"/>
  <c r="G12" i="3"/>
  <c r="H12" i="3" s="1"/>
  <c r="I12" i="3" s="1"/>
  <c r="J12" i="3" s="1"/>
  <c r="H10" i="3"/>
  <c r="I10" i="3"/>
  <c r="J10" i="3"/>
  <c r="K10" i="3"/>
  <c r="F5" i="3"/>
  <c r="C9" i="3"/>
  <c r="D9" i="3"/>
  <c r="E9" i="3"/>
  <c r="C13" i="3"/>
  <c r="E13" i="3"/>
  <c r="B16" i="3"/>
  <c r="C16" i="3"/>
  <c r="D16" i="3"/>
  <c r="E16" i="3"/>
  <c r="F16" i="3"/>
  <c r="E17" i="3"/>
  <c r="F17" i="3"/>
  <c r="G18" i="3"/>
  <c r="H18" i="3"/>
  <c r="I18" i="3" s="1"/>
  <c r="J18" i="3" s="1"/>
  <c r="K18" i="3" s="1"/>
  <c r="B17" i="3"/>
  <c r="C17" i="3"/>
  <c r="D17" i="3"/>
  <c r="A20" i="3"/>
  <c r="B20" i="3"/>
  <c r="D20" i="3"/>
  <c r="E20" i="3"/>
  <c r="A22" i="3"/>
  <c r="B22" i="3"/>
  <c r="C22" i="3"/>
  <c r="C23" i="3" s="1"/>
  <c r="D22" i="3"/>
  <c r="D23" i="3" s="1"/>
  <c r="E22" i="3"/>
  <c r="F22" i="3"/>
  <c r="A26" i="3"/>
  <c r="B26" i="3"/>
  <c r="C26" i="3"/>
  <c r="C27" i="3" s="1"/>
  <c r="D26" i="3"/>
  <c r="E26" i="3"/>
  <c r="F26" i="3"/>
  <c r="E27" i="3"/>
  <c r="G28" i="3" s="1"/>
  <c r="F27" i="3"/>
  <c r="B30" i="3"/>
  <c r="C30" i="3"/>
  <c r="C31" i="3" s="1"/>
  <c r="D30" i="3"/>
  <c r="E30" i="3"/>
  <c r="F30" i="3"/>
  <c r="D31" i="3"/>
  <c r="A34" i="3"/>
  <c r="B34" i="3"/>
  <c r="C34" i="3"/>
  <c r="D34" i="3"/>
  <c r="E34" i="3"/>
  <c r="F34" i="3"/>
  <c r="B35" i="3"/>
  <c r="C35" i="3"/>
  <c r="D35" i="3"/>
  <c r="E35" i="3"/>
  <c r="F35" i="3"/>
  <c r="G36" i="3"/>
  <c r="H36" i="3"/>
  <c r="I36" i="3" s="1"/>
  <c r="J36" i="3" s="1"/>
  <c r="K36" i="3" s="1"/>
  <c r="A38" i="3"/>
  <c r="B38" i="3"/>
  <c r="C38" i="3"/>
  <c r="D38" i="3"/>
  <c r="D177" i="3" s="1"/>
  <c r="E38" i="3"/>
  <c r="E177" i="3" s="1"/>
  <c r="F38" i="3"/>
  <c r="C39" i="3"/>
  <c r="D39" i="3"/>
  <c r="E39" i="3"/>
  <c r="F39" i="3"/>
  <c r="A42" i="3"/>
  <c r="B42" i="3"/>
  <c r="C42" i="3"/>
  <c r="D42" i="3"/>
  <c r="E42" i="3"/>
  <c r="F42" i="3"/>
  <c r="G42" i="3" s="1"/>
  <c r="A44" i="3"/>
  <c r="A45" i="3"/>
  <c r="B45" i="3"/>
  <c r="B47" i="3"/>
  <c r="C47" i="3"/>
  <c r="D47" i="3"/>
  <c r="E47" i="3"/>
  <c r="F47" i="3"/>
  <c r="G151" i="3"/>
  <c r="G51" i="3" s="1"/>
  <c r="G21" i="1" s="1"/>
  <c r="A47" i="3"/>
  <c r="A51" i="3"/>
  <c r="B51" i="3"/>
  <c r="C51" i="3"/>
  <c r="D51" i="3"/>
  <c r="E51" i="3"/>
  <c r="F51" i="3"/>
  <c r="B53" i="3"/>
  <c r="C53" i="3"/>
  <c r="D53" i="3"/>
  <c r="E53" i="3"/>
  <c r="E59" i="3" s="1"/>
  <c r="F53" i="3"/>
  <c r="B57" i="3"/>
  <c r="C54" i="3" s="1"/>
  <c r="C57" i="3" s="1"/>
  <c r="D54" i="3"/>
  <c r="D57" i="3"/>
  <c r="C59" i="3"/>
  <c r="D59" i="3"/>
  <c r="B66" i="3"/>
  <c r="C62" i="3"/>
  <c r="C66" i="3" s="1"/>
  <c r="D62" i="3" s="1"/>
  <c r="D66" i="3" s="1"/>
  <c r="E62" i="3" s="1"/>
  <c r="E66" i="3" s="1"/>
  <c r="F62" i="3" s="1"/>
  <c r="F66" i="3"/>
  <c r="G62" i="3"/>
  <c r="B68" i="3"/>
  <c r="A73" i="3"/>
  <c r="B73" i="3"/>
  <c r="C73" i="3"/>
  <c r="D73" i="3"/>
  <c r="E73" i="3"/>
  <c r="F73" i="3"/>
  <c r="F74" i="3"/>
  <c r="G75" i="3"/>
  <c r="G73" i="3"/>
  <c r="G7" i="2" s="1"/>
  <c r="H75" i="3"/>
  <c r="I75" i="3" s="1"/>
  <c r="J75" i="3" s="1"/>
  <c r="K75" i="3" s="1"/>
  <c r="E74" i="3"/>
  <c r="A77" i="3"/>
  <c r="B77" i="3"/>
  <c r="C77" i="3"/>
  <c r="C78" i="3" s="1"/>
  <c r="D77" i="3"/>
  <c r="E77" i="3"/>
  <c r="E78" i="3" s="1"/>
  <c r="F77" i="3"/>
  <c r="F78" i="3" s="1"/>
  <c r="A81" i="3"/>
  <c r="B81" i="3"/>
  <c r="C81" i="3"/>
  <c r="D81" i="3"/>
  <c r="E81" i="3"/>
  <c r="F81" i="3"/>
  <c r="G81" i="3"/>
  <c r="H81" i="3"/>
  <c r="I81" i="3"/>
  <c r="J81" i="3"/>
  <c r="K81" i="3"/>
  <c r="A83" i="3"/>
  <c r="B83" i="3"/>
  <c r="C83" i="3"/>
  <c r="D83" i="3"/>
  <c r="E83" i="3"/>
  <c r="F83" i="3"/>
  <c r="G83" i="3"/>
  <c r="H83" i="3" s="1"/>
  <c r="H10" i="2" s="1"/>
  <c r="I83" i="3"/>
  <c r="I10" i="2" s="1"/>
  <c r="J83" i="3"/>
  <c r="K83" i="3" s="1"/>
  <c r="K10" i="2" s="1"/>
  <c r="A85" i="3"/>
  <c r="B85" i="3"/>
  <c r="C85" i="3"/>
  <c r="D85" i="3"/>
  <c r="E85" i="3"/>
  <c r="F85" i="3"/>
  <c r="C86" i="3"/>
  <c r="D86" i="3"/>
  <c r="E86" i="3"/>
  <c r="F86" i="3"/>
  <c r="A89" i="3"/>
  <c r="B89" i="3"/>
  <c r="B90" i="3" s="1"/>
  <c r="G91" i="3" s="1"/>
  <c r="H91" i="3" s="1"/>
  <c r="I91" i="3" s="1"/>
  <c r="J91" i="3" s="1"/>
  <c r="K91" i="3" s="1"/>
  <c r="C89" i="3"/>
  <c r="D89" i="3"/>
  <c r="D90" i="3" s="1"/>
  <c r="E89" i="3"/>
  <c r="F89" i="3"/>
  <c r="C90" i="3"/>
  <c r="E90" i="3"/>
  <c r="F90" i="3"/>
  <c r="A93" i="3"/>
  <c r="B93" i="3"/>
  <c r="B94" i="3" s="1"/>
  <c r="C93" i="3"/>
  <c r="C94" i="3" s="1"/>
  <c r="D93" i="3"/>
  <c r="D94" i="3" s="1"/>
  <c r="E93" i="3"/>
  <c r="F93" i="3"/>
  <c r="F94" i="3"/>
  <c r="A97" i="3"/>
  <c r="B97" i="3"/>
  <c r="C97" i="3"/>
  <c r="C98" i="3" s="1"/>
  <c r="D97" i="3"/>
  <c r="E97" i="3"/>
  <c r="F97" i="3"/>
  <c r="D98" i="3"/>
  <c r="E98" i="3"/>
  <c r="F98" i="3"/>
  <c r="A101" i="3"/>
  <c r="B101" i="3"/>
  <c r="C101" i="3"/>
  <c r="D101" i="3"/>
  <c r="E101" i="3"/>
  <c r="E102" i="3" s="1"/>
  <c r="F101" i="3"/>
  <c r="F102" i="3" s="1"/>
  <c r="B102" i="3"/>
  <c r="G103" i="3" s="1"/>
  <c r="H103" i="3" s="1"/>
  <c r="I103" i="3" s="1"/>
  <c r="J103" i="3" s="1"/>
  <c r="C102" i="3"/>
  <c r="D102" i="3"/>
  <c r="K103" i="3"/>
  <c r="A105" i="3"/>
  <c r="B105" i="3"/>
  <c r="C105" i="3"/>
  <c r="C106" i="3" s="1"/>
  <c r="D105" i="3"/>
  <c r="E105" i="3"/>
  <c r="F105" i="3"/>
  <c r="G105" i="3" s="1"/>
  <c r="H107" i="3"/>
  <c r="I107" i="3" s="1"/>
  <c r="J107" i="3" s="1"/>
  <c r="K107" i="3" s="1"/>
  <c r="H105" i="3"/>
  <c r="A109" i="3"/>
  <c r="B109" i="3"/>
  <c r="C109" i="3"/>
  <c r="D109" i="3"/>
  <c r="D110" i="3" s="1"/>
  <c r="E109" i="3"/>
  <c r="F109" i="3"/>
  <c r="F110" i="3" s="1"/>
  <c r="C110" i="3"/>
  <c r="E110" i="3"/>
  <c r="C114" i="3"/>
  <c r="D114" i="3"/>
  <c r="E114" i="3"/>
  <c r="F114" i="3"/>
  <c r="G115" i="3" s="1"/>
  <c r="G113" i="3"/>
  <c r="H115" i="3"/>
  <c r="I115" i="3" s="1"/>
  <c r="H113" i="3"/>
  <c r="H28" i="2" s="1"/>
  <c r="J115" i="3"/>
  <c r="K115" i="3" s="1"/>
  <c r="A117" i="3"/>
  <c r="B118" i="3"/>
  <c r="C118" i="3"/>
  <c r="D118" i="3"/>
  <c r="E118" i="3"/>
  <c r="F118" i="3"/>
  <c r="C124" i="3"/>
  <c r="D124" i="3"/>
  <c r="F124" i="3"/>
  <c r="G125" i="3"/>
  <c r="H125" i="3" s="1"/>
  <c r="I125" i="3" s="1"/>
  <c r="G123" i="3"/>
  <c r="H123" i="3" s="1"/>
  <c r="I123" i="3" s="1"/>
  <c r="J123" i="3" s="1"/>
  <c r="K123" i="3" s="1"/>
  <c r="J125" i="3"/>
  <c r="K125" i="3" s="1"/>
  <c r="E124" i="3"/>
  <c r="A127" i="3"/>
  <c r="B127" i="3"/>
  <c r="C127" i="3"/>
  <c r="D127" i="3"/>
  <c r="E127" i="3"/>
  <c r="F127" i="3"/>
  <c r="C129" i="3"/>
  <c r="D129" i="3"/>
  <c r="E129" i="3"/>
  <c r="F129" i="3"/>
  <c r="C133" i="3"/>
  <c r="D133" i="3"/>
  <c r="E133" i="3"/>
  <c r="F133" i="3"/>
  <c r="B140" i="3"/>
  <c r="C137" i="3"/>
  <c r="C140" i="3" s="1"/>
  <c r="D137" i="3"/>
  <c r="D140" i="3" s="1"/>
  <c r="E137" i="3" s="1"/>
  <c r="E140" i="3" s="1"/>
  <c r="F137" i="3" s="1"/>
  <c r="F140" i="3" s="1"/>
  <c r="G137" i="3" s="1"/>
  <c r="G138" i="3"/>
  <c r="H138" i="3" s="1"/>
  <c r="I138" i="3" s="1"/>
  <c r="J138" i="3" s="1"/>
  <c r="G139" i="3"/>
  <c r="H139" i="3" s="1"/>
  <c r="I139" i="3" s="1"/>
  <c r="J139" i="3"/>
  <c r="K139" i="3" s="1"/>
  <c r="K138" i="3"/>
  <c r="B147" i="3"/>
  <c r="B142" i="3" s="1"/>
  <c r="B153" i="3"/>
  <c r="C144" i="3"/>
  <c r="C147" i="3" s="1"/>
  <c r="D144" i="3" s="1"/>
  <c r="C150" i="3"/>
  <c r="C153" i="3"/>
  <c r="D147" i="3"/>
  <c r="D150" i="3"/>
  <c r="D153" i="3"/>
  <c r="E150" i="3"/>
  <c r="E153" i="3"/>
  <c r="F150" i="3" s="1"/>
  <c r="F153" i="3" s="1"/>
  <c r="G150" i="3" s="1"/>
  <c r="G153" i="3" s="1"/>
  <c r="H150" i="3" s="1"/>
  <c r="G146" i="3"/>
  <c r="H146" i="3"/>
  <c r="I146" i="3" s="1"/>
  <c r="J146" i="3"/>
  <c r="K146" i="3" s="1"/>
  <c r="A155" i="3"/>
  <c r="B155" i="3"/>
  <c r="C155" i="3"/>
  <c r="C156" i="3" s="1"/>
  <c r="D155" i="3"/>
  <c r="E155" i="3"/>
  <c r="E156" i="3" s="1"/>
  <c r="F155" i="3"/>
  <c r="F156" i="3" s="1"/>
  <c r="B156" i="3"/>
  <c r="D156" i="3"/>
  <c r="G157" i="3"/>
  <c r="H157" i="3"/>
  <c r="I157" i="3" s="1"/>
  <c r="J157" i="3" s="1"/>
  <c r="K157" i="3" s="1"/>
  <c r="A159" i="3"/>
  <c r="B159" i="3"/>
  <c r="C159" i="3"/>
  <c r="D159" i="3"/>
  <c r="D160" i="3" s="1"/>
  <c r="E159" i="3"/>
  <c r="F159" i="3"/>
  <c r="E160" i="3"/>
  <c r="F160" i="3"/>
  <c r="C160" i="3"/>
  <c r="A163" i="3"/>
  <c r="B163" i="3"/>
  <c r="B164" i="3" s="1"/>
  <c r="C163" i="3"/>
  <c r="C164" i="3" s="1"/>
  <c r="D163" i="3"/>
  <c r="E163" i="3"/>
  <c r="E164" i="3" s="1"/>
  <c r="F163" i="3"/>
  <c r="F164" i="3" s="1"/>
  <c r="D164" i="3"/>
  <c r="G165" i="3"/>
  <c r="H165" i="3"/>
  <c r="I165" i="3"/>
  <c r="J165" i="3" s="1"/>
  <c r="K165" i="3" s="1"/>
  <c r="A167" i="3"/>
  <c r="B167" i="3"/>
  <c r="C167" i="3"/>
  <c r="D167" i="3"/>
  <c r="E167" i="3"/>
  <c r="F167" i="3"/>
  <c r="F168" i="3" s="1"/>
  <c r="C168" i="3"/>
  <c r="D168" i="3"/>
  <c r="E168" i="3"/>
  <c r="B168" i="3"/>
  <c r="A171" i="3"/>
  <c r="B171" i="3"/>
  <c r="C171" i="3"/>
  <c r="C172" i="3" s="1"/>
  <c r="D171" i="3"/>
  <c r="E171" i="3"/>
  <c r="F171" i="3"/>
  <c r="B172" i="3"/>
  <c r="G173" i="3" s="1"/>
  <c r="H173" i="3" s="1"/>
  <c r="I173" i="3" s="1"/>
  <c r="J173" i="3" s="1"/>
  <c r="K173" i="3" s="1"/>
  <c r="D172" i="3"/>
  <c r="E172" i="3"/>
  <c r="F172" i="3"/>
  <c r="A175" i="3"/>
  <c r="B177" i="3"/>
  <c r="B178" i="3"/>
  <c r="C176" i="3" s="1"/>
  <c r="C177" i="3"/>
  <c r="C178" i="3"/>
  <c r="D176" i="3"/>
  <c r="D178" i="3" s="1"/>
  <c r="E176" i="3" s="1"/>
  <c r="E178" i="3" s="1"/>
  <c r="F176" i="3" s="1"/>
  <c r="F178" i="3" s="1"/>
  <c r="G176" i="3" s="1"/>
  <c r="F177" i="3"/>
  <c r="A180" i="3"/>
  <c r="B180" i="3"/>
  <c r="C180" i="3"/>
  <c r="D180" i="3"/>
  <c r="D181" i="3" s="1"/>
  <c r="E180" i="3"/>
  <c r="F180" i="3"/>
  <c r="F181" i="3" s="1"/>
  <c r="K182" i="3" s="1"/>
  <c r="C181" i="3"/>
  <c r="E181" i="3"/>
  <c r="J182" i="3" s="1"/>
  <c r="I182" i="3"/>
  <c r="A184" i="3"/>
  <c r="B184" i="3"/>
  <c r="C184" i="3"/>
  <c r="D184" i="3"/>
  <c r="E184" i="3"/>
  <c r="F184" i="3"/>
  <c r="F185" i="3"/>
  <c r="G184" i="3"/>
  <c r="G185" i="3"/>
  <c r="H185" i="3" s="1"/>
  <c r="A187" i="3"/>
  <c r="B187" i="3"/>
  <c r="C187" i="3"/>
  <c r="D187" i="3"/>
  <c r="E187" i="3"/>
  <c r="F187" i="3"/>
  <c r="G187" i="3"/>
  <c r="G51" i="2" s="1"/>
  <c r="H187" i="3"/>
  <c r="H51" i="2" s="1"/>
  <c r="I187" i="3"/>
  <c r="I51" i="2" s="1"/>
  <c r="J187" i="3"/>
  <c r="J51" i="2" s="1"/>
  <c r="K187" i="3"/>
  <c r="K51" i="2" s="1"/>
  <c r="G194" i="3"/>
  <c r="F191" i="3"/>
  <c r="F192" i="3"/>
  <c r="F193" i="3"/>
  <c r="F194" i="3"/>
  <c r="F195" i="3"/>
  <c r="F196" i="3"/>
  <c r="F202" i="3" s="1"/>
  <c r="F198" i="3"/>
  <c r="F199" i="3"/>
  <c r="F200" i="3"/>
  <c r="F201" i="3"/>
  <c r="A191" i="3"/>
  <c r="A192" i="3"/>
  <c r="A193" i="3"/>
  <c r="A194" i="3"/>
  <c r="A195" i="3"/>
  <c r="A198" i="3"/>
  <c r="A199" i="3"/>
  <c r="A200" i="3"/>
  <c r="G30" i="2" l="1"/>
  <c r="G140" i="3"/>
  <c r="H137" i="3" s="1"/>
  <c r="G48" i="2"/>
  <c r="K12" i="3"/>
  <c r="F74" i="4"/>
  <c r="C35" i="4"/>
  <c r="C33" i="4"/>
  <c r="C32" i="4"/>
  <c r="C43" i="4"/>
  <c r="C31" i="4"/>
  <c r="C30" i="4"/>
  <c r="C29" i="4"/>
  <c r="C40" i="4"/>
  <c r="C28" i="4"/>
  <c r="C39" i="4"/>
  <c r="C38" i="4"/>
  <c r="C37" i="4"/>
  <c r="C36" i="4"/>
  <c r="C45" i="4"/>
  <c r="C42" i="4"/>
  <c r="C41" i="4"/>
  <c r="C44" i="4"/>
  <c r="C17" i="4"/>
  <c r="C45" i="3"/>
  <c r="G134" i="3"/>
  <c r="E31" i="3"/>
  <c r="F31" i="3"/>
  <c r="E23" i="3"/>
  <c r="G24" i="3" s="1"/>
  <c r="E54" i="2"/>
  <c r="C68" i="3"/>
  <c r="C70" i="3"/>
  <c r="C11" i="1"/>
  <c r="C6" i="4"/>
  <c r="G60" i="3"/>
  <c r="H60" i="3" s="1"/>
  <c r="I60" i="3" s="1"/>
  <c r="J60" i="3" s="1"/>
  <c r="K60" i="3" s="1"/>
  <c r="J10" i="2"/>
  <c r="G169" i="3"/>
  <c r="H169" i="3" s="1"/>
  <c r="I169" i="3" s="1"/>
  <c r="J169" i="3" s="1"/>
  <c r="K169" i="3" s="1"/>
  <c r="F54" i="2"/>
  <c r="G99" i="3"/>
  <c r="H99" i="3" s="1"/>
  <c r="I99" i="3" s="1"/>
  <c r="J99" i="3" s="1"/>
  <c r="K99" i="3" s="1"/>
  <c r="H73" i="3"/>
  <c r="G16" i="1"/>
  <c r="H42" i="3"/>
  <c r="F23" i="3"/>
  <c r="G4" i="3"/>
  <c r="B110" i="3"/>
  <c r="B181" i="3"/>
  <c r="G182" i="3" s="1"/>
  <c r="E54" i="3"/>
  <c r="E57" i="3" s="1"/>
  <c r="D70" i="3"/>
  <c r="G95" i="3"/>
  <c r="H95" i="3" s="1"/>
  <c r="I95" i="3" s="1"/>
  <c r="J95" i="3" s="1"/>
  <c r="K95" i="3" s="1"/>
  <c r="G50" i="2"/>
  <c r="H184" i="3"/>
  <c r="H50" i="2" s="1"/>
  <c r="G26" i="3"/>
  <c r="H28" i="3"/>
  <c r="I28" i="3" s="1"/>
  <c r="J28" i="3" s="1"/>
  <c r="K28" i="3" s="1"/>
  <c r="D68" i="3"/>
  <c r="D6" i="4"/>
  <c r="D11" i="1"/>
  <c r="H182" i="3"/>
  <c r="F17" i="4"/>
  <c r="F45" i="3"/>
  <c r="F34" i="2"/>
  <c r="B45" i="4"/>
  <c r="B32" i="4"/>
  <c r="B31" i="4"/>
  <c r="B42" i="4"/>
  <c r="B30" i="4"/>
  <c r="B29" i="4"/>
  <c r="B28" i="4"/>
  <c r="B39" i="4"/>
  <c r="B38" i="4"/>
  <c r="B37" i="4"/>
  <c r="B36" i="4"/>
  <c r="B35" i="4"/>
  <c r="B41" i="4"/>
  <c r="B40" i="4"/>
  <c r="G40" i="3"/>
  <c r="H40" i="3" s="1"/>
  <c r="I40" i="3" s="1"/>
  <c r="J40" i="3" s="1"/>
  <c r="K40" i="3" s="1"/>
  <c r="E17" i="4"/>
  <c r="E45" i="3"/>
  <c r="G10" i="2"/>
  <c r="G161" i="3"/>
  <c r="H161" i="3" s="1"/>
  <c r="I161" i="3" s="1"/>
  <c r="J161" i="3" s="1"/>
  <c r="K161" i="3" s="1"/>
  <c r="I113" i="3"/>
  <c r="H19" i="2"/>
  <c r="I105" i="3"/>
  <c r="B86" i="3"/>
  <c r="G87" i="3" s="1"/>
  <c r="H87" i="3" s="1"/>
  <c r="I87" i="3" s="1"/>
  <c r="J87" i="3" s="1"/>
  <c r="K87" i="3" s="1"/>
  <c r="D17" i="4"/>
  <c r="D45" i="3"/>
  <c r="D34" i="2"/>
  <c r="E23" i="2"/>
  <c r="E44" i="4" s="1"/>
  <c r="F7" i="4"/>
  <c r="F20" i="3"/>
  <c r="F11" i="1"/>
  <c r="K29" i="2"/>
  <c r="H151" i="3"/>
  <c r="H153" i="3" s="1"/>
  <c r="I150" i="3" s="1"/>
  <c r="C54" i="4"/>
  <c r="B98" i="3"/>
  <c r="E94" i="3"/>
  <c r="C74" i="3"/>
  <c r="D74" i="3"/>
  <c r="D106" i="3"/>
  <c r="E106" i="3"/>
  <c r="B70" i="3"/>
  <c r="F59" i="3"/>
  <c r="C34" i="4"/>
  <c r="D142" i="3"/>
  <c r="E144" i="3"/>
  <c r="E147" i="3" s="1"/>
  <c r="G130" i="3"/>
  <c r="B11" i="1"/>
  <c r="B6" i="4"/>
  <c r="C56" i="4"/>
  <c r="B160" i="3"/>
  <c r="C142" i="3"/>
  <c r="G111" i="3"/>
  <c r="H111" i="3" s="1"/>
  <c r="I111" i="3" s="1"/>
  <c r="J111" i="3" s="1"/>
  <c r="K111" i="3" s="1"/>
  <c r="D78" i="3"/>
  <c r="G79" i="3" s="1"/>
  <c r="E73" i="4"/>
  <c r="E62" i="4"/>
  <c r="D44" i="4"/>
  <c r="D23" i="2"/>
  <c r="B34" i="4"/>
  <c r="E14" i="1"/>
  <c r="E10" i="4"/>
  <c r="C54" i="2"/>
  <c r="C5" i="3"/>
  <c r="D5" i="3"/>
  <c r="B54" i="2"/>
  <c r="B56" i="4" s="1"/>
  <c r="B44" i="4"/>
  <c r="G97" i="3"/>
  <c r="C20" i="3"/>
  <c r="F37" i="4"/>
  <c r="F35" i="4"/>
  <c r="F33" i="4"/>
  <c r="F32" i="4"/>
  <c r="F43" i="4"/>
  <c r="F31" i="4"/>
  <c r="F42" i="4"/>
  <c r="F30" i="4"/>
  <c r="F41" i="4"/>
  <c r="F29" i="4"/>
  <c r="F40" i="4"/>
  <c r="F36" i="4"/>
  <c r="F106" i="3"/>
  <c r="D27" i="3"/>
  <c r="H8" i="3"/>
  <c r="C62" i="4"/>
  <c r="F34" i="4"/>
  <c r="E34" i="4"/>
  <c r="F73" i="4"/>
  <c r="D34" i="4"/>
  <c r="H2" i="7"/>
  <c r="H4" i="7" s="1"/>
  <c r="B4" i="8" s="1"/>
  <c r="B6" i="8" s="1"/>
  <c r="E9" i="8" s="1"/>
  <c r="G9" i="8" s="1"/>
  <c r="H3" i="7"/>
  <c r="I153" i="3" l="1"/>
  <c r="J150" i="3" s="1"/>
  <c r="H24" i="3"/>
  <c r="I24" i="3" s="1"/>
  <c r="J24" i="3" s="1"/>
  <c r="K24" i="3" s="1"/>
  <c r="G22" i="3"/>
  <c r="F54" i="3"/>
  <c r="F57" i="3" s="1"/>
  <c r="E70" i="3"/>
  <c r="E68" i="3"/>
  <c r="E13" i="4"/>
  <c r="E17" i="1"/>
  <c r="E55" i="4"/>
  <c r="E59" i="4"/>
  <c r="E66" i="4"/>
  <c r="E72" i="4"/>
  <c r="E71" i="4"/>
  <c r="E70" i="4"/>
  <c r="E69" i="4"/>
  <c r="E61" i="4"/>
  <c r="E65" i="4"/>
  <c r="E51" i="4"/>
  <c r="E53" i="4"/>
  <c r="E75" i="4"/>
  <c r="E60" i="4"/>
  <c r="E52" i="4"/>
  <c r="E67" i="4"/>
  <c r="E50" i="4"/>
  <c r="E68" i="4"/>
  <c r="E64" i="4"/>
  <c r="H7" i="2"/>
  <c r="I73" i="3"/>
  <c r="E56" i="4"/>
  <c r="F144" i="3"/>
  <c r="F147" i="3" s="1"/>
  <c r="E142" i="3"/>
  <c r="D10" i="4"/>
  <c r="D14" i="1"/>
  <c r="D36" i="4"/>
  <c r="D35" i="4"/>
  <c r="D33" i="4"/>
  <c r="D32" i="4"/>
  <c r="D31" i="4"/>
  <c r="D30" i="4"/>
  <c r="D41" i="4"/>
  <c r="D29" i="4"/>
  <c r="D40" i="4"/>
  <c r="D28" i="4"/>
  <c r="D39" i="4"/>
  <c r="D38" i="4"/>
  <c r="D37" i="4"/>
  <c r="D45" i="4"/>
  <c r="D42" i="4"/>
  <c r="D43" i="4"/>
  <c r="B10" i="4"/>
  <c r="B14" i="1"/>
  <c r="E37" i="4"/>
  <c r="E36" i="4"/>
  <c r="E45" i="4"/>
  <c r="E33" i="4"/>
  <c r="E32" i="4"/>
  <c r="E31" i="4"/>
  <c r="E42" i="4"/>
  <c r="E30" i="4"/>
  <c r="E41" i="4"/>
  <c r="E29" i="4"/>
  <c r="E40" i="4"/>
  <c r="E28" i="4"/>
  <c r="E39" i="4"/>
  <c r="E35" i="4"/>
  <c r="E38" i="4"/>
  <c r="E43" i="4"/>
  <c r="E54" i="4"/>
  <c r="G17" i="2"/>
  <c r="H97" i="3"/>
  <c r="G128" i="3"/>
  <c r="H130" i="3"/>
  <c r="I130" i="3" s="1"/>
  <c r="J130" i="3" s="1"/>
  <c r="K130" i="3" s="1"/>
  <c r="F60" i="4"/>
  <c r="F67" i="4"/>
  <c r="F50" i="4"/>
  <c r="F72" i="4"/>
  <c r="F71" i="4"/>
  <c r="F70" i="4"/>
  <c r="F68" i="4"/>
  <c r="F61" i="4"/>
  <c r="F65" i="4"/>
  <c r="F53" i="4"/>
  <c r="F55" i="4"/>
  <c r="F69" i="4"/>
  <c r="F52" i="4"/>
  <c r="F59" i="4"/>
  <c r="F66" i="4"/>
  <c r="F75" i="4"/>
  <c r="F51" i="4"/>
  <c r="F64" i="4"/>
  <c r="G32" i="3"/>
  <c r="B52" i="4"/>
  <c r="B69" i="4"/>
  <c r="B61" i="4"/>
  <c r="B68" i="4"/>
  <c r="B60" i="4"/>
  <c r="B67" i="4"/>
  <c r="B55" i="4"/>
  <c r="B59" i="4"/>
  <c r="B66" i="4"/>
  <c r="B53" i="4"/>
  <c r="B70" i="4"/>
  <c r="B72" i="4"/>
  <c r="B50" i="4"/>
  <c r="B65" i="4"/>
  <c r="B74" i="4"/>
  <c r="B73" i="4"/>
  <c r="B54" i="4"/>
  <c r="B75" i="4"/>
  <c r="B51" i="4"/>
  <c r="B71" i="4"/>
  <c r="B64" i="4"/>
  <c r="H134" i="3"/>
  <c r="I134" i="3" s="1"/>
  <c r="J134" i="3" s="1"/>
  <c r="K134" i="3" s="1"/>
  <c r="G132" i="3"/>
  <c r="H132" i="3" s="1"/>
  <c r="I132" i="3" s="1"/>
  <c r="J132" i="3" s="1"/>
  <c r="K132" i="3" s="1"/>
  <c r="H51" i="3"/>
  <c r="H21" i="1" s="1"/>
  <c r="I151" i="3"/>
  <c r="G109" i="3"/>
  <c r="G20" i="2" s="1"/>
  <c r="G34" i="3"/>
  <c r="G13" i="1" s="1"/>
  <c r="G93" i="3"/>
  <c r="G16" i="2" s="1"/>
  <c r="G171" i="3"/>
  <c r="G47" i="2" s="1"/>
  <c r="G5" i="1"/>
  <c r="G6" i="3"/>
  <c r="G38" i="3"/>
  <c r="G85" i="3"/>
  <c r="G11" i="2" s="1"/>
  <c r="G159" i="3"/>
  <c r="G43" i="2" s="1"/>
  <c r="G16" i="3"/>
  <c r="G6" i="1" s="1"/>
  <c r="G101" i="3"/>
  <c r="G18" i="2" s="1"/>
  <c r="G89" i="3"/>
  <c r="G15" i="2" s="1"/>
  <c r="G163" i="3"/>
  <c r="G44" i="2" s="1"/>
  <c r="G180" i="3"/>
  <c r="G49" i="2" s="1"/>
  <c r="B62" i="4"/>
  <c r="G10" i="1"/>
  <c r="G9" i="4" s="1"/>
  <c r="H26" i="3"/>
  <c r="D56" i="4"/>
  <c r="C10" i="4"/>
  <c r="C14" i="1"/>
  <c r="G77" i="3"/>
  <c r="H79" i="3"/>
  <c r="I79" i="3" s="1"/>
  <c r="J79" i="3" s="1"/>
  <c r="K79" i="3" s="1"/>
  <c r="I19" i="2"/>
  <c r="J105" i="3"/>
  <c r="F54" i="4"/>
  <c r="F62" i="4"/>
  <c r="C53" i="4"/>
  <c r="C64" i="4"/>
  <c r="C70" i="4"/>
  <c r="C69" i="4"/>
  <c r="C61" i="4"/>
  <c r="C68" i="4"/>
  <c r="C60" i="4"/>
  <c r="C67" i="4"/>
  <c r="C51" i="4"/>
  <c r="C65" i="4"/>
  <c r="C75" i="4"/>
  <c r="C72" i="4"/>
  <c r="C50" i="4"/>
  <c r="C55" i="4"/>
  <c r="C71" i="4"/>
  <c r="C59" i="4"/>
  <c r="C66" i="4"/>
  <c r="C73" i="4"/>
  <c r="C74" i="4"/>
  <c r="C52" i="4"/>
  <c r="F10" i="4"/>
  <c r="F14" i="1"/>
  <c r="H194" i="3"/>
  <c r="F56" i="4"/>
  <c r="H16" i="1"/>
  <c r="I42" i="3"/>
  <c r="H30" i="2"/>
  <c r="H140" i="3"/>
  <c r="I137" i="3" s="1"/>
  <c r="H4" i="3"/>
  <c r="I8" i="3"/>
  <c r="J113" i="3"/>
  <c r="I28" i="2"/>
  <c r="D54" i="2"/>
  <c r="E74" i="4"/>
  <c r="F13" i="4" l="1"/>
  <c r="F17" i="1"/>
  <c r="F68" i="3"/>
  <c r="F70" i="3"/>
  <c r="G71" i="3" s="1"/>
  <c r="H71" i="3" s="1"/>
  <c r="I71" i="3" s="1"/>
  <c r="J71" i="3" s="1"/>
  <c r="K71" i="3" s="1"/>
  <c r="G54" i="3"/>
  <c r="G57" i="3" s="1"/>
  <c r="G192" i="3"/>
  <c r="H22" i="3"/>
  <c r="G9" i="1"/>
  <c r="I194" i="3"/>
  <c r="G199" i="3"/>
  <c r="I30" i="2"/>
  <c r="I140" i="3"/>
  <c r="J137" i="3" s="1"/>
  <c r="G195" i="3"/>
  <c r="G191" i="3"/>
  <c r="I16" i="1"/>
  <c r="J42" i="3"/>
  <c r="G8" i="2"/>
  <c r="H77" i="3"/>
  <c r="G193" i="3"/>
  <c r="H32" i="3"/>
  <c r="I32" i="3" s="1"/>
  <c r="J32" i="3" s="1"/>
  <c r="K32" i="3" s="1"/>
  <c r="G30" i="3"/>
  <c r="D13" i="4"/>
  <c r="D17" i="1"/>
  <c r="G4" i="4"/>
  <c r="G7" i="1"/>
  <c r="G19" i="4"/>
  <c r="G20" i="4"/>
  <c r="K113" i="3"/>
  <c r="K28" i="2" s="1"/>
  <c r="J28" i="2"/>
  <c r="H6" i="3"/>
  <c r="H85" i="3"/>
  <c r="H11" i="2" s="1"/>
  <c r="H101" i="3"/>
  <c r="H18" i="2" s="1"/>
  <c r="H159" i="3"/>
  <c r="H43" i="2" s="1"/>
  <c r="H109" i="3"/>
  <c r="H20" i="2" s="1"/>
  <c r="H16" i="3"/>
  <c r="H6" i="1" s="1"/>
  <c r="H89" i="3"/>
  <c r="H15" i="2" s="1"/>
  <c r="H5" i="1"/>
  <c r="H20" i="4" s="1"/>
  <c r="H38" i="3"/>
  <c r="H93" i="3"/>
  <c r="H16" i="2" s="1"/>
  <c r="H34" i="3"/>
  <c r="H13" i="1" s="1"/>
  <c r="H12" i="4" s="1"/>
  <c r="H163" i="3"/>
  <c r="H44" i="2" s="1"/>
  <c r="H180" i="3"/>
  <c r="H49" i="2" s="1"/>
  <c r="H171" i="3"/>
  <c r="H47" i="2" s="1"/>
  <c r="C13" i="8"/>
  <c r="G200" i="3"/>
  <c r="H17" i="2"/>
  <c r="I97" i="3"/>
  <c r="I4" i="3"/>
  <c r="J8" i="3"/>
  <c r="J19" i="2"/>
  <c r="K105" i="3"/>
  <c r="K19" i="2" s="1"/>
  <c r="G12" i="4"/>
  <c r="H128" i="3"/>
  <c r="I128" i="3" s="1"/>
  <c r="J128" i="3" s="1"/>
  <c r="K128" i="3" s="1"/>
  <c r="G127" i="3"/>
  <c r="I51" i="3"/>
  <c r="I21" i="1" s="1"/>
  <c r="J151" i="3"/>
  <c r="J51" i="3" s="1"/>
  <c r="J21" i="1" s="1"/>
  <c r="K151" i="3"/>
  <c r="K51" i="3" s="1"/>
  <c r="K21" i="1" s="1"/>
  <c r="H15" i="4"/>
  <c r="C13" i="4"/>
  <c r="C17" i="1"/>
  <c r="G5" i="4"/>
  <c r="G198" i="3"/>
  <c r="E16" i="4"/>
  <c r="E22" i="1"/>
  <c r="E44" i="3"/>
  <c r="E48" i="3" s="1"/>
  <c r="G144" i="3"/>
  <c r="G147" i="3" s="1"/>
  <c r="F142" i="3"/>
  <c r="D65" i="4"/>
  <c r="D71" i="4"/>
  <c r="D70" i="4"/>
  <c r="D69" i="4"/>
  <c r="D61" i="4"/>
  <c r="D68" i="4"/>
  <c r="D51" i="4"/>
  <c r="D53" i="4"/>
  <c r="D75" i="4"/>
  <c r="D55" i="4"/>
  <c r="D72" i="4"/>
  <c r="D52" i="4"/>
  <c r="D67" i="4"/>
  <c r="D50" i="4"/>
  <c r="D66" i="4"/>
  <c r="D59" i="4"/>
  <c r="D60" i="4"/>
  <c r="D64" i="4"/>
  <c r="D74" i="4"/>
  <c r="D62" i="4"/>
  <c r="D54" i="4"/>
  <c r="D73" i="4"/>
  <c r="G15" i="1"/>
  <c r="G14" i="4" s="1"/>
  <c r="G177" i="3"/>
  <c r="G178" i="3" s="1"/>
  <c r="H176" i="3" s="1"/>
  <c r="G15" i="4"/>
  <c r="I26" i="3"/>
  <c r="H10" i="1"/>
  <c r="H9" i="4" s="1"/>
  <c r="B13" i="4"/>
  <c r="B17" i="1"/>
  <c r="I7" i="2"/>
  <c r="J73" i="3"/>
  <c r="J69" i="3"/>
  <c r="G142" i="3" l="1"/>
  <c r="G39" i="2" s="1"/>
  <c r="H144" i="3"/>
  <c r="H147" i="3" s="1"/>
  <c r="H177" i="3"/>
  <c r="H15" i="1"/>
  <c r="H14" i="4" s="1"/>
  <c r="H8" i="2"/>
  <c r="I77" i="3"/>
  <c r="F16" i="4"/>
  <c r="F22" i="1"/>
  <c r="F44" i="3"/>
  <c r="F48" i="3" s="1"/>
  <c r="E21" i="4"/>
  <c r="E117" i="3"/>
  <c r="E120" i="3" s="1"/>
  <c r="H5" i="4"/>
  <c r="J7" i="2"/>
  <c r="K73" i="3"/>
  <c r="K7" i="2" s="1"/>
  <c r="H195" i="3"/>
  <c r="D22" i="1"/>
  <c r="D44" i="3"/>
  <c r="D48" i="3" s="1"/>
  <c r="D16" i="4"/>
  <c r="G8" i="4"/>
  <c r="G8" i="1"/>
  <c r="G33" i="2"/>
  <c r="H127" i="3"/>
  <c r="H198" i="3"/>
  <c r="H201" i="3" s="1"/>
  <c r="B16" i="4"/>
  <c r="B22" i="1"/>
  <c r="B44" i="3"/>
  <c r="B48" i="3" s="1"/>
  <c r="G201" i="3"/>
  <c r="H193" i="3"/>
  <c r="G196" i="3"/>
  <c r="H9" i="1"/>
  <c r="I22" i="3"/>
  <c r="K8" i="3"/>
  <c r="K4" i="3" s="1"/>
  <c r="J4" i="3"/>
  <c r="G12" i="1"/>
  <c r="G11" i="4" s="1"/>
  <c r="H30" i="3"/>
  <c r="K194" i="3"/>
  <c r="H199" i="3"/>
  <c r="J153" i="3"/>
  <c r="K150" i="3" s="1"/>
  <c r="K153" i="3" s="1"/>
  <c r="J26" i="3"/>
  <c r="I10" i="1"/>
  <c r="C16" i="4"/>
  <c r="C22" i="1"/>
  <c r="C44" i="3"/>
  <c r="C48" i="3" s="1"/>
  <c r="J194" i="3"/>
  <c r="H200" i="3"/>
  <c r="H54" i="3"/>
  <c r="H57" i="3" s="1"/>
  <c r="G64" i="3"/>
  <c r="I16" i="3"/>
  <c r="I6" i="1" s="1"/>
  <c r="I5" i="4" s="1"/>
  <c r="I89" i="3"/>
  <c r="I15" i="2" s="1"/>
  <c r="I34" i="3"/>
  <c r="I13" i="1" s="1"/>
  <c r="I5" i="1"/>
  <c r="I171" i="3"/>
  <c r="I47" i="2" s="1"/>
  <c r="I85" i="3"/>
  <c r="I11" i="2" s="1"/>
  <c r="I6" i="3"/>
  <c r="I38" i="3"/>
  <c r="I101" i="3"/>
  <c r="I18" i="2" s="1"/>
  <c r="I163" i="3"/>
  <c r="I44" i="2" s="1"/>
  <c r="I180" i="3"/>
  <c r="I49" i="2" s="1"/>
  <c r="I93" i="3"/>
  <c r="I16" i="2" s="1"/>
  <c r="I109" i="3"/>
  <c r="I20" i="2" s="1"/>
  <c r="I159" i="3"/>
  <c r="I43" i="2" s="1"/>
  <c r="H192" i="3"/>
  <c r="J30" i="2"/>
  <c r="J140" i="3"/>
  <c r="K137" i="3" s="1"/>
  <c r="K69" i="3"/>
  <c r="H69" i="3"/>
  <c r="I69" i="3"/>
  <c r="G69" i="3"/>
  <c r="G63" i="3" s="1"/>
  <c r="H48" i="2"/>
  <c r="H178" i="3"/>
  <c r="I176" i="3" s="1"/>
  <c r="H19" i="4"/>
  <c r="H4" i="4"/>
  <c r="H7" i="1"/>
  <c r="G6" i="4"/>
  <c r="I20" i="4"/>
  <c r="I17" i="2"/>
  <c r="J97" i="3"/>
  <c r="H22" i="2"/>
  <c r="H191" i="3"/>
  <c r="H196" i="3" s="1"/>
  <c r="H202" i="3" s="1"/>
  <c r="J16" i="1"/>
  <c r="K42" i="3"/>
  <c r="K16" i="1" s="1"/>
  <c r="G67" i="3" l="1"/>
  <c r="B7" i="6" s="1"/>
  <c r="G66" i="3"/>
  <c r="I19" i="4"/>
  <c r="I4" i="4"/>
  <c r="I7" i="1"/>
  <c r="H12" i="1"/>
  <c r="H11" i="4" s="1"/>
  <c r="I30" i="3"/>
  <c r="G49" i="3"/>
  <c r="G20" i="3"/>
  <c r="G7" i="4"/>
  <c r="C21" i="4"/>
  <c r="C117" i="3"/>
  <c r="C120" i="3" s="1"/>
  <c r="H6" i="4"/>
  <c r="J15" i="4"/>
  <c r="I12" i="4"/>
  <c r="B21" i="4"/>
  <c r="B117" i="3"/>
  <c r="B120" i="3" s="1"/>
  <c r="I198" i="3"/>
  <c r="I22" i="2"/>
  <c r="I191" i="3"/>
  <c r="F21" i="4"/>
  <c r="F117" i="3"/>
  <c r="F120" i="3" s="1"/>
  <c r="D21" i="4"/>
  <c r="D117" i="3"/>
  <c r="D120" i="3" s="1"/>
  <c r="I9" i="4"/>
  <c r="K5" i="1"/>
  <c r="K6" i="3"/>
  <c r="K93" i="3"/>
  <c r="K16" i="2" s="1"/>
  <c r="K38" i="3"/>
  <c r="K85" i="3"/>
  <c r="K11" i="2" s="1"/>
  <c r="K34" i="3"/>
  <c r="K13" i="1" s="1"/>
  <c r="K109" i="3"/>
  <c r="K20" i="2" s="1"/>
  <c r="K163" i="3"/>
  <c r="K44" i="2" s="1"/>
  <c r="K171" i="3"/>
  <c r="K47" i="2" s="1"/>
  <c r="K159" i="3"/>
  <c r="K43" i="2" s="1"/>
  <c r="K16" i="3"/>
  <c r="K6" i="1" s="1"/>
  <c r="K5" i="4" s="1"/>
  <c r="K180" i="3"/>
  <c r="K49" i="2" s="1"/>
  <c r="K101" i="3"/>
  <c r="K18" i="2" s="1"/>
  <c r="K89" i="3"/>
  <c r="K15" i="2" s="1"/>
  <c r="I8" i="2"/>
  <c r="J77" i="3"/>
  <c r="I48" i="2"/>
  <c r="I199" i="3"/>
  <c r="I200" i="3"/>
  <c r="K26" i="3"/>
  <c r="K10" i="1" s="1"/>
  <c r="K9" i="4" s="1"/>
  <c r="J10" i="1"/>
  <c r="I9" i="1"/>
  <c r="J22" i="3"/>
  <c r="H33" i="2"/>
  <c r="I127" i="3"/>
  <c r="I195" i="3"/>
  <c r="I192" i="3"/>
  <c r="J5" i="1"/>
  <c r="J38" i="3"/>
  <c r="J16" i="3"/>
  <c r="J6" i="1" s="1"/>
  <c r="J5" i="4" s="1"/>
  <c r="J89" i="3"/>
  <c r="J15" i="2" s="1"/>
  <c r="J6" i="3"/>
  <c r="J109" i="3"/>
  <c r="J20" i="2" s="1"/>
  <c r="J163" i="3"/>
  <c r="J44" i="2" s="1"/>
  <c r="J159" i="3"/>
  <c r="J43" i="2" s="1"/>
  <c r="J101" i="3"/>
  <c r="J18" i="2" s="1"/>
  <c r="J180" i="3"/>
  <c r="J49" i="2" s="1"/>
  <c r="J171" i="3"/>
  <c r="J47" i="2" s="1"/>
  <c r="J34" i="3"/>
  <c r="J13" i="1" s="1"/>
  <c r="J12" i="4" s="1"/>
  <c r="J85" i="3"/>
  <c r="J11" i="2" s="1"/>
  <c r="J93" i="3"/>
  <c r="J16" i="2" s="1"/>
  <c r="J17" i="2"/>
  <c r="K97" i="3"/>
  <c r="K17" i="2" s="1"/>
  <c r="G202" i="3"/>
  <c r="G189" i="3" s="1"/>
  <c r="B9" i="6" s="1"/>
  <c r="H8" i="1"/>
  <c r="H11" i="1" s="1"/>
  <c r="H8" i="4"/>
  <c r="G11" i="1"/>
  <c r="I144" i="3"/>
  <c r="I147" i="3" s="1"/>
  <c r="H142" i="3"/>
  <c r="H39" i="2" s="1"/>
  <c r="I193" i="3"/>
  <c r="I54" i="3"/>
  <c r="I57" i="3" s="1"/>
  <c r="I15" i="1"/>
  <c r="I14" i="4" s="1"/>
  <c r="I177" i="3"/>
  <c r="I178" i="3" s="1"/>
  <c r="J176" i="3" s="1"/>
  <c r="K30" i="2"/>
  <c r="K140" i="3"/>
  <c r="I15" i="4"/>
  <c r="H10" i="4" l="1"/>
  <c r="H14" i="1"/>
  <c r="J48" i="2"/>
  <c r="I8" i="4"/>
  <c r="I8" i="1"/>
  <c r="K22" i="2"/>
  <c r="K191" i="3"/>
  <c r="J9" i="4"/>
  <c r="K193" i="3"/>
  <c r="K19" i="4"/>
  <c r="K4" i="4"/>
  <c r="K7" i="1"/>
  <c r="K20" i="4"/>
  <c r="K199" i="3"/>
  <c r="G121" i="3"/>
  <c r="H121" i="3" s="1"/>
  <c r="I121" i="3" s="1"/>
  <c r="J121" i="3" s="1"/>
  <c r="K121" i="3" s="1"/>
  <c r="F11" i="8"/>
  <c r="G11" i="8" s="1"/>
  <c r="H49" i="3"/>
  <c r="I49" i="3" s="1"/>
  <c r="J49" i="3" s="1"/>
  <c r="K49" i="3" s="1"/>
  <c r="J19" i="4"/>
  <c r="J4" i="4"/>
  <c r="J7" i="1"/>
  <c r="J20" i="4"/>
  <c r="I12" i="1"/>
  <c r="I11" i="4" s="1"/>
  <c r="J30" i="3"/>
  <c r="I6" i="4"/>
  <c r="I11" i="1"/>
  <c r="K200" i="3"/>
  <c r="J192" i="3"/>
  <c r="J177" i="3"/>
  <c r="J178" i="3" s="1"/>
  <c r="K176" i="3" s="1"/>
  <c r="J15" i="1"/>
  <c r="J14" i="4" s="1"/>
  <c r="I142" i="3"/>
  <c r="I39" i="2" s="1"/>
  <c r="J144" i="3"/>
  <c r="J147" i="3" s="1"/>
  <c r="K195" i="3"/>
  <c r="J54" i="3"/>
  <c r="J57" i="3" s="1"/>
  <c r="K198" i="3"/>
  <c r="G14" i="1"/>
  <c r="G10" i="4"/>
  <c r="J198" i="3"/>
  <c r="J201" i="3" s="1"/>
  <c r="K12" i="4"/>
  <c r="I196" i="3"/>
  <c r="K15" i="4"/>
  <c r="H189" i="3"/>
  <c r="C9" i="6" s="1"/>
  <c r="J195" i="3"/>
  <c r="J8" i="2"/>
  <c r="K77" i="3"/>
  <c r="K8" i="2" s="1"/>
  <c r="K177" i="3"/>
  <c r="K15" i="1"/>
  <c r="K14" i="4" s="1"/>
  <c r="H62" i="3"/>
  <c r="G53" i="3"/>
  <c r="G6" i="2" s="1"/>
  <c r="J22" i="2"/>
  <c r="J191" i="3"/>
  <c r="J199" i="3"/>
  <c r="J193" i="3"/>
  <c r="H7" i="4"/>
  <c r="H20" i="3"/>
  <c r="J200" i="3"/>
  <c r="J127" i="3"/>
  <c r="I33" i="2"/>
  <c r="J9" i="1"/>
  <c r="K22" i="3"/>
  <c r="K9" i="1" s="1"/>
  <c r="K192" i="3"/>
  <c r="I201" i="3"/>
  <c r="K48" i="2" l="1"/>
  <c r="K178" i="3"/>
  <c r="I202" i="3"/>
  <c r="I189" i="3" s="1"/>
  <c r="D9" i="6" s="1"/>
  <c r="K54" i="3"/>
  <c r="K57" i="3" s="1"/>
  <c r="K196" i="3"/>
  <c r="I7" i="4"/>
  <c r="I20" i="3"/>
  <c r="J8" i="4"/>
  <c r="J8" i="1"/>
  <c r="K30" i="3"/>
  <c r="K12" i="1" s="1"/>
  <c r="K11" i="4" s="1"/>
  <c r="J12" i="1"/>
  <c r="J11" i="4" s="1"/>
  <c r="G13" i="4"/>
  <c r="G17" i="1"/>
  <c r="K144" i="3"/>
  <c r="K147" i="3" s="1"/>
  <c r="K142" i="3" s="1"/>
  <c r="K39" i="2" s="1"/>
  <c r="J142" i="3"/>
  <c r="J39" i="2" s="1"/>
  <c r="K6" i="4"/>
  <c r="K11" i="1"/>
  <c r="I10" i="4"/>
  <c r="I14" i="1"/>
  <c r="K8" i="4"/>
  <c r="K8" i="1"/>
  <c r="J196" i="3"/>
  <c r="J202" i="3" s="1"/>
  <c r="J189" i="3" s="1"/>
  <c r="E9" i="6" s="1"/>
  <c r="J33" i="2"/>
  <c r="K127" i="3"/>
  <c r="K33" i="2" s="1"/>
  <c r="B8" i="6"/>
  <c r="G12" i="2"/>
  <c r="J6" i="4"/>
  <c r="J11" i="1"/>
  <c r="H13" i="4"/>
  <c r="H17" i="1"/>
  <c r="H63" i="3"/>
  <c r="H67" i="3" s="1"/>
  <c r="C7" i="6" s="1"/>
  <c r="H64" i="3"/>
  <c r="K201" i="3"/>
  <c r="K202" i="3" l="1"/>
  <c r="K189" i="3" s="1"/>
  <c r="F9" i="6" s="1"/>
  <c r="B4" i="6"/>
  <c r="B5" i="6" s="1"/>
  <c r="B11" i="6" s="1"/>
  <c r="G16" i="4"/>
  <c r="G44" i="3"/>
  <c r="G47" i="3" s="1"/>
  <c r="C4" i="6"/>
  <c r="C5" i="6" s="1"/>
  <c r="H16" i="4"/>
  <c r="H44" i="3"/>
  <c r="H47" i="3" s="1"/>
  <c r="K10" i="4"/>
  <c r="K14" i="1"/>
  <c r="H66" i="3"/>
  <c r="K7" i="4"/>
  <c r="K20" i="3"/>
  <c r="J14" i="1"/>
  <c r="J10" i="4"/>
  <c r="J7" i="4"/>
  <c r="J20" i="3"/>
  <c r="I17" i="1"/>
  <c r="I13" i="4"/>
  <c r="G155" i="3"/>
  <c r="H19" i="1" l="1"/>
  <c r="H45" i="3"/>
  <c r="I62" i="3"/>
  <c r="H53" i="3"/>
  <c r="H6" i="2" s="1"/>
  <c r="J13" i="4"/>
  <c r="J17" i="1"/>
  <c r="G45" i="3"/>
  <c r="G19" i="1"/>
  <c r="G37" i="2"/>
  <c r="G167" i="3"/>
  <c r="G45" i="2" s="1"/>
  <c r="D4" i="6"/>
  <c r="D5" i="6" s="1"/>
  <c r="I16" i="4"/>
  <c r="I44" i="3"/>
  <c r="I47" i="3" s="1"/>
  <c r="K13" i="4"/>
  <c r="K17" i="1"/>
  <c r="C12" i="8" l="1"/>
  <c r="C11" i="8" s="1"/>
  <c r="G40" i="2"/>
  <c r="E4" i="6"/>
  <c r="E5" i="6" s="1"/>
  <c r="J16" i="4"/>
  <c r="J44" i="3"/>
  <c r="J47" i="3" s="1"/>
  <c r="C8" i="6"/>
  <c r="C11" i="6" s="1"/>
  <c r="H12" i="2"/>
  <c r="G18" i="4"/>
  <c r="G18" i="1"/>
  <c r="I19" i="1"/>
  <c r="I45" i="3"/>
  <c r="I66" i="3"/>
  <c r="I64" i="3"/>
  <c r="I63" i="3"/>
  <c r="I67" i="3" s="1"/>
  <c r="D7" i="6" s="1"/>
  <c r="G52" i="2"/>
  <c r="F4" i="6"/>
  <c r="F5" i="6" s="1"/>
  <c r="K16" i="4"/>
  <c r="K44" i="3"/>
  <c r="K47" i="3" s="1"/>
  <c r="H18" i="4"/>
  <c r="H18" i="1"/>
  <c r="H155" i="3" l="1"/>
  <c r="H23" i="2"/>
  <c r="K45" i="3"/>
  <c r="K19" i="1"/>
  <c r="J45" i="3"/>
  <c r="J19" i="1"/>
  <c r="G53" i="2"/>
  <c r="J62" i="3"/>
  <c r="I53" i="3"/>
  <c r="I6" i="2" s="1"/>
  <c r="B15" i="6"/>
  <c r="G17" i="4"/>
  <c r="G22" i="1"/>
  <c r="H17" i="4"/>
  <c r="H22" i="1"/>
  <c r="I18" i="4"/>
  <c r="I18" i="1"/>
  <c r="I17" i="4" l="1"/>
  <c r="I22" i="1"/>
  <c r="H21" i="4"/>
  <c r="H117" i="3"/>
  <c r="H119" i="3" s="1"/>
  <c r="G21" i="4"/>
  <c r="G117" i="3"/>
  <c r="H36" i="4"/>
  <c r="H35" i="4"/>
  <c r="H45" i="4"/>
  <c r="H43" i="4"/>
  <c r="H31" i="4"/>
  <c r="H32" i="4"/>
  <c r="H41" i="4"/>
  <c r="H29" i="4"/>
  <c r="H40" i="4"/>
  <c r="H42" i="4"/>
  <c r="H37" i="4"/>
  <c r="H39" i="4"/>
  <c r="H33" i="4"/>
  <c r="H38" i="4"/>
  <c r="H44" i="4"/>
  <c r="H30" i="4"/>
  <c r="H28" i="4"/>
  <c r="H167" i="3"/>
  <c r="H45" i="2" s="1"/>
  <c r="H37" i="2"/>
  <c r="H34" i="4"/>
  <c r="J18" i="4"/>
  <c r="J18" i="1"/>
  <c r="K18" i="4"/>
  <c r="K18" i="1"/>
  <c r="D8" i="6"/>
  <c r="D11" i="6" s="1"/>
  <c r="I12" i="2"/>
  <c r="J66" i="3"/>
  <c r="J63" i="3"/>
  <c r="J64" i="3"/>
  <c r="I23" i="2" l="1"/>
  <c r="I34" i="4" s="1"/>
  <c r="I155" i="3"/>
  <c r="I21" i="4"/>
  <c r="I117" i="3"/>
  <c r="I119" i="3" s="1"/>
  <c r="K17" i="4"/>
  <c r="K22" i="1"/>
  <c r="H40" i="2"/>
  <c r="K62" i="3"/>
  <c r="J53" i="3"/>
  <c r="J6" i="2" s="1"/>
  <c r="G119" i="3"/>
  <c r="G118" i="3"/>
  <c r="J17" i="4"/>
  <c r="J22" i="1"/>
  <c r="H52" i="2"/>
  <c r="J67" i="3"/>
  <c r="E7" i="6" s="1"/>
  <c r="J21" i="4" l="1"/>
  <c r="J117" i="3"/>
  <c r="J119" i="3" s="1"/>
  <c r="E8" i="6"/>
  <c r="E11" i="6" s="1"/>
  <c r="J12" i="2"/>
  <c r="I37" i="2"/>
  <c r="I167" i="3"/>
  <c r="I45" i="2" s="1"/>
  <c r="K63" i="3"/>
  <c r="K67" i="3" s="1"/>
  <c r="F7" i="6" s="1"/>
  <c r="K64" i="3"/>
  <c r="G31" i="2"/>
  <c r="H118" i="3"/>
  <c r="I36" i="4"/>
  <c r="I35" i="4"/>
  <c r="I45" i="4"/>
  <c r="I43" i="4"/>
  <c r="I31" i="4"/>
  <c r="I32" i="4"/>
  <c r="I41" i="4"/>
  <c r="I29" i="4"/>
  <c r="I37" i="4"/>
  <c r="I39" i="4"/>
  <c r="I42" i="4"/>
  <c r="I38" i="4"/>
  <c r="I40" i="4"/>
  <c r="I33" i="4"/>
  <c r="I30" i="4"/>
  <c r="I44" i="4"/>
  <c r="I28" i="4"/>
  <c r="K21" i="4"/>
  <c r="K117" i="3"/>
  <c r="K119" i="3" s="1"/>
  <c r="H53" i="2"/>
  <c r="I52" i="2" l="1"/>
  <c r="I40" i="2"/>
  <c r="J23" i="2"/>
  <c r="J155" i="3"/>
  <c r="K66" i="3"/>
  <c r="K53" i="3" s="1"/>
  <c r="K6" i="2" s="1"/>
  <c r="H31" i="2"/>
  <c r="I118" i="3"/>
  <c r="G32" i="2"/>
  <c r="J37" i="2" l="1"/>
  <c r="J167" i="3"/>
  <c r="J45" i="2" s="1"/>
  <c r="J31" i="4"/>
  <c r="J36" i="4"/>
  <c r="J35" i="4"/>
  <c r="J45" i="4"/>
  <c r="J43" i="4"/>
  <c r="J32" i="4"/>
  <c r="J41" i="4"/>
  <c r="J29" i="4"/>
  <c r="J37" i="4"/>
  <c r="J42" i="4"/>
  <c r="J40" i="4"/>
  <c r="J39" i="4"/>
  <c r="J33" i="4"/>
  <c r="J38" i="4"/>
  <c r="J44" i="4"/>
  <c r="J30" i="4"/>
  <c r="J28" i="4"/>
  <c r="I53" i="2"/>
  <c r="J34" i="4"/>
  <c r="I31" i="2"/>
  <c r="J118" i="3"/>
  <c r="F8" i="6"/>
  <c r="F11" i="6" s="1"/>
  <c r="K12" i="2"/>
  <c r="G34" i="2"/>
  <c r="H32" i="2"/>
  <c r="I32" i="2" l="1"/>
  <c r="H34" i="2"/>
  <c r="K23" i="2"/>
  <c r="K34" i="4"/>
  <c r="K155" i="3"/>
  <c r="J31" i="2"/>
  <c r="K118" i="3"/>
  <c r="K31" i="2" s="1"/>
  <c r="J52" i="2"/>
  <c r="C9" i="8"/>
  <c r="G54" i="2"/>
  <c r="G56" i="4" s="1"/>
  <c r="J40" i="2"/>
  <c r="J32" i="2" l="1"/>
  <c r="K32" i="2"/>
  <c r="K31" i="4"/>
  <c r="K36" i="4"/>
  <c r="K35" i="4"/>
  <c r="K45" i="4"/>
  <c r="K43" i="4"/>
  <c r="K32" i="4"/>
  <c r="K41" i="4"/>
  <c r="K29" i="4"/>
  <c r="K33" i="4"/>
  <c r="K42" i="4"/>
  <c r="K37" i="4"/>
  <c r="K38" i="4"/>
  <c r="K39" i="4"/>
  <c r="K40" i="4"/>
  <c r="K30" i="4"/>
  <c r="K44" i="4"/>
  <c r="K28" i="4"/>
  <c r="H54" i="2"/>
  <c r="H56" i="4" s="1"/>
  <c r="G63" i="4"/>
  <c r="G60" i="4"/>
  <c r="G67" i="4"/>
  <c r="G21" i="2"/>
  <c r="G75" i="4"/>
  <c r="G51" i="4"/>
  <c r="G50" i="4"/>
  <c r="G72" i="4"/>
  <c r="G69" i="4"/>
  <c r="G71" i="4"/>
  <c r="G52" i="4"/>
  <c r="G70" i="4"/>
  <c r="G68" i="4"/>
  <c r="G65" i="4"/>
  <c r="G64" i="4"/>
  <c r="G55" i="4"/>
  <c r="G61" i="4"/>
  <c r="G59" i="4"/>
  <c r="G66" i="4"/>
  <c r="G73" i="4"/>
  <c r="G62" i="4"/>
  <c r="G74" i="4"/>
  <c r="G53" i="4"/>
  <c r="G54" i="4"/>
  <c r="I34" i="2"/>
  <c r="K37" i="2"/>
  <c r="K167" i="3"/>
  <c r="K45" i="2" s="1"/>
  <c r="D9" i="8"/>
  <c r="D11" i="8"/>
  <c r="J53" i="2"/>
  <c r="K52" i="2" l="1"/>
  <c r="H63" i="4"/>
  <c r="H75" i="4"/>
  <c r="H60" i="4"/>
  <c r="H67" i="4"/>
  <c r="H51" i="4"/>
  <c r="H72" i="4"/>
  <c r="H50" i="4"/>
  <c r="H71" i="4"/>
  <c r="H52" i="4"/>
  <c r="H65" i="4"/>
  <c r="H70" i="4"/>
  <c r="H64" i="4"/>
  <c r="H68" i="4"/>
  <c r="H69" i="4"/>
  <c r="H55" i="4"/>
  <c r="H61" i="4"/>
  <c r="H66" i="4"/>
  <c r="H59" i="4"/>
  <c r="H62" i="4"/>
  <c r="H73" i="4"/>
  <c r="H74" i="4"/>
  <c r="H53" i="4"/>
  <c r="H54" i="4"/>
  <c r="B8" i="8"/>
  <c r="G22" i="2"/>
  <c r="K34" i="2"/>
  <c r="K40" i="2"/>
  <c r="J34" i="2"/>
  <c r="I54" i="2"/>
  <c r="G23" i="2" l="1"/>
  <c r="J54" i="2"/>
  <c r="B13" i="6"/>
  <c r="C13" i="6"/>
  <c r="D13" i="6"/>
  <c r="E13" i="6"/>
  <c r="F12" i="6"/>
  <c r="F13" i="6" s="1"/>
  <c r="K53" i="2"/>
  <c r="I63" i="4"/>
  <c r="I75" i="4"/>
  <c r="I67" i="4"/>
  <c r="I60" i="4"/>
  <c r="I72" i="4"/>
  <c r="I51" i="4"/>
  <c r="I71" i="4"/>
  <c r="I50" i="4"/>
  <c r="I52" i="4"/>
  <c r="I65" i="4"/>
  <c r="I70" i="4"/>
  <c r="I64" i="4"/>
  <c r="I68" i="4"/>
  <c r="I69" i="4"/>
  <c r="I55" i="4"/>
  <c r="I61" i="4"/>
  <c r="I66" i="4"/>
  <c r="I59" i="4"/>
  <c r="I73" i="4"/>
  <c r="I62" i="4"/>
  <c r="I53" i="4"/>
  <c r="I74" i="4"/>
  <c r="I54" i="4"/>
  <c r="I56" i="4"/>
  <c r="K54" i="2" l="1"/>
  <c r="K74" i="4"/>
  <c r="B14" i="6"/>
  <c r="B17" i="6" s="1"/>
  <c r="B19" i="6" s="1"/>
  <c r="G36" i="4"/>
  <c r="G35" i="4"/>
  <c r="G31" i="4"/>
  <c r="G45" i="4"/>
  <c r="G29" i="4"/>
  <c r="G41" i="4"/>
  <c r="G32" i="4"/>
  <c r="G40" i="4"/>
  <c r="G38" i="4"/>
  <c r="G33" i="4"/>
  <c r="G37" i="4"/>
  <c r="G42" i="4"/>
  <c r="G39" i="4"/>
  <c r="G30" i="4"/>
  <c r="G28" i="4"/>
  <c r="G34" i="4"/>
  <c r="G43" i="4"/>
  <c r="G44" i="4"/>
  <c r="J63" i="4"/>
  <c r="J75" i="4"/>
  <c r="J60" i="4"/>
  <c r="J67" i="4"/>
  <c r="J71" i="4"/>
  <c r="J72" i="4"/>
  <c r="J51" i="4"/>
  <c r="J50" i="4"/>
  <c r="J52" i="4"/>
  <c r="J68" i="4"/>
  <c r="J65" i="4"/>
  <c r="J64" i="4"/>
  <c r="J70" i="4"/>
  <c r="J69" i="4"/>
  <c r="J61" i="4"/>
  <c r="J55" i="4"/>
  <c r="J59" i="4"/>
  <c r="J66" i="4"/>
  <c r="J53" i="4"/>
  <c r="J62" i="4"/>
  <c r="J73" i="4"/>
  <c r="J74" i="4"/>
  <c r="J54" i="4"/>
  <c r="J56" i="4"/>
  <c r="K63" i="4" l="1"/>
  <c r="K75" i="4"/>
  <c r="K71" i="4"/>
  <c r="K60" i="4"/>
  <c r="K67" i="4"/>
  <c r="K72" i="4"/>
  <c r="K51" i="4"/>
  <c r="K50" i="4"/>
  <c r="K52" i="4"/>
  <c r="K68" i="4"/>
  <c r="K70" i="4"/>
  <c r="K65" i="4"/>
  <c r="K64" i="4"/>
  <c r="K61" i="4"/>
  <c r="K55" i="4"/>
  <c r="K69" i="4"/>
  <c r="K53" i="4"/>
  <c r="K66" i="4"/>
  <c r="K54" i="4"/>
  <c r="K59" i="4"/>
  <c r="K62" i="4"/>
  <c r="K56" i="4"/>
  <c r="K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8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Non current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2% perpetual growth
</t>
        </r>
      </text>
    </comment>
  </commentList>
</comments>
</file>

<file path=xl/sharedStrings.xml><?xml version="1.0" encoding="utf-8"?>
<sst xmlns="http://schemas.openxmlformats.org/spreadsheetml/2006/main" count="257" uniqueCount="179">
  <si>
    <t>Particulars</t>
  </si>
  <si>
    <t>Assets</t>
  </si>
  <si>
    <t>PPE</t>
  </si>
  <si>
    <t>Total non current assets</t>
  </si>
  <si>
    <t>Intangible assets</t>
  </si>
  <si>
    <t>Capital work in progress</t>
  </si>
  <si>
    <t>Investment in subsidiaries and associates</t>
  </si>
  <si>
    <t>Trade receivables</t>
  </si>
  <si>
    <t>Inventories</t>
  </si>
  <si>
    <t>Short term investment</t>
  </si>
  <si>
    <t>Advances, deposits and prepayments</t>
  </si>
  <si>
    <t>Related party receivables</t>
  </si>
  <si>
    <t>Other receivables</t>
  </si>
  <si>
    <t>Cash and Cash Equivalents</t>
  </si>
  <si>
    <t>Total current assets</t>
  </si>
  <si>
    <t>Total Assets</t>
  </si>
  <si>
    <t>Equity and Liabilities</t>
  </si>
  <si>
    <t>Share Capital</t>
  </si>
  <si>
    <t>Share premium</t>
  </si>
  <si>
    <t>Revaluation reserve</t>
  </si>
  <si>
    <t>Retained earnings</t>
  </si>
  <si>
    <t>Total equity attributable to ordinary share holders</t>
  </si>
  <si>
    <t>Non-controlling interest</t>
  </si>
  <si>
    <t>Total Equity</t>
  </si>
  <si>
    <t>Liabilities</t>
  </si>
  <si>
    <t>Non current liabilities</t>
  </si>
  <si>
    <t>Long term loan</t>
  </si>
  <si>
    <t>Finance lease</t>
  </si>
  <si>
    <t>Net deffered tax liability</t>
  </si>
  <si>
    <t>Total non current liabilities</t>
  </si>
  <si>
    <t>Current liabilities</t>
  </si>
  <si>
    <t>Trade payables</t>
  </si>
  <si>
    <t>Short term loan from banks</t>
  </si>
  <si>
    <t>Provision for income tax</t>
  </si>
  <si>
    <t>Provision for WPFF and welfare fund</t>
  </si>
  <si>
    <t>Liabilities for expenses and other provision</t>
  </si>
  <si>
    <t>Total current liablities</t>
  </si>
  <si>
    <t>Total equity and liabilities</t>
  </si>
  <si>
    <t>Total Liabilites</t>
  </si>
  <si>
    <t>Unclaimed dividend</t>
  </si>
  <si>
    <t>Right of Use Assets</t>
  </si>
  <si>
    <t>Lease liabilities</t>
  </si>
  <si>
    <t>Current assets:</t>
  </si>
  <si>
    <t>Non current assets:</t>
  </si>
  <si>
    <t>Equity:</t>
  </si>
  <si>
    <t>Equity attributable to ordinary share holders:</t>
  </si>
  <si>
    <t>Current portion of long term loan</t>
  </si>
  <si>
    <t>Current portio of finance lease</t>
  </si>
  <si>
    <t>Actual</t>
  </si>
  <si>
    <t>Forecasted</t>
  </si>
  <si>
    <t>Gross profit</t>
  </si>
  <si>
    <t>Operating expenses</t>
  </si>
  <si>
    <t>Selling &amp; Distribution expenses</t>
  </si>
  <si>
    <t>Administrative expenses</t>
  </si>
  <si>
    <t>Operating profit</t>
  </si>
  <si>
    <t>Other Income/Miscellaneous Income</t>
  </si>
  <si>
    <t>Finance costs</t>
  </si>
  <si>
    <t>Profit before contribution to workers' profit participation fund</t>
  </si>
  <si>
    <t>Contribution to workers' profit participation fund</t>
  </si>
  <si>
    <t>Share of Profit from Associate</t>
  </si>
  <si>
    <t>Profit before taxation</t>
  </si>
  <si>
    <t>Income tax expense</t>
  </si>
  <si>
    <t>Current Tax</t>
  </si>
  <si>
    <t>Provision for Tax</t>
  </si>
  <si>
    <t>Deferred Tax</t>
  </si>
  <si>
    <t>Profit after tax</t>
  </si>
  <si>
    <t>Less: Cost of sales</t>
  </si>
  <si>
    <t>Sales</t>
  </si>
  <si>
    <t xml:space="preserve">  Historical growth rate</t>
  </si>
  <si>
    <t xml:space="preserve">  Forecasted growth rate</t>
  </si>
  <si>
    <t xml:space="preserve">  </t>
  </si>
  <si>
    <t xml:space="preserve">  Break-up of Motorcycle Sales</t>
  </si>
  <si>
    <t>Break-up of Truck Sales</t>
  </si>
  <si>
    <t>2020-21</t>
  </si>
  <si>
    <t>2019-20</t>
  </si>
  <si>
    <t>2018-19</t>
  </si>
  <si>
    <t>2017-18</t>
  </si>
  <si>
    <t>2016-17</t>
  </si>
  <si>
    <t>2021-22</t>
  </si>
  <si>
    <t>2022-23</t>
  </si>
  <si>
    <t>2023-24</t>
  </si>
  <si>
    <t>2024-25</t>
  </si>
  <si>
    <t>2025-26</t>
  </si>
  <si>
    <t>Cost of Sales</t>
  </si>
  <si>
    <t>Percentage of Sales</t>
  </si>
  <si>
    <t>Forecaste</t>
  </si>
  <si>
    <t>Other income</t>
  </si>
  <si>
    <t xml:space="preserve">  Percentage of sales</t>
  </si>
  <si>
    <t xml:space="preserve">  Percentage of Sales</t>
  </si>
  <si>
    <t xml:space="preserve">  Forecasted percentage of sales</t>
  </si>
  <si>
    <t xml:space="preserve">  Historical income tax percentage</t>
  </si>
  <si>
    <t xml:space="preserve">  Forecasted income tax percentage</t>
  </si>
  <si>
    <t xml:space="preserve"> </t>
  </si>
  <si>
    <t>Payment of dividend</t>
  </si>
  <si>
    <t>Dividend payout ratio</t>
  </si>
  <si>
    <t>Expected dividend payout ratio</t>
  </si>
  <si>
    <t>less: payment of dividend</t>
  </si>
  <si>
    <t>Group share of Post acqui. Profit from RML</t>
  </si>
  <si>
    <t xml:space="preserve">  Historical Growth Rate</t>
  </si>
  <si>
    <t>Share of post acquisition profit from RML</t>
  </si>
  <si>
    <t xml:space="preserve">  Historical Growth rate</t>
  </si>
  <si>
    <t>Accumulated Depreciation</t>
  </si>
  <si>
    <t>Opening Balance</t>
  </si>
  <si>
    <t>Closing balance</t>
  </si>
  <si>
    <t>add: Addition during the year</t>
  </si>
  <si>
    <t>less: Adjustment for sale</t>
  </si>
  <si>
    <t>Opening balance</t>
  </si>
  <si>
    <t>Charged during the year</t>
  </si>
  <si>
    <t>Depreciation on revaluation</t>
  </si>
  <si>
    <t>Adjustment for sale/transfer</t>
  </si>
  <si>
    <t>Depreciation percentage</t>
  </si>
  <si>
    <t>Depreciation on revaluation percentage</t>
  </si>
  <si>
    <t xml:space="preserve">Depreciation Expense </t>
  </si>
  <si>
    <t xml:space="preserve">  Historical Growth</t>
  </si>
  <si>
    <t xml:space="preserve">  Forecasted Growth</t>
  </si>
  <si>
    <t xml:space="preserve">  Forecasted rate</t>
  </si>
  <si>
    <t xml:space="preserve">  Inventory as a  percentage of sales</t>
  </si>
  <si>
    <t xml:space="preserve">  Historical growth</t>
  </si>
  <si>
    <t xml:space="preserve">  Forecasted growth</t>
  </si>
  <si>
    <t xml:space="preserve">  Forecasted percentage</t>
  </si>
  <si>
    <t xml:space="preserve">  Forecasted inventory as a percentage of sales</t>
  </si>
  <si>
    <t xml:space="preserve">  Trade receivables as percentage of sales</t>
  </si>
  <si>
    <t xml:space="preserve">   Forecasted trade receivables percentage</t>
  </si>
  <si>
    <t>Deferred tax liability</t>
  </si>
  <si>
    <t>On Revaluation</t>
  </si>
  <si>
    <t>Provisions during the war</t>
  </si>
  <si>
    <t>Adjustments during the war</t>
  </si>
  <si>
    <t>Closing balancee</t>
  </si>
  <si>
    <t>On temporary balance</t>
  </si>
  <si>
    <t>Add: Movement during the year</t>
  </si>
  <si>
    <t>Less: Adjustments during the year</t>
  </si>
  <si>
    <t>Relization of revaluation through depreciation</t>
  </si>
  <si>
    <t>Revaluation surplus</t>
  </si>
  <si>
    <t xml:space="preserve">  Percentage of total long term loan</t>
  </si>
  <si>
    <t xml:space="preserve">  Forecasted average</t>
  </si>
  <si>
    <t>Contribution during the year</t>
  </si>
  <si>
    <t>Ending Balance</t>
  </si>
  <si>
    <t xml:space="preserve">  Forecasted ratio</t>
  </si>
  <si>
    <t>Number of Shares outstanding</t>
  </si>
  <si>
    <t>Bank Overdraft</t>
  </si>
  <si>
    <t xml:space="preserve">  Debt to non-current asset ratio</t>
  </si>
  <si>
    <t>add: Depreciation &amp; Ammortization</t>
  </si>
  <si>
    <t>less: Capex</t>
  </si>
  <si>
    <t>less: Change in working capital</t>
  </si>
  <si>
    <t>FCFF</t>
  </si>
  <si>
    <t>EBIT</t>
  </si>
  <si>
    <t>EBIT after tax</t>
  </si>
  <si>
    <t>Date</t>
  </si>
  <si>
    <t>DSEX</t>
  </si>
  <si>
    <t>runnerauto</t>
  </si>
  <si>
    <t>DSEX return</t>
  </si>
  <si>
    <t>runner auto return</t>
  </si>
  <si>
    <t>Covariance</t>
  </si>
  <si>
    <t>Variance of market</t>
  </si>
  <si>
    <t>Beta</t>
  </si>
  <si>
    <t>Risk free rate of return</t>
  </si>
  <si>
    <t>Market return</t>
  </si>
  <si>
    <t>CAPM</t>
  </si>
  <si>
    <t>WACC</t>
  </si>
  <si>
    <t>Equity</t>
  </si>
  <si>
    <t>Weight</t>
  </si>
  <si>
    <t>Cost of Capital</t>
  </si>
  <si>
    <t>Tax rate</t>
  </si>
  <si>
    <t>After Tax Cost of Capital</t>
  </si>
  <si>
    <t>Interest bearing debt</t>
  </si>
  <si>
    <t xml:space="preserve">  Long term debt</t>
  </si>
  <si>
    <t xml:space="preserve">  Short term debt</t>
  </si>
  <si>
    <t>Change in Working Capital</t>
  </si>
  <si>
    <t>Non-cash current assets</t>
  </si>
  <si>
    <t>Non-std Current liabilities</t>
  </si>
  <si>
    <t>Working Capital</t>
  </si>
  <si>
    <t xml:space="preserve">  Hitorical growth of PPE</t>
  </si>
  <si>
    <t>Terminal Value</t>
  </si>
  <si>
    <t>PV of FCFF</t>
  </si>
  <si>
    <t>Value of Firm</t>
  </si>
  <si>
    <t>Value of Equity</t>
  </si>
  <si>
    <t>Shares outstanding</t>
  </si>
  <si>
    <t>Value per share</t>
  </si>
  <si>
    <t>Runner Automobiles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</si>
</sst>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 val="doubleAccounting"/>
      <sz val="11"/>
      <color theme="4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u val="doubleAccounting"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9" fontId="0" fillId="0" borderId="0" xfId="2" applyFont="1"/>
    <xf numFmtId="43" fontId="0" fillId="0" borderId="0" xfId="1" applyFont="1"/>
    <xf numFmtId="0" fontId="0" fillId="2" borderId="0" xfId="0" applyFill="1" applyAlignment="1">
      <alignment horizontal="right"/>
    </xf>
    <xf numFmtId="0" fontId="4" fillId="0" borderId="0" xfId="0" applyFont="1"/>
    <xf numFmtId="0" fontId="0" fillId="0" borderId="1" xfId="0" applyBorder="1"/>
    <xf numFmtId="164" fontId="0" fillId="0" borderId="2" xfId="1" applyNumberFormat="1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0" fillId="0" borderId="4" xfId="0" applyBorder="1"/>
    <xf numFmtId="9" fontId="0" fillId="0" borderId="0" xfId="2" applyFont="1" applyBorder="1"/>
    <xf numFmtId="9" fontId="4" fillId="0" borderId="0" xfId="2" applyFont="1" applyBorder="1"/>
    <xf numFmtId="9" fontId="4" fillId="0" borderId="5" xfId="2" applyFont="1" applyBorder="1"/>
    <xf numFmtId="0" fontId="4" fillId="0" borderId="4" xfId="0" applyFont="1" applyBorder="1"/>
    <xf numFmtId="164" fontId="0" fillId="0" borderId="0" xfId="1" applyNumberFormat="1" applyFont="1" applyBorder="1"/>
    <xf numFmtId="164" fontId="4" fillId="0" borderId="0" xfId="1" applyNumberFormat="1" applyFont="1" applyBorder="1"/>
    <xf numFmtId="164" fontId="4" fillId="0" borderId="5" xfId="1" applyNumberFormat="1" applyFont="1" applyBorder="1"/>
    <xf numFmtId="9" fontId="4" fillId="0" borderId="0" xfId="0" applyNumberFormat="1" applyFont="1"/>
    <xf numFmtId="0" fontId="4" fillId="0" borderId="5" xfId="0" applyFont="1" applyBorder="1"/>
    <xf numFmtId="10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0" fillId="0" borderId="7" xfId="0" applyBorder="1"/>
    <xf numFmtId="9" fontId="4" fillId="0" borderId="7" xfId="0" applyNumberFormat="1" applyFont="1" applyBorder="1"/>
    <xf numFmtId="10" fontId="4" fillId="0" borderId="7" xfId="0" applyNumberFormat="1" applyFont="1" applyBorder="1"/>
    <xf numFmtId="10" fontId="4" fillId="0" borderId="8" xfId="0" applyNumberFormat="1" applyFont="1" applyBorder="1"/>
    <xf numFmtId="3" fontId="0" fillId="0" borderId="2" xfId="0" applyNumberFormat="1" applyBorder="1"/>
    <xf numFmtId="9" fontId="0" fillId="0" borderId="0" xfId="0" applyNumberFormat="1"/>
    <xf numFmtId="0" fontId="0" fillId="0" borderId="6" xfId="0" applyBorder="1"/>
    <xf numFmtId="3" fontId="4" fillId="0" borderId="2" xfId="0" applyNumberFormat="1" applyFont="1" applyBorder="1"/>
    <xf numFmtId="3" fontId="4" fillId="0" borderId="3" xfId="0" applyNumberFormat="1" applyFont="1" applyBorder="1"/>
    <xf numFmtId="9" fontId="4" fillId="0" borderId="8" xfId="0" applyNumberFormat="1" applyFont="1" applyBorder="1"/>
    <xf numFmtId="10" fontId="4" fillId="0" borderId="5" xfId="0" applyNumberFormat="1" applyFont="1" applyBorder="1"/>
    <xf numFmtId="0" fontId="0" fillId="0" borderId="2" xfId="0" applyBorder="1"/>
    <xf numFmtId="9" fontId="0" fillId="0" borderId="5" xfId="2" applyFont="1" applyBorder="1"/>
    <xf numFmtId="9" fontId="0" fillId="0" borderId="7" xfId="2" applyFont="1" applyBorder="1"/>
    <xf numFmtId="9" fontId="0" fillId="0" borderId="8" xfId="2" applyFont="1" applyBorder="1"/>
    <xf numFmtId="43" fontId="4" fillId="0" borderId="0" xfId="1" applyFont="1" applyBorder="1"/>
    <xf numFmtId="43" fontId="4" fillId="0" borderId="5" xfId="1" applyFont="1" applyBorder="1"/>
    <xf numFmtId="10" fontId="0" fillId="0" borderId="0" xfId="2" applyNumberFormat="1" applyFont="1" applyBorder="1"/>
    <xf numFmtId="10" fontId="0" fillId="0" borderId="0" xfId="0" applyNumberFormat="1"/>
    <xf numFmtId="43" fontId="0" fillId="0" borderId="0" xfId="0" applyNumberFormat="1"/>
    <xf numFmtId="43" fontId="4" fillId="0" borderId="2" xfId="0" applyNumberFormat="1" applyFont="1" applyBorder="1"/>
    <xf numFmtId="43" fontId="4" fillId="0" borderId="3" xfId="0" applyNumberFormat="1" applyFont="1" applyBorder="1"/>
    <xf numFmtId="0" fontId="4" fillId="0" borderId="7" xfId="0" applyFont="1" applyBorder="1"/>
    <xf numFmtId="0" fontId="4" fillId="0" borderId="8" xfId="0" applyFont="1" applyBorder="1"/>
    <xf numFmtId="10" fontId="4" fillId="0" borderId="0" xfId="2" applyNumberFormat="1" applyFont="1" applyBorder="1"/>
    <xf numFmtId="0" fontId="2" fillId="0" borderId="1" xfId="0" applyFont="1" applyBorder="1"/>
    <xf numFmtId="164" fontId="0" fillId="0" borderId="0" xfId="0" applyNumberFormat="1"/>
    <xf numFmtId="43" fontId="4" fillId="0" borderId="0" xfId="0" applyNumberFormat="1" applyFont="1"/>
    <xf numFmtId="3" fontId="4" fillId="0" borderId="0" xfId="0" applyNumberFormat="1" applyFont="1"/>
    <xf numFmtId="3" fontId="4" fillId="0" borderId="5" xfId="0" applyNumberFormat="1" applyFont="1" applyBorder="1"/>
    <xf numFmtId="43" fontId="4" fillId="0" borderId="5" xfId="0" applyNumberFormat="1" applyFont="1" applyBorder="1"/>
    <xf numFmtId="0" fontId="2" fillId="0" borderId="4" xfId="0" applyFont="1" applyBorder="1"/>
    <xf numFmtId="164" fontId="5" fillId="0" borderId="0" xfId="1" applyNumberFormat="1" applyFont="1" applyBorder="1"/>
    <xf numFmtId="164" fontId="5" fillId="0" borderId="5" xfId="1" applyNumberFormat="1" applyFont="1" applyBorder="1"/>
    <xf numFmtId="10" fontId="4" fillId="0" borderId="5" xfId="2" applyNumberFormat="1" applyFont="1" applyBorder="1"/>
    <xf numFmtId="3" fontId="0" fillId="0" borderId="1" xfId="0" applyNumberFormat="1" applyBorder="1"/>
    <xf numFmtId="3" fontId="2" fillId="0" borderId="1" xfId="0" applyNumberFormat="1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4" fillId="0" borderId="10" xfId="0" applyFont="1" applyBorder="1"/>
    <xf numFmtId="0" fontId="4" fillId="0" borderId="11" xfId="0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43" fontId="4" fillId="0" borderId="7" xfId="0" applyNumberFormat="1" applyFont="1" applyBorder="1"/>
    <xf numFmtId="43" fontId="4" fillId="0" borderId="8" xfId="0" applyNumberFormat="1" applyFont="1" applyBorder="1"/>
    <xf numFmtId="43" fontId="0" fillId="0" borderId="7" xfId="0" applyNumberFormat="1" applyBorder="1"/>
    <xf numFmtId="164" fontId="4" fillId="0" borderId="0" xfId="0" applyNumberFormat="1" applyFont="1"/>
    <xf numFmtId="164" fontId="0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3" fontId="0" fillId="0" borderId="7" xfId="0" applyNumberForma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9" fontId="4" fillId="0" borderId="5" xfId="0" applyNumberFormat="1" applyFont="1" applyBorder="1"/>
    <xf numFmtId="0" fontId="4" fillId="0" borderId="2" xfId="0" applyFont="1" applyBorder="1"/>
    <xf numFmtId="0" fontId="4" fillId="0" borderId="3" xfId="0" applyFont="1" applyBorder="1"/>
    <xf numFmtId="43" fontId="2" fillId="0" borderId="0" xfId="0" applyNumberFormat="1" applyFont="1"/>
    <xf numFmtId="0" fontId="5" fillId="0" borderId="0" xfId="0" applyFont="1"/>
    <xf numFmtId="0" fontId="5" fillId="0" borderId="5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43" fontId="0" fillId="0" borderId="2" xfId="0" applyNumberFormat="1" applyBorder="1"/>
    <xf numFmtId="10" fontId="0" fillId="0" borderId="0" xfId="2" applyNumberFormat="1" applyFont="1"/>
    <xf numFmtId="164" fontId="4" fillId="0" borderId="5" xfId="0" applyNumberFormat="1" applyFont="1" applyBorder="1"/>
    <xf numFmtId="0" fontId="0" fillId="0" borderId="5" xfId="0" applyBorder="1"/>
    <xf numFmtId="16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5" xfId="0" applyNumberFormat="1" applyBorder="1"/>
    <xf numFmtId="10" fontId="0" fillId="0" borderId="5" xfId="2" applyNumberFormat="1" applyFont="1" applyBorder="1"/>
    <xf numFmtId="10" fontId="0" fillId="0" borderId="7" xfId="0" applyNumberFormat="1" applyBorder="1"/>
    <xf numFmtId="0" fontId="0" fillId="0" borderId="8" xfId="0" applyBorder="1"/>
    <xf numFmtId="164" fontId="0" fillId="0" borderId="0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4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right"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7" xfId="0" applyNumberFormat="1" applyBorder="1" applyAlignment="1">
      <alignment horizontal="right"/>
    </xf>
    <xf numFmtId="9" fontId="4" fillId="0" borderId="7" xfId="2" applyFont="1" applyBorder="1"/>
    <xf numFmtId="9" fontId="4" fillId="0" borderId="8" xfId="2" applyFont="1" applyBorder="1"/>
    <xf numFmtId="0" fontId="2" fillId="0" borderId="6" xfId="0" applyFont="1" applyBorder="1"/>
    <xf numFmtId="164" fontId="2" fillId="0" borderId="7" xfId="0" applyNumberFormat="1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164" fontId="2" fillId="0" borderId="0" xfId="1" applyNumberFormat="1" applyFont="1" applyBorder="1"/>
    <xf numFmtId="164" fontId="2" fillId="0" borderId="0" xfId="0" applyNumberFormat="1" applyFont="1"/>
    <xf numFmtId="164" fontId="5" fillId="0" borderId="0" xfId="0" applyNumberFormat="1" applyFont="1"/>
    <xf numFmtId="164" fontId="5" fillId="0" borderId="5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165" fontId="4" fillId="0" borderId="5" xfId="0" applyNumberFormat="1" applyFont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3" xfId="0" applyBorder="1"/>
    <xf numFmtId="10" fontId="2" fillId="0" borderId="0" xfId="0" applyNumberFormat="1" applyFont="1"/>
    <xf numFmtId="43" fontId="5" fillId="0" borderId="0" xfId="0" applyNumberFormat="1" applyFont="1"/>
    <xf numFmtId="164" fontId="10" fillId="0" borderId="0" xfId="1" applyNumberFormat="1" applyFont="1"/>
    <xf numFmtId="0" fontId="10" fillId="0" borderId="0" xfId="0" applyFont="1"/>
    <xf numFmtId="164" fontId="9" fillId="0" borderId="0" xfId="1" applyNumberFormat="1" applyFont="1"/>
    <xf numFmtId="43" fontId="10" fillId="0" borderId="0" xfId="1" applyFont="1"/>
    <xf numFmtId="164" fontId="11" fillId="0" borderId="0" xfId="1" applyNumberFormat="1" applyFont="1"/>
    <xf numFmtId="164" fontId="10" fillId="0" borderId="0" xfId="0" applyNumberFormat="1" applyFont="1"/>
    <xf numFmtId="3" fontId="10" fillId="0" borderId="0" xfId="0" applyNumberFormat="1" applyFont="1"/>
    <xf numFmtId="0" fontId="9" fillId="0" borderId="6" xfId="0" applyFont="1" applyBorder="1"/>
    <xf numFmtId="2" fontId="9" fillId="0" borderId="8" xfId="0" applyNumberFormat="1" applyFont="1" applyBorder="1"/>
    <xf numFmtId="0" fontId="9" fillId="0" borderId="1" xfId="0" applyFont="1" applyBorder="1"/>
    <xf numFmtId="10" fontId="9" fillId="0" borderId="2" xfId="2" applyNumberFormat="1" applyFont="1" applyBorder="1"/>
    <xf numFmtId="164" fontId="0" fillId="0" borderId="10" xfId="1" applyNumberFormat="1" applyFont="1" applyBorder="1"/>
    <xf numFmtId="0" fontId="0" fillId="3" borderId="0" xfId="0" applyFill="1"/>
    <xf numFmtId="0" fontId="0" fillId="3" borderId="12" xfId="0" applyFill="1" applyBorder="1" applyAlignment="1">
      <alignment horizontal="right"/>
    </xf>
    <xf numFmtId="164" fontId="3" fillId="0" borderId="7" xfId="1" applyNumberFormat="1" applyFont="1" applyBorder="1"/>
    <xf numFmtId="164" fontId="8" fillId="0" borderId="7" xfId="1" applyNumberFormat="1" applyFont="1" applyBorder="1"/>
    <xf numFmtId="164" fontId="8" fillId="0" borderId="8" xfId="1" applyNumberFormat="1" applyFont="1" applyBorder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57.42578125" bestFit="1" customWidth="1"/>
    <col min="2" max="3" width="17.140625" bestFit="1" customWidth="1"/>
    <col min="4" max="4" width="18.28515625" bestFit="1" customWidth="1"/>
    <col min="5" max="5" width="17.140625" bestFit="1" customWidth="1"/>
    <col min="6" max="6" width="18.28515625" bestFit="1" customWidth="1"/>
    <col min="7" max="7" width="19.5703125" customWidth="1"/>
    <col min="8" max="8" width="21.140625" bestFit="1" customWidth="1"/>
    <col min="9" max="10" width="20.42578125" bestFit="1" customWidth="1"/>
    <col min="11" max="11" width="18.140625" bestFit="1" customWidth="1"/>
  </cols>
  <sheetData>
    <row r="1" spans="1:12" x14ac:dyDescent="0.25">
      <c r="A1" s="146" t="s">
        <v>178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2" x14ac:dyDescent="0.25">
      <c r="A2" s="146"/>
      <c r="B2" s="147" t="s">
        <v>77</v>
      </c>
      <c r="C2" s="147" t="s">
        <v>76</v>
      </c>
      <c r="D2" s="147" t="s">
        <v>75</v>
      </c>
      <c r="E2" s="147" t="s">
        <v>74</v>
      </c>
      <c r="F2" s="147" t="s">
        <v>73</v>
      </c>
      <c r="G2" s="147" t="s">
        <v>78</v>
      </c>
      <c r="H2" s="147" t="s">
        <v>79</v>
      </c>
      <c r="I2" s="147" t="s">
        <v>80</v>
      </c>
      <c r="J2" s="147" t="s">
        <v>81</v>
      </c>
      <c r="K2" s="147" t="s">
        <v>82</v>
      </c>
    </row>
    <row r="3" spans="1:12" ht="15.75" thickBot="1" x14ac:dyDescent="0.3">
      <c r="G3" s="9"/>
      <c r="H3" s="9"/>
      <c r="I3" s="9"/>
      <c r="J3" s="9"/>
      <c r="K3" s="9"/>
    </row>
    <row r="4" spans="1:12" x14ac:dyDescent="0.25">
      <c r="A4" s="10" t="str">
        <f>'Proforma Income Statement'!A5</f>
        <v>Sales</v>
      </c>
      <c r="B4" s="11">
        <f>'Proforma Income Statement'!B5</f>
        <v>6494673830</v>
      </c>
      <c r="C4" s="11">
        <f>'Proforma Income Statement'!C5</f>
        <v>9961786530</v>
      </c>
      <c r="D4" s="11">
        <f>'Proforma Income Statement'!D5</f>
        <v>11191837271</v>
      </c>
      <c r="E4" s="11">
        <f>'Proforma Income Statement'!E5</f>
        <v>9464858017</v>
      </c>
      <c r="F4" s="11">
        <f>'Proforma Income Statement'!F5</f>
        <v>10141760645</v>
      </c>
      <c r="G4" s="12">
        <f>SUM(G8,G12)</f>
        <v>10894249870.108273</v>
      </c>
      <c r="H4" s="12">
        <f t="shared" ref="H4:K4" si="0">SUM(H8,H12)</f>
        <v>11702658333.712696</v>
      </c>
      <c r="I4" s="12">
        <f t="shared" si="0"/>
        <v>12571148081.79892</v>
      </c>
      <c r="J4" s="12">
        <f t="shared" si="0"/>
        <v>13504191434.629179</v>
      </c>
      <c r="K4" s="13">
        <f t="shared" si="0"/>
        <v>14506594154.522392</v>
      </c>
    </row>
    <row r="5" spans="1:12" x14ac:dyDescent="0.25">
      <c r="A5" s="14" t="s">
        <v>68</v>
      </c>
      <c r="C5" s="15">
        <f>(C4-B4)/B4</f>
        <v>0.5338393875893841</v>
      </c>
      <c r="D5" s="15">
        <f t="shared" ref="D5:F5" si="1">(D4-C4)/C4</f>
        <v>0.12347692226647222</v>
      </c>
      <c r="E5" s="15">
        <f t="shared" si="1"/>
        <v>-0.15430703754734748</v>
      </c>
      <c r="F5" s="15">
        <f t="shared" si="1"/>
        <v>7.1517462468449408E-2</v>
      </c>
      <c r="G5" s="16"/>
      <c r="H5" s="16"/>
      <c r="I5" s="16"/>
      <c r="J5" s="16"/>
      <c r="K5" s="17"/>
    </row>
    <row r="6" spans="1:12" x14ac:dyDescent="0.25">
      <c r="A6" s="18" t="s">
        <v>69</v>
      </c>
      <c r="G6" s="16">
        <f>(G4-F4)/F4</f>
        <v>7.4197099640609054E-2</v>
      </c>
      <c r="H6" s="16">
        <f t="shared" ref="H6:K6" si="2">(H4-G4)/G4</f>
        <v>7.4205059847446769E-2</v>
      </c>
      <c r="I6" s="16">
        <f t="shared" si="2"/>
        <v>7.4213031203713961E-2</v>
      </c>
      <c r="J6" s="16">
        <f t="shared" si="2"/>
        <v>7.4221013606638034E-2</v>
      </c>
      <c r="K6" s="17">
        <f t="shared" si="2"/>
        <v>7.4229006952813453E-2</v>
      </c>
    </row>
    <row r="7" spans="1:12" x14ac:dyDescent="0.25">
      <c r="A7" s="14" t="s">
        <v>70</v>
      </c>
      <c r="G7" s="9"/>
      <c r="H7" s="9"/>
      <c r="I7" s="9"/>
      <c r="J7" s="9"/>
      <c r="K7" s="23"/>
    </row>
    <row r="8" spans="1:12" x14ac:dyDescent="0.25">
      <c r="A8" s="14" t="s">
        <v>71</v>
      </c>
      <c r="B8" s="19">
        <v>2410036191</v>
      </c>
      <c r="C8" s="19">
        <v>4202363584</v>
      </c>
      <c r="D8" s="19">
        <v>4865952981</v>
      </c>
      <c r="E8" s="19">
        <v>3394458428</v>
      </c>
      <c r="F8" s="19">
        <v>3794932365</v>
      </c>
      <c r="G8" s="20">
        <f>F8*(1+G10)</f>
        <v>4090856418.914412</v>
      </c>
      <c r="H8" s="20">
        <f t="shared" ref="H8:K8" si="3">G8*(1+H10)</f>
        <v>4409856258.4456615</v>
      </c>
      <c r="I8" s="20">
        <f t="shared" si="3"/>
        <v>4753731304.3396826</v>
      </c>
      <c r="J8" s="20">
        <f t="shared" si="3"/>
        <v>5124421293.9095087</v>
      </c>
      <c r="K8" s="21">
        <f t="shared" si="3"/>
        <v>5524017222.7447357</v>
      </c>
    </row>
    <row r="9" spans="1:12" x14ac:dyDescent="0.25">
      <c r="A9" s="14" t="s">
        <v>68</v>
      </c>
      <c r="C9" s="15">
        <f>(C8-B8)/B8</f>
        <v>0.74369314439892575</v>
      </c>
      <c r="D9" s="15">
        <f t="shared" ref="D9" si="4">(D8-C8)/C8</f>
        <v>0.15790861112697097</v>
      </c>
      <c r="E9" s="15">
        <f t="shared" ref="E9" si="5">(E8-D8)/D8</f>
        <v>-0.30240624164387092</v>
      </c>
      <c r="F9" s="15">
        <f t="shared" ref="F9" si="6">(F8-E8)/E8</f>
        <v>0.11797874255775095</v>
      </c>
      <c r="G9" s="22"/>
      <c r="H9" s="9"/>
      <c r="I9" s="9"/>
      <c r="J9" s="9"/>
      <c r="K9" s="23"/>
    </row>
    <row r="10" spans="1:12" x14ac:dyDescent="0.25">
      <c r="A10" s="18" t="s">
        <v>69</v>
      </c>
      <c r="G10" s="24">
        <f>F9-4%</f>
        <v>7.7978742557750946E-2</v>
      </c>
      <c r="H10" s="25">
        <f>G10</f>
        <v>7.7978742557750946E-2</v>
      </c>
      <c r="I10" s="25">
        <f>H10</f>
        <v>7.7978742557750946E-2</v>
      </c>
      <c r="J10" s="25">
        <f>I10</f>
        <v>7.7978742557750946E-2</v>
      </c>
      <c r="K10" s="128">
        <f>J10</f>
        <v>7.7978742557750946E-2</v>
      </c>
    </row>
    <row r="11" spans="1:12" x14ac:dyDescent="0.25">
      <c r="A11" s="14"/>
      <c r="G11" s="9"/>
      <c r="H11" s="9"/>
      <c r="I11" s="9"/>
      <c r="J11" s="9"/>
      <c r="K11" s="23"/>
    </row>
    <row r="12" spans="1:12" x14ac:dyDescent="0.25">
      <c r="A12" s="14" t="s">
        <v>72</v>
      </c>
      <c r="B12" s="19">
        <v>4084637639</v>
      </c>
      <c r="C12" s="19">
        <v>5759522946</v>
      </c>
      <c r="D12" s="19">
        <v>6325884290</v>
      </c>
      <c r="E12" s="19">
        <v>6070399589</v>
      </c>
      <c r="F12" s="19">
        <v>6346828280</v>
      </c>
      <c r="G12" s="20">
        <f>F12*(1+G14)</f>
        <v>6803393451.193861</v>
      </c>
      <c r="H12" s="20">
        <f t="shared" ref="H12:K12" si="7">G12*(1+H14)</f>
        <v>7292802075.2670355</v>
      </c>
      <c r="I12" s="20">
        <f t="shared" si="7"/>
        <v>7817416777.4592361</v>
      </c>
      <c r="J12" s="20">
        <f t="shared" si="7"/>
        <v>8379770140.7196703</v>
      </c>
      <c r="K12" s="21">
        <f t="shared" si="7"/>
        <v>8982576931.7776566</v>
      </c>
      <c r="L12" s="9"/>
    </row>
    <row r="13" spans="1:12" x14ac:dyDescent="0.25">
      <c r="A13" s="14" t="s">
        <v>68</v>
      </c>
      <c r="C13" s="15">
        <f>(C12-B12)/B12</f>
        <v>0.41004501623552708</v>
      </c>
      <c r="D13" s="15">
        <f t="shared" ref="D13" si="8">(D12-C12)/C12</f>
        <v>9.8334766491960768E-2</v>
      </c>
      <c r="E13" s="15">
        <f t="shared" ref="E13" si="9">(E12-D12)/D12</f>
        <v>-4.0387191622185049E-2</v>
      </c>
      <c r="F13" s="15">
        <f t="shared" ref="F13" si="10">(F12-E12)/E12</f>
        <v>4.5537149070204314E-2</v>
      </c>
      <c r="G13" s="9"/>
      <c r="H13" s="9"/>
      <c r="I13" s="9"/>
      <c r="J13" s="9"/>
      <c r="K13" s="23"/>
      <c r="L13" s="9"/>
    </row>
    <row r="14" spans="1:12" ht="15.75" thickBot="1" x14ac:dyDescent="0.3">
      <c r="A14" s="26" t="s">
        <v>69</v>
      </c>
      <c r="B14" s="27"/>
      <c r="C14" s="27"/>
      <c r="D14" s="27"/>
      <c r="E14" s="27"/>
      <c r="F14" s="27"/>
      <c r="G14" s="28">
        <f>AVERAGE(D13,F13)</f>
        <v>7.1935957781082541E-2</v>
      </c>
      <c r="H14" s="29">
        <f>G14</f>
        <v>7.1935957781082541E-2</v>
      </c>
      <c r="I14" s="29">
        <f t="shared" ref="I14:K14" si="11">H14</f>
        <v>7.1935957781082541E-2</v>
      </c>
      <c r="J14" s="29">
        <f t="shared" si="11"/>
        <v>7.1935957781082541E-2</v>
      </c>
      <c r="K14" s="30">
        <f t="shared" si="11"/>
        <v>7.1935957781082541E-2</v>
      </c>
      <c r="L14" s="9"/>
    </row>
    <row r="15" spans="1:12" ht="15.75" thickBot="1" x14ac:dyDescent="0.3">
      <c r="G15" s="9"/>
      <c r="H15" s="9"/>
      <c r="I15" s="9"/>
      <c r="J15" s="9"/>
      <c r="K15" s="9"/>
    </row>
    <row r="16" spans="1:12" x14ac:dyDescent="0.25">
      <c r="A16" s="10" t="s">
        <v>83</v>
      </c>
      <c r="B16" s="31">
        <f>'Proforma Income Statement'!B6</f>
        <v>4845959645</v>
      </c>
      <c r="C16" s="31">
        <f>'Proforma Income Statement'!C6</f>
        <v>7383976694</v>
      </c>
      <c r="D16" s="31">
        <f>'Proforma Income Statement'!D6</f>
        <v>8293229404</v>
      </c>
      <c r="E16" s="31">
        <f>'Proforma Income Statement'!E6</f>
        <v>6962417547</v>
      </c>
      <c r="F16" s="31">
        <f>'Proforma Income Statement'!F6</f>
        <v>7305247257</v>
      </c>
      <c r="G16" s="34">
        <f>G4*G18</f>
        <v>7930581938.8208427</v>
      </c>
      <c r="H16" s="34">
        <f t="shared" ref="H16:K16" si="12">H4*H18</f>
        <v>8519071246.2161236</v>
      </c>
      <c r="I16" s="34">
        <f t="shared" si="12"/>
        <v>9151297346.4382229</v>
      </c>
      <c r="J16" s="34">
        <f t="shared" si="12"/>
        <v>9830515911.3066063</v>
      </c>
      <c r="K16" s="35">
        <f t="shared" si="12"/>
        <v>10560225345.236727</v>
      </c>
    </row>
    <row r="17" spans="1:11" x14ac:dyDescent="0.25">
      <c r="A17" s="14" t="s">
        <v>84</v>
      </c>
      <c r="B17" s="32">
        <f>'Common Size'!B5</f>
        <v>0.74614365122012605</v>
      </c>
      <c r="C17" s="32">
        <f>'Common Size'!C5</f>
        <v>0.74123016707526257</v>
      </c>
      <c r="D17" s="32">
        <f>'Common Size'!D5</f>
        <v>0.74100696813106837</v>
      </c>
      <c r="E17" s="32">
        <f>'Common Size'!E5</f>
        <v>0.73560718338243192</v>
      </c>
      <c r="F17" s="32">
        <f>'Common Size'!F5</f>
        <v>0.72031351485321904</v>
      </c>
      <c r="G17" s="9"/>
      <c r="H17" s="9"/>
      <c r="I17" s="9"/>
      <c r="J17" s="9"/>
      <c r="K17" s="23"/>
    </row>
    <row r="18" spans="1:11" ht="15.75" thickBot="1" x14ac:dyDescent="0.3">
      <c r="A18" s="33" t="s">
        <v>85</v>
      </c>
      <c r="B18" s="27"/>
      <c r="C18" s="27"/>
      <c r="D18" s="27"/>
      <c r="E18" s="27"/>
      <c r="F18" s="27"/>
      <c r="G18" s="28">
        <f>AVERAGE(E17:F17)</f>
        <v>0.72796034911782548</v>
      </c>
      <c r="H18" s="28">
        <f>G18</f>
        <v>0.72796034911782548</v>
      </c>
      <c r="I18" s="28">
        <f t="shared" ref="I18:K18" si="13">H18</f>
        <v>0.72796034911782548</v>
      </c>
      <c r="J18" s="28">
        <f t="shared" si="13"/>
        <v>0.72796034911782548</v>
      </c>
      <c r="K18" s="36">
        <f t="shared" si="13"/>
        <v>0.72796034911782548</v>
      </c>
    </row>
    <row r="19" spans="1:11" ht="15.75" thickBot="1" x14ac:dyDescent="0.3">
      <c r="B19" s="1"/>
      <c r="E19" s="1"/>
      <c r="F19" s="1"/>
      <c r="G19" s="9"/>
      <c r="H19" s="9"/>
      <c r="I19" s="9"/>
      <c r="J19" s="9"/>
      <c r="K19" s="9"/>
    </row>
    <row r="20" spans="1:11" x14ac:dyDescent="0.25">
      <c r="A20" s="10" t="str">
        <f>'Proforma Income Statement'!A8</f>
        <v>Operating expenses</v>
      </c>
      <c r="B20" s="11">
        <f>'Proforma Income Statement'!B8</f>
        <v>768686382</v>
      </c>
      <c r="C20" s="11">
        <f>'Proforma Income Statement'!C8</f>
        <v>1255230886</v>
      </c>
      <c r="D20" s="11">
        <f>'Proforma Income Statement'!D8</f>
        <v>1471592434</v>
      </c>
      <c r="E20" s="11">
        <f>'Proforma Income Statement'!E8</f>
        <v>1579045877</v>
      </c>
      <c r="F20" s="11">
        <f>'Proforma Income Statement'!F8</f>
        <v>1684476895</v>
      </c>
      <c r="G20" s="12">
        <f>'Proforma Income Statement'!G8</f>
        <v>1841065835.426944</v>
      </c>
      <c r="H20" s="12">
        <f>'Proforma Income Statement'!H8</f>
        <v>2016242775.771754</v>
      </c>
      <c r="I20" s="12">
        <f>'Proforma Income Statement'!I8</f>
        <v>2212353887.427093</v>
      </c>
      <c r="J20" s="12">
        <f>'Proforma Income Statement'!J8</f>
        <v>2432160897.450377</v>
      </c>
      <c r="K20" s="13">
        <f>'Proforma Income Statement'!K8</f>
        <v>2678931173.2037334</v>
      </c>
    </row>
    <row r="21" spans="1:11" x14ac:dyDescent="0.25">
      <c r="A21" s="14"/>
      <c r="G21" s="9"/>
      <c r="H21" s="9"/>
      <c r="I21" s="9"/>
      <c r="J21" s="9"/>
      <c r="K21" s="23"/>
    </row>
    <row r="22" spans="1:11" x14ac:dyDescent="0.25">
      <c r="A22" s="14" t="str">
        <f>'Proforma Income Statement'!A9</f>
        <v>Selling &amp; Distribution expenses</v>
      </c>
      <c r="B22" s="19">
        <f>'Proforma Income Statement'!B9</f>
        <v>583787722</v>
      </c>
      <c r="C22" s="19">
        <f>'Proforma Income Statement'!C9</f>
        <v>1000554870</v>
      </c>
      <c r="D22" s="19">
        <f>'Proforma Income Statement'!D9</f>
        <v>1128065631</v>
      </c>
      <c r="E22" s="19">
        <f>'Proforma Income Statement'!E9</f>
        <v>1213123927</v>
      </c>
      <c r="F22" s="19">
        <f>'Proforma Income Statement'!F9</f>
        <v>1323033417</v>
      </c>
      <c r="G22" s="20">
        <f>F22*(1+G24)</f>
        <v>1452444754.5002034</v>
      </c>
      <c r="H22" s="20">
        <f t="shared" ref="H22:K22" si="14">G22*(1+H24)</f>
        <v>1594514346.9306307</v>
      </c>
      <c r="I22" s="20">
        <f t="shared" si="14"/>
        <v>1750480350.2440271</v>
      </c>
      <c r="J22" s="20">
        <f t="shared" si="14"/>
        <v>1921702029.5169277</v>
      </c>
      <c r="K22" s="21">
        <f t="shared" si="14"/>
        <v>2109671605.1309357</v>
      </c>
    </row>
    <row r="23" spans="1:11" x14ac:dyDescent="0.25">
      <c r="A23" s="14" t="s">
        <v>68</v>
      </c>
      <c r="B23" s="1"/>
      <c r="C23" s="15">
        <f>(C22-B22)/B22</f>
        <v>0.71390187270844996</v>
      </c>
      <c r="D23" s="15">
        <f t="shared" ref="D23:F23" si="15">(D22-C22)/C22</f>
        <v>0.12744004834037737</v>
      </c>
      <c r="E23" s="15">
        <f t="shared" si="15"/>
        <v>7.5401903632679679E-2</v>
      </c>
      <c r="F23" s="15">
        <f t="shared" si="15"/>
        <v>9.0600381011197384E-2</v>
      </c>
      <c r="G23" s="9"/>
      <c r="H23" s="9"/>
      <c r="I23" s="9"/>
      <c r="J23" s="9"/>
      <c r="K23" s="23"/>
    </row>
    <row r="24" spans="1:11" x14ac:dyDescent="0.25">
      <c r="A24" s="14" t="s">
        <v>69</v>
      </c>
      <c r="C24" s="15"/>
      <c r="D24" s="15"/>
      <c r="E24" s="15"/>
      <c r="F24" s="15"/>
      <c r="G24" s="24">
        <f>AVERAGE(D23:F23)</f>
        <v>9.7814110994751471E-2</v>
      </c>
      <c r="H24" s="24">
        <f>G24</f>
        <v>9.7814110994751471E-2</v>
      </c>
      <c r="I24" s="24">
        <f t="shared" ref="I24:K24" si="16">H24</f>
        <v>9.7814110994751471E-2</v>
      </c>
      <c r="J24" s="24">
        <f t="shared" si="16"/>
        <v>9.7814110994751471E-2</v>
      </c>
      <c r="K24" s="37">
        <f t="shared" si="16"/>
        <v>9.7814110994751471E-2</v>
      </c>
    </row>
    <row r="25" spans="1:11" x14ac:dyDescent="0.25">
      <c r="A25" s="14"/>
      <c r="G25" s="9"/>
      <c r="H25" s="9"/>
      <c r="I25" s="9"/>
      <c r="J25" s="9"/>
      <c r="K25" s="23"/>
    </row>
    <row r="26" spans="1:11" x14ac:dyDescent="0.25">
      <c r="A26" s="14" t="str">
        <f>'Proforma Income Statement'!A10</f>
        <v>Administrative expenses</v>
      </c>
      <c r="B26" s="19">
        <f>'Proforma Income Statement'!B10</f>
        <v>184898660</v>
      </c>
      <c r="C26" s="19">
        <f>'Proforma Income Statement'!C10</f>
        <v>254676016</v>
      </c>
      <c r="D26" s="19">
        <f>'Proforma Income Statement'!D10</f>
        <v>343526803</v>
      </c>
      <c r="E26" s="19">
        <f>'Proforma Income Statement'!E10</f>
        <v>365921950</v>
      </c>
      <c r="F26" s="19">
        <f>'Proforma Income Statement'!F10</f>
        <v>361443478</v>
      </c>
      <c r="G26" s="20">
        <f>F26*(1+G28)</f>
        <v>388621080.92674071</v>
      </c>
      <c r="H26" s="20">
        <f t="shared" ref="H26:K26" si="17">G26*(1+H28)</f>
        <v>421728428.8411234</v>
      </c>
      <c r="I26" s="20">
        <f t="shared" si="17"/>
        <v>461873537.18306589</v>
      </c>
      <c r="J26" s="20">
        <f t="shared" si="17"/>
        <v>510458867.93344915</v>
      </c>
      <c r="K26" s="21">
        <f t="shared" si="17"/>
        <v>569259568.07279766</v>
      </c>
    </row>
    <row r="27" spans="1:11" x14ac:dyDescent="0.25">
      <c r="A27" s="14" t="s">
        <v>68</v>
      </c>
      <c r="C27" s="15">
        <f>(C26-B26)/B26</f>
        <v>0.37738162082948573</v>
      </c>
      <c r="D27" s="15">
        <f t="shared" ref="D27:F27" si="18">(D26-C26)/C26</f>
        <v>0.34887771685575608</v>
      </c>
      <c r="E27" s="15">
        <f t="shared" si="18"/>
        <v>6.5191847635830621E-2</v>
      </c>
      <c r="F27" s="15">
        <f t="shared" si="18"/>
        <v>-1.2238872251309331E-2</v>
      </c>
      <c r="G27" s="9"/>
      <c r="H27" s="9"/>
      <c r="I27" s="9"/>
      <c r="J27" s="9"/>
      <c r="K27" s="23"/>
    </row>
    <row r="28" spans="1:11" ht="15.75" thickBot="1" x14ac:dyDescent="0.3">
      <c r="A28" s="33" t="s">
        <v>69</v>
      </c>
      <c r="B28" s="27"/>
      <c r="C28" s="27"/>
      <c r="D28" s="27"/>
      <c r="E28" s="27"/>
      <c r="F28" s="27"/>
      <c r="G28" s="29">
        <f>E27+1%</f>
        <v>7.5191847635830616E-2</v>
      </c>
      <c r="H28" s="29">
        <f>G28+1%</f>
        <v>8.5191847635830611E-2</v>
      </c>
      <c r="I28" s="29">
        <f t="shared" ref="I28:K28" si="19">H28+1%</f>
        <v>9.5191847635830606E-2</v>
      </c>
      <c r="J28" s="29">
        <f t="shared" si="19"/>
        <v>0.1051918476358306</v>
      </c>
      <c r="K28" s="30">
        <f t="shared" si="19"/>
        <v>0.1151918476358306</v>
      </c>
    </row>
    <row r="29" spans="1:11" ht="15.75" thickBot="1" x14ac:dyDescent="0.3">
      <c r="G29" s="9"/>
      <c r="H29" s="9"/>
      <c r="I29" s="9"/>
      <c r="J29" s="9"/>
      <c r="K29" s="9"/>
    </row>
    <row r="30" spans="1:11" x14ac:dyDescent="0.25">
      <c r="A30" s="10" t="s">
        <v>86</v>
      </c>
      <c r="B30" s="31">
        <f>'Proforma Income Statement'!B12</f>
        <v>93926826</v>
      </c>
      <c r="C30" s="31">
        <f>'Proforma Income Statement'!C12</f>
        <v>75496187</v>
      </c>
      <c r="D30" s="31">
        <f>'Proforma Income Statement'!D12</f>
        <v>228476770</v>
      </c>
      <c r="E30" s="31">
        <f>'Proforma Income Statement'!E12</f>
        <v>255272303</v>
      </c>
      <c r="F30" s="31">
        <f>'Proforma Income Statement'!F12</f>
        <v>301100603</v>
      </c>
      <c r="G30" s="12">
        <f>F30*(1+G32)</f>
        <v>345784856.92496037</v>
      </c>
      <c r="H30" s="12">
        <f t="shared" ref="H30:K30" si="20">G30*(1+H32)</f>
        <v>397100391.32208353</v>
      </c>
      <c r="I30" s="12">
        <f t="shared" si="20"/>
        <v>456031308.57281095</v>
      </c>
      <c r="J30" s="12">
        <f t="shared" si="20"/>
        <v>523707754.87338328</v>
      </c>
      <c r="K30" s="13">
        <f t="shared" si="20"/>
        <v>601427593.58534086</v>
      </c>
    </row>
    <row r="31" spans="1:11" x14ac:dyDescent="0.25">
      <c r="A31" s="14" t="s">
        <v>68</v>
      </c>
      <c r="C31" s="15">
        <f>(C30-B30)/B30</f>
        <v>-0.19622337712124968</v>
      </c>
      <c r="D31" s="15">
        <f t="shared" ref="D31:F31" si="21">(D30-C30)/C30</f>
        <v>2.0263352240557526</v>
      </c>
      <c r="E31" s="15">
        <f t="shared" si="21"/>
        <v>0.11727902578454694</v>
      </c>
      <c r="F31" s="15">
        <f t="shared" si="21"/>
        <v>0.1795271146200299</v>
      </c>
      <c r="G31" s="9"/>
      <c r="H31" s="9"/>
      <c r="I31" s="9"/>
      <c r="J31" s="9"/>
      <c r="K31" s="23"/>
    </row>
    <row r="32" spans="1:11" x14ac:dyDescent="0.25">
      <c r="A32" s="14" t="s">
        <v>69</v>
      </c>
      <c r="G32" s="22">
        <f>AVERAGE(E31:F31)</f>
        <v>0.14840307020228843</v>
      </c>
      <c r="H32" s="22">
        <f>G32</f>
        <v>0.14840307020228843</v>
      </c>
      <c r="I32" s="22">
        <f t="shared" ref="I32:K32" si="22">H32</f>
        <v>0.14840307020228843</v>
      </c>
      <c r="J32" s="22">
        <f t="shared" si="22"/>
        <v>0.14840307020228843</v>
      </c>
      <c r="K32" s="84">
        <f t="shared" si="22"/>
        <v>0.14840307020228843</v>
      </c>
    </row>
    <row r="33" spans="1:11" x14ac:dyDescent="0.25">
      <c r="A33" s="14"/>
      <c r="G33" s="9"/>
      <c r="H33" s="9"/>
      <c r="I33" s="9"/>
      <c r="J33" s="9"/>
      <c r="K33" s="23"/>
    </row>
    <row r="34" spans="1:11" x14ac:dyDescent="0.25">
      <c r="A34" s="14" t="str">
        <f>'Proforma Income Statement'!A13</f>
        <v>Finance costs</v>
      </c>
      <c r="B34">
        <f>'Proforma Income Statement'!B13</f>
        <v>385425765</v>
      </c>
      <c r="C34">
        <f>'Proforma Income Statement'!C13</f>
        <v>510413094</v>
      </c>
      <c r="D34">
        <f>'Proforma Income Statement'!D13</f>
        <v>659330555</v>
      </c>
      <c r="E34">
        <f>'Proforma Income Statement'!E13</f>
        <v>641414782</v>
      </c>
      <c r="F34">
        <f>'Proforma Income Statement'!F13</f>
        <v>568944463</v>
      </c>
      <c r="G34" s="42">
        <f>G4*G36</f>
        <v>639189497.30426931</v>
      </c>
      <c r="H34" s="42">
        <f t="shared" ref="H34:K34" si="23">H4*H36</f>
        <v>686620592.20559204</v>
      </c>
      <c r="I34" s="42">
        <f t="shared" si="23"/>
        <v>737576787.64005816</v>
      </c>
      <c r="J34" s="42">
        <f t="shared" si="23"/>
        <v>792320484.43143129</v>
      </c>
      <c r="K34" s="43">
        <f t="shared" si="23"/>
        <v>851133647.17914855</v>
      </c>
    </row>
    <row r="35" spans="1:11" x14ac:dyDescent="0.25">
      <c r="A35" s="14" t="s">
        <v>87</v>
      </c>
      <c r="B35" s="32">
        <f>'Common Size'!B12</f>
        <v>5.9344899388119078E-2</v>
      </c>
      <c r="C35" s="32">
        <f>'Common Size'!C12</f>
        <v>5.1237104154248522E-2</v>
      </c>
      <c r="D35" s="32">
        <f>'Common Size'!D12</f>
        <v>5.8911735315205153E-2</v>
      </c>
      <c r="E35" s="32">
        <f>'Common Size'!E12</f>
        <v>6.7768029995584025E-2</v>
      </c>
      <c r="F35" s="32">
        <f>'Common Size'!F12</f>
        <v>5.6099180696055559E-2</v>
      </c>
      <c r="G35" s="9"/>
      <c r="H35" s="9"/>
      <c r="I35" s="9"/>
      <c r="J35" s="9"/>
      <c r="K35" s="23"/>
    </row>
    <row r="36" spans="1:11" ht="15.75" thickBot="1" x14ac:dyDescent="0.3">
      <c r="A36" s="33" t="s">
        <v>89</v>
      </c>
      <c r="B36" s="27"/>
      <c r="C36" s="27"/>
      <c r="D36" s="27"/>
      <c r="E36" s="27"/>
      <c r="F36" s="27"/>
      <c r="G36" s="28">
        <f>AVERAGE(B35:F35)</f>
        <v>5.8672189909842479E-2</v>
      </c>
      <c r="H36" s="28">
        <f>G36</f>
        <v>5.8672189909842479E-2</v>
      </c>
      <c r="I36" s="28">
        <f t="shared" ref="I36:K36" si="24">H36</f>
        <v>5.8672189909842479E-2</v>
      </c>
      <c r="J36" s="28">
        <f t="shared" si="24"/>
        <v>5.8672189909842479E-2</v>
      </c>
      <c r="K36" s="36">
        <f t="shared" si="24"/>
        <v>5.8672189909842479E-2</v>
      </c>
    </row>
    <row r="37" spans="1:11" ht="15.75" thickBot="1" x14ac:dyDescent="0.3">
      <c r="G37" s="9"/>
      <c r="H37" s="9"/>
      <c r="I37" s="9"/>
      <c r="J37" s="9"/>
      <c r="K37" s="9"/>
    </row>
    <row r="38" spans="1:11" x14ac:dyDescent="0.25">
      <c r="A38" s="10" t="str">
        <f>'Proforma Income Statement'!A15</f>
        <v>Contribution to workers' profit participation fund</v>
      </c>
      <c r="B38" s="38">
        <f>'Proforma Income Statement'!B15</f>
        <v>29579022</v>
      </c>
      <c r="C38" s="38">
        <f>'Proforma Income Statement'!C15</f>
        <v>43852664</v>
      </c>
      <c r="D38" s="38">
        <f>'Proforma Income Statement'!D15</f>
        <v>50076662</v>
      </c>
      <c r="E38" s="38">
        <f>'Proforma Income Statement'!E15</f>
        <v>28525316</v>
      </c>
      <c r="F38" s="38">
        <f>'Proforma Income Statement'!F15</f>
        <v>48389290</v>
      </c>
      <c r="G38" s="47">
        <f>G4*G40</f>
        <v>46226338.946744099</v>
      </c>
      <c r="H38" s="47">
        <f t="shared" ref="H38:K38" si="25">H4*H40</f>
        <v>49656567.194815606</v>
      </c>
      <c r="I38" s="47">
        <f t="shared" si="25"/>
        <v>53341731.565513775</v>
      </c>
      <c r="J38" s="47">
        <f t="shared" si="25"/>
        <v>57300808.949839406</v>
      </c>
      <c r="K38" s="48">
        <f t="shared" si="25"/>
        <v>61554191.095778868</v>
      </c>
    </row>
    <row r="39" spans="1:11" x14ac:dyDescent="0.25">
      <c r="A39" s="14" t="s">
        <v>88</v>
      </c>
      <c r="B39" s="45">
        <f>'Common Size'!B14</f>
        <v>4.5543506532028568E-3</v>
      </c>
      <c r="C39" s="45">
        <f>'Common Size'!C14</f>
        <v>4.4020883069454814E-3</v>
      </c>
      <c r="D39" s="45">
        <f>'Common Size'!D14</f>
        <v>4.4743915397838525E-3</v>
      </c>
      <c r="E39" s="45">
        <f>'Common Size'!E14</f>
        <v>3.0138134083749772E-3</v>
      </c>
      <c r="F39" s="45">
        <f>'Common Size'!F14</f>
        <v>4.7712908728383815E-3</v>
      </c>
      <c r="G39" s="9"/>
      <c r="H39" s="9"/>
      <c r="I39" s="9"/>
      <c r="J39" s="9"/>
      <c r="K39" s="23"/>
    </row>
    <row r="40" spans="1:11" x14ac:dyDescent="0.25">
      <c r="A40" s="14" t="s">
        <v>89</v>
      </c>
      <c r="G40" s="24">
        <f>AVERAGE(B39:F39)</f>
        <v>4.2431869562291101E-3</v>
      </c>
      <c r="H40" s="24">
        <f>G40</f>
        <v>4.2431869562291101E-3</v>
      </c>
      <c r="I40" s="24">
        <f t="shared" ref="I40:K40" si="26">H40</f>
        <v>4.2431869562291101E-3</v>
      </c>
      <c r="J40" s="24">
        <f t="shared" si="26"/>
        <v>4.2431869562291101E-3</v>
      </c>
      <c r="K40" s="37">
        <f t="shared" si="26"/>
        <v>4.2431869562291101E-3</v>
      </c>
    </row>
    <row r="41" spans="1:11" x14ac:dyDescent="0.25">
      <c r="A41" s="14"/>
      <c r="G41" s="9"/>
      <c r="H41" s="9"/>
      <c r="I41" s="9"/>
      <c r="J41" s="9"/>
      <c r="K41" s="23"/>
    </row>
    <row r="42" spans="1:11" ht="15.75" thickBot="1" x14ac:dyDescent="0.3">
      <c r="A42" s="33" t="str">
        <f>'Proforma Income Statement'!A16</f>
        <v>Share of Profit from Associate</v>
      </c>
      <c r="B42" s="27">
        <f>'Proforma Income Statement'!B16</f>
        <v>1632840</v>
      </c>
      <c r="C42" s="27">
        <f>'Proforma Income Statement'!C16</f>
        <v>1637554</v>
      </c>
      <c r="D42" s="27">
        <f>'Proforma Income Statement'!D16</f>
        <v>0</v>
      </c>
      <c r="E42" s="27">
        <f>'Proforma Income Statement'!E16</f>
        <v>0</v>
      </c>
      <c r="F42" s="27">
        <f>'Proforma Income Statement'!F16</f>
        <v>0</v>
      </c>
      <c r="G42" s="49">
        <f>F42</f>
        <v>0</v>
      </c>
      <c r="H42" s="49">
        <f t="shared" ref="H42:K42" si="27">G42</f>
        <v>0</v>
      </c>
      <c r="I42" s="49">
        <f t="shared" si="27"/>
        <v>0</v>
      </c>
      <c r="J42" s="49">
        <f t="shared" si="27"/>
        <v>0</v>
      </c>
      <c r="K42" s="50">
        <f t="shared" si="27"/>
        <v>0</v>
      </c>
    </row>
    <row r="43" spans="1:11" ht="15.75" thickBot="1" x14ac:dyDescent="0.3">
      <c r="G43" s="9"/>
      <c r="H43" s="9"/>
      <c r="I43" s="9"/>
      <c r="J43" s="9"/>
      <c r="K43" s="9"/>
    </row>
    <row r="44" spans="1:11" x14ac:dyDescent="0.25">
      <c r="A44" s="10" t="str">
        <f>'Proforma Income Statement'!A17</f>
        <v>Profit before taxation</v>
      </c>
      <c r="B44" s="11">
        <f>'Proforma Income Statement'!B17</f>
        <v>560582682</v>
      </c>
      <c r="C44" s="11">
        <f>'Proforma Income Statement'!C17</f>
        <v>845446933</v>
      </c>
      <c r="D44" s="11">
        <f>'Proforma Income Statement'!D17</f>
        <v>946084986</v>
      </c>
      <c r="E44" s="11">
        <f>'Proforma Income Statement'!E17</f>
        <v>508726798</v>
      </c>
      <c r="F44" s="11">
        <f>'Proforma Income Statement'!F17</f>
        <v>835803343</v>
      </c>
      <c r="G44" s="12">
        <f>'Proforma Income Statement'!G17</f>
        <v>782971116.53443277</v>
      </c>
      <c r="H44" s="12">
        <f>'Proforma Income Statement'!H17</f>
        <v>828167543.64649439</v>
      </c>
      <c r="I44" s="12">
        <f>'Proforma Income Statement'!I17</f>
        <v>872609637.30084288</v>
      </c>
      <c r="J44" s="12">
        <f>'Proforma Income Statement'!J17</f>
        <v>915601087.36430836</v>
      </c>
      <c r="K44" s="13">
        <f>'Proforma Income Statement'!K17</f>
        <v>956177391.39234555</v>
      </c>
    </row>
    <row r="45" spans="1:11" x14ac:dyDescent="0.25">
      <c r="A45" s="14" t="str">
        <f>'Proforma Income Statement'!A18</f>
        <v>Income tax expense</v>
      </c>
      <c r="B45" s="19">
        <f>'Proforma Income Statement'!B18</f>
        <v>167092993</v>
      </c>
      <c r="C45" s="19">
        <f>'Proforma Income Statement'!C18</f>
        <v>253169103</v>
      </c>
      <c r="D45" s="19">
        <f>'Proforma Income Statement'!D18</f>
        <v>293219164</v>
      </c>
      <c r="E45" s="19">
        <f>'Proforma Income Statement'!E18</f>
        <v>167956414</v>
      </c>
      <c r="F45" s="19">
        <f>'Proforma Income Statement'!F18</f>
        <v>361892800</v>
      </c>
      <c r="G45" s="20">
        <f>G47+G51</f>
        <v>247951717.85849321</v>
      </c>
      <c r="H45" s="20">
        <f t="shared" ref="H45:K45" si="28">H47+H51</f>
        <v>262055250.53329435</v>
      </c>
      <c r="I45" s="20">
        <f t="shared" si="28"/>
        <v>274761946.33725476</v>
      </c>
      <c r="J45" s="20">
        <f t="shared" si="28"/>
        <v>287877254.55441558</v>
      </c>
      <c r="K45" s="21">
        <f t="shared" si="28"/>
        <v>303487540.646007</v>
      </c>
    </row>
    <row r="46" spans="1:11" x14ac:dyDescent="0.25">
      <c r="A46" s="14"/>
      <c r="G46" s="9"/>
      <c r="H46" s="9"/>
      <c r="I46" s="9"/>
      <c r="J46" s="9"/>
      <c r="K46" s="23"/>
    </row>
    <row r="47" spans="1:11" x14ac:dyDescent="0.25">
      <c r="A47" s="14" t="str">
        <f>'Proforma Income Statement'!A19</f>
        <v>Current Tax</v>
      </c>
      <c r="B47" s="19">
        <f>'Proforma Income Statement'!B19</f>
        <v>155727429</v>
      </c>
      <c r="C47" s="19">
        <f>'Proforma Income Statement'!C19</f>
        <v>235315855</v>
      </c>
      <c r="D47" s="19">
        <f>'Proforma Income Statement'!D19</f>
        <v>280115446</v>
      </c>
      <c r="E47" s="19">
        <f>'Proforma Income Statement'!E19</f>
        <v>170630777</v>
      </c>
      <c r="F47" s="19">
        <f>'Proforma Income Statement'!F19</f>
        <v>253378159</v>
      </c>
      <c r="G47" s="20">
        <f>G44*G49</f>
        <v>233445967.25849321</v>
      </c>
      <c r="H47" s="20">
        <f t="shared" ref="H47:K47" si="29">H44*H49</f>
        <v>246921462.61329436</v>
      </c>
      <c r="I47" s="20">
        <f t="shared" si="29"/>
        <v>260172050.43325475</v>
      </c>
      <c r="J47" s="20">
        <f t="shared" si="29"/>
        <v>272990123.0696156</v>
      </c>
      <c r="K47" s="21">
        <f t="shared" si="29"/>
        <v>285088110.264247</v>
      </c>
    </row>
    <row r="48" spans="1:11" x14ac:dyDescent="0.25">
      <c r="A48" s="14" t="s">
        <v>90</v>
      </c>
      <c r="B48" s="51">
        <f>B47/B44</f>
        <v>0.27779564727973527</v>
      </c>
      <c r="C48" s="51">
        <f t="shared" ref="C48:F48" si="30">C47/C44</f>
        <v>0.27833308728792799</v>
      </c>
      <c r="D48" s="51">
        <f t="shared" si="30"/>
        <v>0.29607852375325616</v>
      </c>
      <c r="E48" s="51">
        <f t="shared" si="30"/>
        <v>0.33540748722264085</v>
      </c>
      <c r="F48" s="51">
        <f t="shared" si="30"/>
        <v>0.30315523516636617</v>
      </c>
      <c r="G48" s="9"/>
      <c r="H48" s="9"/>
      <c r="I48" s="9"/>
      <c r="J48" s="9"/>
      <c r="K48" s="23"/>
    </row>
    <row r="49" spans="1:12" x14ac:dyDescent="0.25">
      <c r="A49" s="14" t="s">
        <v>91</v>
      </c>
      <c r="G49" s="24">
        <f>AVERAGE(B48:F48)</f>
        <v>0.29815399614198534</v>
      </c>
      <c r="H49" s="24">
        <f>G49</f>
        <v>0.29815399614198534</v>
      </c>
      <c r="I49" s="24">
        <f t="shared" ref="I49:K49" si="31">H49</f>
        <v>0.29815399614198534</v>
      </c>
      <c r="J49" s="24">
        <f t="shared" si="31"/>
        <v>0.29815399614198534</v>
      </c>
      <c r="K49" s="37">
        <f t="shared" si="31"/>
        <v>0.29815399614198534</v>
      </c>
    </row>
    <row r="50" spans="1:12" x14ac:dyDescent="0.25">
      <c r="A50" s="14"/>
      <c r="G50" s="24"/>
      <c r="H50" s="24"/>
      <c r="I50" s="24"/>
      <c r="J50" s="24"/>
      <c r="K50" s="37"/>
    </row>
    <row r="51" spans="1:12" ht="15.75" thickBot="1" x14ac:dyDescent="0.3">
      <c r="A51" s="33" t="str">
        <f>'Proforma Income Statement'!A21</f>
        <v>Deferred Tax</v>
      </c>
      <c r="B51" s="78">
        <f>'Proforma Income Statement'!B21</f>
        <v>11365564</v>
      </c>
      <c r="C51" s="78">
        <f>'Proforma Income Statement'!C21</f>
        <v>17853248</v>
      </c>
      <c r="D51" s="78">
        <f>'Proforma Income Statement'!D21</f>
        <v>13103718</v>
      </c>
      <c r="E51" s="78">
        <f>'Proforma Income Statement'!E21</f>
        <v>-2674363</v>
      </c>
      <c r="F51" s="78">
        <f>'Proforma Income Statement'!F21</f>
        <v>32880586</v>
      </c>
      <c r="G51" s="79">
        <f>G151</f>
        <v>14505750.6</v>
      </c>
      <c r="H51" s="79">
        <f>H151</f>
        <v>15133787.919999998</v>
      </c>
      <c r="I51" s="79">
        <f>I151</f>
        <v>14589895.903999999</v>
      </c>
      <c r="J51" s="79">
        <f>J151</f>
        <v>14887131.4848</v>
      </c>
      <c r="K51" s="80">
        <f>K151</f>
        <v>18399430.381759997</v>
      </c>
    </row>
    <row r="52" spans="1:12" ht="15.75" thickBot="1" x14ac:dyDescent="0.3">
      <c r="G52" s="24"/>
      <c r="H52" s="24"/>
      <c r="I52" s="24"/>
      <c r="J52" s="24"/>
      <c r="K52" s="24"/>
    </row>
    <row r="53" spans="1:12" x14ac:dyDescent="0.25">
      <c r="A53" s="52" t="s">
        <v>2</v>
      </c>
      <c r="B53" s="31">
        <f>'Proforma Balance Sheet'!B6</f>
        <v>4020040263</v>
      </c>
      <c r="C53" s="31">
        <f>'Proforma Balance Sheet'!C6</f>
        <v>4028932794</v>
      </c>
      <c r="D53" s="31">
        <f>'Proforma Balance Sheet'!D6</f>
        <v>4328456399</v>
      </c>
      <c r="E53" s="31">
        <f>'Proforma Balance Sheet'!E6</f>
        <v>4454064634</v>
      </c>
      <c r="F53" s="31">
        <f>'Proforma Balance Sheet'!F6</f>
        <v>4463253246</v>
      </c>
      <c r="G53" s="47">
        <f>G57-G66</f>
        <v>4510837674.622118</v>
      </c>
      <c r="H53" s="47">
        <f t="shared" ref="H53:K53" si="32">H57-H66</f>
        <v>4560970184.1528072</v>
      </c>
      <c r="I53" s="47">
        <f t="shared" si="32"/>
        <v>4615891500.8069553</v>
      </c>
      <c r="J53" s="47">
        <f t="shared" si="32"/>
        <v>4677962355.8097019</v>
      </c>
      <c r="K53" s="48">
        <f t="shared" si="32"/>
        <v>4745616056.733923</v>
      </c>
    </row>
    <row r="54" spans="1:12" x14ac:dyDescent="0.25">
      <c r="A54" s="14" t="s">
        <v>102</v>
      </c>
      <c r="B54" s="1">
        <v>4349394974</v>
      </c>
      <c r="C54" s="1">
        <f t="shared" ref="C54:H54" si="33">B57</f>
        <v>4515837829</v>
      </c>
      <c r="D54" s="1">
        <f t="shared" si="33"/>
        <v>4614103492</v>
      </c>
      <c r="E54" s="1">
        <f t="shared" si="33"/>
        <v>5009606879</v>
      </c>
      <c r="F54" s="1">
        <f t="shared" si="33"/>
        <v>5225724945</v>
      </c>
      <c r="G54" s="55">
        <f t="shared" si="33"/>
        <v>5316250334</v>
      </c>
      <c r="H54" s="55">
        <f t="shared" si="33"/>
        <v>5459307122.0760365</v>
      </c>
      <c r="I54" s="55">
        <f t="shared" ref="I54:K54" si="34">H57</f>
        <v>5606213473.9101505</v>
      </c>
      <c r="J54" s="55">
        <f t="shared" si="34"/>
        <v>5757072978.7225866</v>
      </c>
      <c r="K54" s="56">
        <f t="shared" si="34"/>
        <v>5911992013.2511425</v>
      </c>
    </row>
    <row r="55" spans="1:12" x14ac:dyDescent="0.25">
      <c r="A55" s="14" t="s">
        <v>104</v>
      </c>
      <c r="B55" s="1">
        <v>166620151</v>
      </c>
      <c r="C55" s="1">
        <v>102044636</v>
      </c>
      <c r="D55" s="1">
        <v>397698434</v>
      </c>
      <c r="E55" s="1">
        <v>216118066</v>
      </c>
      <c r="F55" s="1">
        <v>94815627</v>
      </c>
      <c r="G55" s="9"/>
      <c r="H55" s="9"/>
      <c r="I55" s="9"/>
      <c r="J55" s="9"/>
      <c r="K55" s="23"/>
    </row>
    <row r="56" spans="1:12" x14ac:dyDescent="0.25">
      <c r="A56" s="14" t="s">
        <v>105</v>
      </c>
      <c r="B56" s="1">
        <v>177296</v>
      </c>
      <c r="C56" s="1">
        <v>3778973</v>
      </c>
      <c r="D56">
        <v>2195047</v>
      </c>
      <c r="F56" s="1">
        <v>4290238</v>
      </c>
      <c r="G56" s="9"/>
      <c r="H56" s="9"/>
      <c r="I56" s="9"/>
      <c r="J56" s="9"/>
      <c r="K56" s="23"/>
    </row>
    <row r="57" spans="1:12" x14ac:dyDescent="0.25">
      <c r="A57" s="14" t="s">
        <v>103</v>
      </c>
      <c r="B57" s="1">
        <f>B54+B55-B56</f>
        <v>4515837829</v>
      </c>
      <c r="C57" s="1">
        <f>C54+C55-C56</f>
        <v>4614103492</v>
      </c>
      <c r="D57" s="1">
        <f>D54+D55-D56</f>
        <v>5009606879</v>
      </c>
      <c r="E57" s="1">
        <f>E54+E55-E56</f>
        <v>5225724945</v>
      </c>
      <c r="F57" s="1">
        <f>F54+F55-F56</f>
        <v>5316250334</v>
      </c>
      <c r="G57" s="55">
        <f>G54*(1+G60)</f>
        <v>5459307122.0760365</v>
      </c>
      <c r="H57" s="55">
        <f t="shared" ref="H57:K57" si="35">H54*(1+H60)</f>
        <v>5606213473.9101505</v>
      </c>
      <c r="I57" s="55">
        <f t="shared" si="35"/>
        <v>5757072978.7225866</v>
      </c>
      <c r="J57" s="55">
        <f t="shared" si="35"/>
        <v>5911992013.2511425</v>
      </c>
      <c r="K57" s="56">
        <f t="shared" si="35"/>
        <v>6071079816.7614298</v>
      </c>
    </row>
    <row r="58" spans="1:12" x14ac:dyDescent="0.25">
      <c r="A58" s="14"/>
      <c r="B58" s="1"/>
      <c r="C58" s="1"/>
      <c r="D58" s="1"/>
      <c r="E58" s="1"/>
      <c r="F58" s="1"/>
      <c r="G58" s="9"/>
      <c r="H58" s="9"/>
      <c r="I58" s="9"/>
      <c r="J58" s="9"/>
      <c r="K58" s="23"/>
    </row>
    <row r="59" spans="1:12" x14ac:dyDescent="0.25">
      <c r="A59" s="14" t="s">
        <v>171</v>
      </c>
      <c r="B59" s="46"/>
      <c r="C59" s="46">
        <f>(C53-B53)/B53</f>
        <v>2.2120502328909137E-3</v>
      </c>
      <c r="D59" s="46">
        <f t="shared" ref="D59:F59" si="36">(D53-C53)/C53</f>
        <v>7.43431623992485E-2</v>
      </c>
      <c r="E59" s="46">
        <f t="shared" si="36"/>
        <v>2.9019175295151217E-2</v>
      </c>
      <c r="F59" s="46">
        <f t="shared" si="36"/>
        <v>2.0629723084525852E-3</v>
      </c>
      <c r="G59" s="9"/>
      <c r="H59" s="9"/>
      <c r="I59" s="9"/>
      <c r="J59" s="9"/>
      <c r="K59" s="23"/>
    </row>
    <row r="60" spans="1:12" x14ac:dyDescent="0.25">
      <c r="A60" s="14"/>
      <c r="G60" s="54">
        <f>AVERAGE(C59:F59)</f>
        <v>2.6909340058935801E-2</v>
      </c>
      <c r="H60" s="54">
        <f>G60</f>
        <v>2.6909340058935801E-2</v>
      </c>
      <c r="I60" s="54">
        <f t="shared" ref="I60:K60" si="37">H60</f>
        <v>2.6909340058935801E-2</v>
      </c>
      <c r="J60" s="54">
        <f t="shared" si="37"/>
        <v>2.6909340058935801E-2</v>
      </c>
      <c r="K60" s="57">
        <f t="shared" si="37"/>
        <v>2.6909340058935801E-2</v>
      </c>
    </row>
    <row r="61" spans="1:12" x14ac:dyDescent="0.25">
      <c r="A61" s="14" t="s">
        <v>101</v>
      </c>
      <c r="G61" s="9"/>
      <c r="H61" s="9"/>
      <c r="I61" s="9"/>
      <c r="J61" s="9"/>
      <c r="K61" s="23"/>
      <c r="L61" s="42"/>
    </row>
    <row r="62" spans="1:12" x14ac:dyDescent="0.25">
      <c r="A62" s="14" t="s">
        <v>106</v>
      </c>
      <c r="B62" s="1">
        <v>410956264</v>
      </c>
      <c r="C62" s="1">
        <f>B66</f>
        <v>495797566</v>
      </c>
      <c r="D62" s="1">
        <f t="shared" ref="D62:K62" si="38">C66</f>
        <v>585170698</v>
      </c>
      <c r="E62" s="1">
        <f t="shared" si="38"/>
        <v>681150480</v>
      </c>
      <c r="F62" s="1">
        <f t="shared" si="38"/>
        <v>771660312</v>
      </c>
      <c r="G62" s="20">
        <f t="shared" si="38"/>
        <v>852997087</v>
      </c>
      <c r="H62" s="20">
        <f t="shared" si="38"/>
        <v>948469447.45391893</v>
      </c>
      <c r="I62" s="20">
        <f t="shared" si="38"/>
        <v>1045243289.7573436</v>
      </c>
      <c r="J62" s="20">
        <f t="shared" si="38"/>
        <v>1141181477.9156308</v>
      </c>
      <c r="K62" s="21">
        <f t="shared" si="38"/>
        <v>1234029657.4414406</v>
      </c>
    </row>
    <row r="63" spans="1:12" x14ac:dyDescent="0.25">
      <c r="A63" s="14" t="s">
        <v>107</v>
      </c>
      <c r="B63" s="1">
        <v>79850799</v>
      </c>
      <c r="C63" s="1">
        <v>86290526</v>
      </c>
      <c r="D63" s="1">
        <v>93304114</v>
      </c>
      <c r="E63" s="1">
        <v>86115058</v>
      </c>
      <c r="F63" s="1">
        <v>81035811</v>
      </c>
      <c r="G63" s="20">
        <f>(G57-G62)*G69</f>
        <v>90536264.323802724</v>
      </c>
      <c r="H63" s="20">
        <f t="shared" ref="H63:K63" si="39">(H57-H62)*H69</f>
        <v>91782629.795150101</v>
      </c>
      <c r="I63" s="20">
        <f t="shared" si="39"/>
        <v>90889017.755868867</v>
      </c>
      <c r="J63" s="20">
        <f t="shared" si="39"/>
        <v>87735805.577537507</v>
      </c>
      <c r="K63" s="21">
        <f t="shared" si="39"/>
        <v>86250746.626353115</v>
      </c>
    </row>
    <row r="64" spans="1:12" x14ac:dyDescent="0.25">
      <c r="A64" s="14" t="s">
        <v>108</v>
      </c>
      <c r="B64" s="1">
        <v>5089260</v>
      </c>
      <c r="C64">
        <v>4882821</v>
      </c>
      <c r="D64">
        <v>4629077</v>
      </c>
      <c r="E64" s="1">
        <v>4394774</v>
      </c>
      <c r="F64" s="1">
        <v>4177556</v>
      </c>
      <c r="G64" s="20">
        <f>(G57-G62)*G71</f>
        <v>4936096.1301162578</v>
      </c>
      <c r="H64" s="20">
        <f>(H57-H62)*H71</f>
        <v>4991212.5082746865</v>
      </c>
      <c r="I64" s="20">
        <f>(I57-I62)*I71</f>
        <v>5049170.4024182791</v>
      </c>
      <c r="J64" s="20">
        <f>(J57-J62)*J71</f>
        <v>5112373.9482721919</v>
      </c>
      <c r="K64" s="21">
        <f>(K57-K62)*K71</f>
        <v>5183355.9597130986</v>
      </c>
    </row>
    <row r="65" spans="1:11" x14ac:dyDescent="0.25">
      <c r="A65" s="14" t="s">
        <v>109</v>
      </c>
      <c r="B65" s="1">
        <v>98757</v>
      </c>
      <c r="C65">
        <v>1800215</v>
      </c>
      <c r="D65">
        <v>1953409</v>
      </c>
      <c r="F65" s="1">
        <v>3876592</v>
      </c>
      <c r="G65" s="20"/>
      <c r="H65" s="20"/>
      <c r="I65" s="20"/>
      <c r="J65" s="20"/>
      <c r="K65" s="21"/>
    </row>
    <row r="66" spans="1:11" x14ac:dyDescent="0.25">
      <c r="A66" s="14" t="s">
        <v>103</v>
      </c>
      <c r="B66" s="1">
        <f>B62+B63+B64-B65</f>
        <v>495797566</v>
      </c>
      <c r="C66" s="1">
        <f t="shared" ref="C66:F66" si="40">C62+C63+C64-C65</f>
        <v>585170698</v>
      </c>
      <c r="D66" s="1">
        <f t="shared" si="40"/>
        <v>681150480</v>
      </c>
      <c r="E66" s="1">
        <f t="shared" si="40"/>
        <v>771660312</v>
      </c>
      <c r="F66" s="1">
        <f t="shared" si="40"/>
        <v>852997087</v>
      </c>
      <c r="G66" s="20">
        <f t="shared" ref="G66" si="41">G62+G63+G64-G65</f>
        <v>948469447.45391893</v>
      </c>
      <c r="H66" s="20">
        <f t="shared" ref="H66" si="42">H62+H63+H64-H65</f>
        <v>1045243289.7573436</v>
      </c>
      <c r="I66" s="20">
        <f t="shared" ref="I66" si="43">I62+I63+I64-I65</f>
        <v>1141181477.9156308</v>
      </c>
      <c r="J66" s="20">
        <f t="shared" ref="J66" si="44">J62+J63+J64-J65</f>
        <v>1234029657.4414406</v>
      </c>
      <c r="K66" s="21">
        <f t="shared" ref="K66" si="45">K62+K63+K64-K65</f>
        <v>1325463760.0275066</v>
      </c>
    </row>
    <row r="67" spans="1:11" x14ac:dyDescent="0.25">
      <c r="A67" s="58" t="s">
        <v>112</v>
      </c>
      <c r="B67" s="2"/>
      <c r="C67" s="2"/>
      <c r="D67" s="2"/>
      <c r="E67" s="2"/>
      <c r="F67" s="2"/>
      <c r="G67" s="59">
        <f>G63+G64</f>
        <v>95472360.453918979</v>
      </c>
      <c r="H67" s="59">
        <f t="shared" ref="H67:K67" si="46">H63+H64</f>
        <v>96773842.303424791</v>
      </c>
      <c r="I67" s="59">
        <f t="shared" si="46"/>
        <v>95938188.158287153</v>
      </c>
      <c r="J67" s="59">
        <f t="shared" si="46"/>
        <v>92848179.525809705</v>
      </c>
      <c r="K67" s="60">
        <f t="shared" si="46"/>
        <v>91434102.586066216</v>
      </c>
    </row>
    <row r="68" spans="1:11" x14ac:dyDescent="0.25">
      <c r="A68" s="14" t="s">
        <v>110</v>
      </c>
      <c r="B68" s="44">
        <f>B63/(B57-B62)</f>
        <v>1.9452643818238882E-2</v>
      </c>
      <c r="C68" s="44">
        <f t="shared" ref="C68:F68" si="47">C63/(C57-C62)</f>
        <v>2.0952917911033306E-2</v>
      </c>
      <c r="D68" s="44">
        <f t="shared" si="47"/>
        <v>2.1088362490271389E-2</v>
      </c>
      <c r="E68" s="44">
        <f t="shared" si="47"/>
        <v>1.8948981618238266E-2</v>
      </c>
      <c r="F68" s="44">
        <f t="shared" si="47"/>
        <v>1.7831269841220455E-2</v>
      </c>
      <c r="G68" s="9"/>
      <c r="H68" s="9"/>
      <c r="I68" s="9"/>
      <c r="J68" s="9"/>
      <c r="K68" s="23"/>
    </row>
    <row r="69" spans="1:11" x14ac:dyDescent="0.25">
      <c r="A69" s="14"/>
      <c r="G69" s="51">
        <f>AVERAGE(B68:F68)</f>
        <v>1.965483513580046E-2</v>
      </c>
      <c r="H69" s="51">
        <f t="shared" ref="H69:K69" si="48">AVERAGE(C68:G68)</f>
        <v>1.9705382965190855E-2</v>
      </c>
      <c r="I69" s="51">
        <f t="shared" si="48"/>
        <v>1.9289537983243371E-2</v>
      </c>
      <c r="J69" s="51">
        <f t="shared" si="48"/>
        <v>1.839012572972936E-2</v>
      </c>
      <c r="K69" s="61">
        <f t="shared" si="48"/>
        <v>1.7831269841220455E-2</v>
      </c>
    </row>
    <row r="70" spans="1:11" x14ac:dyDescent="0.25">
      <c r="A70" s="14" t="s">
        <v>111</v>
      </c>
      <c r="B70" s="44">
        <f>B64/(B57-B62)</f>
        <v>1.2398067811245123E-3</v>
      </c>
      <c r="C70" s="44">
        <f t="shared" ref="C70:F70" si="49">C64/(C57-C62)</f>
        <v>1.1856382424562987E-3</v>
      </c>
      <c r="D70" s="44">
        <f t="shared" si="49"/>
        <v>1.0462524060983851E-3</v>
      </c>
      <c r="E70" s="44">
        <f t="shared" si="49"/>
        <v>9.6703751557958024E-4</v>
      </c>
      <c r="F70" s="44">
        <f t="shared" si="49"/>
        <v>9.1923715445767001E-4</v>
      </c>
      <c r="G70" s="9"/>
      <c r="H70" s="9"/>
      <c r="I70" s="9"/>
      <c r="J70" s="9"/>
      <c r="K70" s="23"/>
    </row>
    <row r="71" spans="1:11" ht="15.75" thickBot="1" x14ac:dyDescent="0.3">
      <c r="A71" s="33"/>
      <c r="B71" s="27"/>
      <c r="C71" s="27"/>
      <c r="D71" s="27"/>
      <c r="E71" s="27"/>
      <c r="F71" s="27"/>
      <c r="G71" s="29">
        <f>AVERAGE(B70:F70)</f>
        <v>1.0715944199432893E-3</v>
      </c>
      <c r="H71" s="29">
        <f>G71</f>
        <v>1.0715944199432893E-3</v>
      </c>
      <c r="I71" s="29">
        <f t="shared" ref="I71:K71" si="50">H71</f>
        <v>1.0715944199432893E-3</v>
      </c>
      <c r="J71" s="29">
        <f t="shared" si="50"/>
        <v>1.0715944199432893E-3</v>
      </c>
      <c r="K71" s="30">
        <f t="shared" si="50"/>
        <v>1.0715944199432893E-3</v>
      </c>
    </row>
    <row r="72" spans="1:11" ht="15.75" thickBot="1" x14ac:dyDescent="0.3">
      <c r="A72" s="14"/>
      <c r="G72" s="24"/>
      <c r="H72" s="24"/>
      <c r="I72" s="24"/>
      <c r="J72" s="24"/>
      <c r="K72" s="24"/>
    </row>
    <row r="73" spans="1:11" x14ac:dyDescent="0.25">
      <c r="A73" s="10" t="str">
        <f>'Proforma Balance Sheet'!A7</f>
        <v>Intangible assets</v>
      </c>
      <c r="B73" s="38">
        <f>'Proforma Balance Sheet'!B7</f>
        <v>1100000</v>
      </c>
      <c r="C73" s="38">
        <f>'Proforma Balance Sheet'!C7</f>
        <v>660073</v>
      </c>
      <c r="D73" s="38">
        <f>'Proforma Balance Sheet'!D7</f>
        <v>90353396</v>
      </c>
      <c r="E73" s="38">
        <f>'Proforma Balance Sheet'!E7</f>
        <v>81186041</v>
      </c>
      <c r="F73" s="38">
        <f>'Proforma Balance Sheet'!F7</f>
        <v>75373049</v>
      </c>
      <c r="G73" s="12">
        <f>F73*(1+G75)</f>
        <v>71483733.32411395</v>
      </c>
      <c r="H73" s="12">
        <f t="shared" ref="H73:K73" si="51">G73*(1+H75)</f>
        <v>68509947.093933448</v>
      </c>
      <c r="I73" s="12">
        <f t="shared" si="51"/>
        <v>66344972.459557302</v>
      </c>
      <c r="J73" s="12">
        <f t="shared" si="51"/>
        <v>64911862.653952263</v>
      </c>
      <c r="K73" s="13">
        <f t="shared" si="51"/>
        <v>64158827.908189565</v>
      </c>
    </row>
    <row r="74" spans="1:11" x14ac:dyDescent="0.25">
      <c r="A74" s="14" t="s">
        <v>113</v>
      </c>
      <c r="B74" t="s">
        <v>92</v>
      </c>
      <c r="C74" s="44">
        <f>(C73-B73)/B73</f>
        <v>-0.39993363636363638</v>
      </c>
      <c r="D74" s="44">
        <f t="shared" ref="D74:F74" si="52">(D73-C73)/C73</f>
        <v>135.88394465460638</v>
      </c>
      <c r="E74" s="44">
        <f t="shared" si="52"/>
        <v>-0.10146110058774105</v>
      </c>
      <c r="F74" s="44">
        <f t="shared" si="52"/>
        <v>-7.1600880254771876E-2</v>
      </c>
      <c r="G74" s="24"/>
      <c r="H74" s="24"/>
      <c r="I74" s="24"/>
      <c r="J74" s="24"/>
      <c r="K74" s="37"/>
    </row>
    <row r="75" spans="1:11" ht="15.75" thickBot="1" x14ac:dyDescent="0.3">
      <c r="A75" s="33" t="s">
        <v>114</v>
      </c>
      <c r="B75" s="27"/>
      <c r="C75" s="27"/>
      <c r="D75" s="27"/>
      <c r="E75" s="27"/>
      <c r="F75" s="27"/>
      <c r="G75" s="29">
        <f>F74+2%</f>
        <v>-5.1600880254771872E-2</v>
      </c>
      <c r="H75" s="29">
        <f>G75+1%</f>
        <v>-4.160088025477187E-2</v>
      </c>
      <c r="I75" s="29">
        <f t="shared" ref="I75:K75" si="53">H75+1%</f>
        <v>-3.1600880254771868E-2</v>
      </c>
      <c r="J75" s="29">
        <f t="shared" si="53"/>
        <v>-2.1600880254771866E-2</v>
      </c>
      <c r="K75" s="30">
        <f t="shared" si="53"/>
        <v>-1.1600880254771866E-2</v>
      </c>
    </row>
    <row r="76" spans="1:11" ht="15.75" thickBot="1" x14ac:dyDescent="0.3">
      <c r="A76" s="14"/>
      <c r="G76" s="24"/>
      <c r="H76" s="24"/>
      <c r="I76" s="24"/>
      <c r="J76" s="24"/>
      <c r="K76" s="24"/>
    </row>
    <row r="77" spans="1:11" x14ac:dyDescent="0.25">
      <c r="A77" s="10" t="str">
        <f>'Proforma Balance Sheet'!A8</f>
        <v>Capital work in progress</v>
      </c>
      <c r="B77" s="11">
        <f>'Proforma Balance Sheet'!B8</f>
        <v>152732456</v>
      </c>
      <c r="C77" s="11">
        <f>'Proforma Balance Sheet'!C8</f>
        <v>544193090</v>
      </c>
      <c r="D77" s="11">
        <f>'Proforma Balance Sheet'!D8</f>
        <v>251936548</v>
      </c>
      <c r="E77" s="11">
        <f>'Proforma Balance Sheet'!E8</f>
        <v>303467404</v>
      </c>
      <c r="F77" s="11">
        <f>'Proforma Balance Sheet'!F8</f>
        <v>519087755</v>
      </c>
      <c r="G77" s="12">
        <f>F77*(1+G79)</f>
        <v>584495517.26413202</v>
      </c>
      <c r="H77" s="12">
        <f t="shared" ref="H77:K77" si="54">G77*(1+H79)</f>
        <v>658144998.43454266</v>
      </c>
      <c r="I77" s="12">
        <f t="shared" si="54"/>
        <v>741074698.04368508</v>
      </c>
      <c r="J77" s="12">
        <f t="shared" si="54"/>
        <v>834453971.97705841</v>
      </c>
      <c r="K77" s="13">
        <f t="shared" si="54"/>
        <v>939599521.05562627</v>
      </c>
    </row>
    <row r="78" spans="1:11" x14ac:dyDescent="0.25">
      <c r="A78" s="14" t="s">
        <v>113</v>
      </c>
      <c r="B78" t="s">
        <v>92</v>
      </c>
      <c r="C78" s="44">
        <f>(C77-B77)/B77</f>
        <v>2.5630481186002796</v>
      </c>
      <c r="D78" s="44">
        <f t="shared" ref="D78" si="55">(D77-C77)/C77</f>
        <v>-0.53704566884522553</v>
      </c>
      <c r="E78" s="44">
        <f t="shared" ref="E78" si="56">(E77-D77)/D77</f>
        <v>0.20453902543746849</v>
      </c>
      <c r="F78" s="44">
        <f t="shared" ref="F78" si="57">(F77-E77)/E77</f>
        <v>0.71052227737777074</v>
      </c>
      <c r="G78" s="24"/>
      <c r="H78" s="24"/>
      <c r="I78" s="24"/>
      <c r="J78" s="24"/>
      <c r="K78" s="37"/>
    </row>
    <row r="79" spans="1:11" ht="15.75" thickBot="1" x14ac:dyDescent="0.3">
      <c r="A79" s="33" t="s">
        <v>114</v>
      </c>
      <c r="B79" s="27"/>
      <c r="C79" s="27"/>
      <c r="D79" s="27"/>
      <c r="E79" s="27"/>
      <c r="F79" s="27"/>
      <c r="G79" s="29">
        <f>AVERAGE(D78:F78)</f>
        <v>0.12600521132333789</v>
      </c>
      <c r="H79" s="29">
        <f>G79</f>
        <v>0.12600521132333789</v>
      </c>
      <c r="I79" s="29">
        <f>H79</f>
        <v>0.12600521132333789</v>
      </c>
      <c r="J79" s="29">
        <f t="shared" ref="J79:K79" si="58">I79</f>
        <v>0.12600521132333789</v>
      </c>
      <c r="K79" s="30">
        <f t="shared" si="58"/>
        <v>0.12600521132333789</v>
      </c>
    </row>
    <row r="80" spans="1:11" ht="15.75" thickBot="1" x14ac:dyDescent="0.3">
      <c r="A80" s="14"/>
      <c r="G80" s="24"/>
      <c r="H80" s="24"/>
      <c r="I80" s="24"/>
      <c r="J80" s="24"/>
      <c r="K80" s="24"/>
    </row>
    <row r="81" spans="1:11" ht="15.75" thickBot="1" x14ac:dyDescent="0.3">
      <c r="A81" s="68" t="str">
        <f>'Proforma Balance Sheet'!A9</f>
        <v>Investment in subsidiaries and associates</v>
      </c>
      <c r="B81" s="145">
        <f>'Proforma Balance Sheet'!B9</f>
        <v>59734663</v>
      </c>
      <c r="C81" s="145">
        <f>'Proforma Balance Sheet'!C9</f>
        <v>53752216</v>
      </c>
      <c r="D81" s="69">
        <f>'Proforma Balance Sheet'!D9</f>
        <v>0</v>
      </c>
      <c r="E81" s="69">
        <f>'Proforma Balance Sheet'!E9</f>
        <v>0</v>
      </c>
      <c r="F81" s="69">
        <f>'Proforma Balance Sheet'!F9</f>
        <v>0</v>
      </c>
      <c r="G81" s="70">
        <f>'Proforma Balance Sheet'!G9</f>
        <v>0</v>
      </c>
      <c r="H81" s="70">
        <f>'Proforma Balance Sheet'!H9</f>
        <v>0</v>
      </c>
      <c r="I81" s="70">
        <f>'Proforma Balance Sheet'!I9</f>
        <v>0</v>
      </c>
      <c r="J81" s="70">
        <f>'Proforma Balance Sheet'!J9</f>
        <v>0</v>
      </c>
      <c r="K81" s="71">
        <f>'Proforma Balance Sheet'!K9</f>
        <v>0</v>
      </c>
    </row>
    <row r="82" spans="1:11" ht="15.75" thickBot="1" x14ac:dyDescent="0.3">
      <c r="A82" s="14"/>
      <c r="G82" s="24"/>
      <c r="H82" s="24"/>
      <c r="I82" s="24"/>
      <c r="J82" s="24"/>
      <c r="K82" s="24"/>
    </row>
    <row r="83" spans="1:11" ht="15.75" thickBot="1" x14ac:dyDescent="0.3">
      <c r="A83" s="68" t="str">
        <f>'Proforma Balance Sheet'!A10</f>
        <v>Right of Use Assets</v>
      </c>
      <c r="B83" s="69">
        <f>'Proforma Balance Sheet'!B10</f>
        <v>0</v>
      </c>
      <c r="C83" s="69">
        <f>'Proforma Balance Sheet'!C10</f>
        <v>0</v>
      </c>
      <c r="D83" s="69">
        <f>'Proforma Balance Sheet'!D10</f>
        <v>0</v>
      </c>
      <c r="E83" s="69">
        <f>'Proforma Balance Sheet'!E10</f>
        <v>0</v>
      </c>
      <c r="F83" s="145">
        <f>'Proforma Balance Sheet'!F10</f>
        <v>5836095</v>
      </c>
      <c r="G83" s="72">
        <f>F83*(1+0.01)</f>
        <v>5894455.9500000002</v>
      </c>
      <c r="H83" s="72">
        <f t="shared" ref="H83:K83" si="59">G83*(1+0.01)</f>
        <v>5953400.5095000006</v>
      </c>
      <c r="I83" s="72">
        <f t="shared" si="59"/>
        <v>6012934.514595001</v>
      </c>
      <c r="J83" s="72">
        <f t="shared" si="59"/>
        <v>6073063.8597409511</v>
      </c>
      <c r="K83" s="73">
        <f t="shared" si="59"/>
        <v>6133794.4983383603</v>
      </c>
    </row>
    <row r="84" spans="1:11" ht="15.75" thickBot="1" x14ac:dyDescent="0.3">
      <c r="A84" s="14"/>
      <c r="G84" s="24"/>
      <c r="H84" s="24"/>
      <c r="I84" s="24"/>
      <c r="J84" s="24"/>
      <c r="K84" s="24"/>
    </row>
    <row r="85" spans="1:11" x14ac:dyDescent="0.25">
      <c r="A85" s="62" t="str">
        <f>'Proforma Balance Sheet'!A11</f>
        <v>Trade receivables</v>
      </c>
      <c r="B85" s="31">
        <f>'Proforma Balance Sheet'!B11</f>
        <v>2556693894</v>
      </c>
      <c r="C85" s="31">
        <f>'Proforma Balance Sheet'!C11</f>
        <v>3153519618</v>
      </c>
      <c r="D85" s="31">
        <f>'Proforma Balance Sheet'!D11</f>
        <v>3458075023</v>
      </c>
      <c r="E85" s="31">
        <f>'Proforma Balance Sheet'!E11</f>
        <v>4516116881</v>
      </c>
      <c r="F85" s="31">
        <f>'Proforma Balance Sheet'!F11</f>
        <v>5982327209</v>
      </c>
      <c r="G85" s="12">
        <f>G4*G87</f>
        <v>4545560548.5086746</v>
      </c>
      <c r="H85" s="12">
        <f t="shared" ref="H85:K85" si="60">H4*H87</f>
        <v>4882864141.0509539</v>
      </c>
      <c r="I85" s="12">
        <f t="shared" si="60"/>
        <v>5245236289.9142647</v>
      </c>
      <c r="J85" s="12">
        <f t="shared" si="60"/>
        <v>5634543043.9580221</v>
      </c>
      <c r="K85" s="13">
        <f t="shared" si="60"/>
        <v>6052789578.7439089</v>
      </c>
    </row>
    <row r="86" spans="1:11" x14ac:dyDescent="0.25">
      <c r="A86" s="14" t="s">
        <v>87</v>
      </c>
      <c r="B86" s="15">
        <f>B85/B4</f>
        <v>0.39366009147221487</v>
      </c>
      <c r="C86" s="15">
        <f t="shared" ref="C86:F86" si="61">C85/C4</f>
        <v>0.31656165372578005</v>
      </c>
      <c r="D86" s="15">
        <f t="shared" si="61"/>
        <v>0.30898188914526792</v>
      </c>
      <c r="E86" s="15">
        <f t="shared" si="61"/>
        <v>0.47714576097058425</v>
      </c>
      <c r="F86" s="15">
        <f t="shared" si="61"/>
        <v>0.58987067614826361</v>
      </c>
      <c r="G86" s="16"/>
      <c r="H86" s="16"/>
      <c r="I86" s="16"/>
      <c r="J86" s="16"/>
      <c r="K86" s="17"/>
    </row>
    <row r="87" spans="1:11" ht="15.75" thickBot="1" x14ac:dyDescent="0.3">
      <c r="A87" s="33" t="s">
        <v>115</v>
      </c>
      <c r="B87" s="40"/>
      <c r="C87" s="40"/>
      <c r="D87" s="40"/>
      <c r="E87" s="40"/>
      <c r="F87" s="40"/>
      <c r="G87" s="114">
        <f>AVERAGE(B86:F86)</f>
        <v>0.41724401429242219</v>
      </c>
      <c r="H87" s="114">
        <f>G87</f>
        <v>0.41724401429242219</v>
      </c>
      <c r="I87" s="114">
        <f t="shared" ref="I87:K87" si="62">H87</f>
        <v>0.41724401429242219</v>
      </c>
      <c r="J87" s="114">
        <f t="shared" si="62"/>
        <v>0.41724401429242219</v>
      </c>
      <c r="K87" s="115">
        <f t="shared" si="62"/>
        <v>0.41724401429242219</v>
      </c>
    </row>
    <row r="88" spans="1:11" ht="15.75" thickBot="1" x14ac:dyDescent="0.3">
      <c r="A88" s="14"/>
      <c r="G88" s="24"/>
      <c r="H88" s="24"/>
      <c r="I88" s="24"/>
      <c r="J88" s="24"/>
      <c r="K88" s="24"/>
    </row>
    <row r="89" spans="1:11" x14ac:dyDescent="0.25">
      <c r="A89" s="10" t="str">
        <f>'Proforma Balance Sheet'!A15</f>
        <v>Inventories</v>
      </c>
      <c r="B89" s="11">
        <f>'Proforma Balance Sheet'!B15</f>
        <v>1279606414</v>
      </c>
      <c r="C89" s="11">
        <f>'Proforma Balance Sheet'!C15</f>
        <v>1809393474</v>
      </c>
      <c r="D89" s="11">
        <f>'Proforma Balance Sheet'!D15</f>
        <v>2081025214</v>
      </c>
      <c r="E89" s="11">
        <f>'Proforma Balance Sheet'!E15</f>
        <v>2869157749</v>
      </c>
      <c r="F89" s="11">
        <f>'Proforma Balance Sheet'!F15</f>
        <v>2134713957</v>
      </c>
      <c r="G89" s="12">
        <f>G4*G91</f>
        <v>2349288794.2414913</v>
      </c>
      <c r="H89" s="12">
        <f>H4*H91</f>
        <v>2523617909.8171172</v>
      </c>
      <c r="I89" s="12">
        <f>I4*I91</f>
        <v>2710903244.5046263</v>
      </c>
      <c r="J89" s="12">
        <f>J4*J91</f>
        <v>2912109231.1012831</v>
      </c>
      <c r="K89" s="13">
        <f>K4*K91</f>
        <v>3128272207.4640527</v>
      </c>
    </row>
    <row r="90" spans="1:11" x14ac:dyDescent="0.25">
      <c r="A90" s="14" t="s">
        <v>116</v>
      </c>
      <c r="B90" s="15">
        <f>B89/B4</f>
        <v>0.19702396879259446</v>
      </c>
      <c r="C90" s="15">
        <f t="shared" ref="C90:F90" si="63">C89/C4</f>
        <v>0.18163343176959243</v>
      </c>
      <c r="D90" s="15">
        <f t="shared" si="63"/>
        <v>0.18594133953254474</v>
      </c>
      <c r="E90" s="15">
        <f t="shared" si="63"/>
        <v>0.30313795979259855</v>
      </c>
      <c r="F90" s="15">
        <f t="shared" si="63"/>
        <v>0.21048751116527656</v>
      </c>
      <c r="G90" s="16"/>
      <c r="H90" s="16"/>
      <c r="I90" s="16"/>
      <c r="J90" s="16"/>
      <c r="K90" s="17"/>
    </row>
    <row r="91" spans="1:11" ht="15.75" thickBot="1" x14ac:dyDescent="0.3">
      <c r="A91" s="33" t="s">
        <v>120</v>
      </c>
      <c r="B91" s="40"/>
      <c r="C91" s="40"/>
      <c r="D91" s="40"/>
      <c r="E91" s="40"/>
      <c r="F91" s="40"/>
      <c r="G91" s="114">
        <f>AVERAGE(B90:F90)</f>
        <v>0.21564484221052135</v>
      </c>
      <c r="H91" s="114">
        <f>G91</f>
        <v>0.21564484221052135</v>
      </c>
      <c r="I91" s="114">
        <f t="shared" ref="I91:K91" si="64">H91</f>
        <v>0.21564484221052135</v>
      </c>
      <c r="J91" s="114">
        <f t="shared" si="64"/>
        <v>0.21564484221052135</v>
      </c>
      <c r="K91" s="115">
        <f t="shared" si="64"/>
        <v>0.21564484221052135</v>
      </c>
    </row>
    <row r="92" spans="1:11" ht="15.75" thickBot="1" x14ac:dyDescent="0.3">
      <c r="A92" s="14"/>
      <c r="G92" s="54"/>
      <c r="H92" s="54"/>
      <c r="I92" s="54"/>
      <c r="J92" s="54"/>
      <c r="K92" s="54"/>
    </row>
    <row r="93" spans="1:11" x14ac:dyDescent="0.25">
      <c r="A93" s="10" t="str">
        <f>'Proforma Balance Sheet'!A16</f>
        <v>Trade receivables</v>
      </c>
      <c r="B93" s="11">
        <f>'Proforma Balance Sheet'!B16</f>
        <v>2941160370</v>
      </c>
      <c r="C93" s="11">
        <f>'Proforma Balance Sheet'!C16</f>
        <v>3415113909</v>
      </c>
      <c r="D93" s="11">
        <f>'Proforma Balance Sheet'!D16</f>
        <v>4624712626</v>
      </c>
      <c r="E93" s="11">
        <f>'Proforma Balance Sheet'!E16</f>
        <v>5656034354</v>
      </c>
      <c r="F93" s="11">
        <f>'Proforma Balance Sheet'!F16</f>
        <v>5559331147</v>
      </c>
      <c r="G93" s="12">
        <f>G4*G95</f>
        <v>5130419436.204649</v>
      </c>
      <c r="H93" s="12">
        <f t="shared" ref="H93:K93" si="65">H4*H95</f>
        <v>5511122517.5107193</v>
      </c>
      <c r="I93" s="12">
        <f t="shared" si="65"/>
        <v>5920119624.8702326</v>
      </c>
      <c r="J93" s="12">
        <f t="shared" si="65"/>
        <v>6359516904.1006517</v>
      </c>
      <c r="K93" s="13">
        <f t="shared" si="65"/>
        <v>6831577528.5916729</v>
      </c>
    </row>
    <row r="94" spans="1:11" x14ac:dyDescent="0.25">
      <c r="A94" s="14" t="s">
        <v>121</v>
      </c>
      <c r="B94" s="15">
        <f>B93/B4</f>
        <v>0.45285728690704702</v>
      </c>
      <c r="C94" s="15">
        <f t="shared" ref="C94:F94" si="66">C93/C4</f>
        <v>0.34282143054514941</v>
      </c>
      <c r="D94" s="15">
        <f t="shared" si="66"/>
        <v>0.41322193255824369</v>
      </c>
      <c r="E94" s="15">
        <f t="shared" si="66"/>
        <v>0.59758258854396928</v>
      </c>
      <c r="F94" s="15">
        <f t="shared" si="66"/>
        <v>0.54816233015130478</v>
      </c>
      <c r="G94" s="16"/>
      <c r="H94" s="16"/>
      <c r="I94" s="16"/>
      <c r="J94" s="16"/>
      <c r="K94" s="17"/>
    </row>
    <row r="95" spans="1:11" ht="15.75" thickBot="1" x14ac:dyDescent="0.3">
      <c r="A95" s="33" t="s">
        <v>122</v>
      </c>
      <c r="B95" s="40"/>
      <c r="C95" s="40"/>
      <c r="D95" s="40"/>
      <c r="E95" s="40"/>
      <c r="F95" s="40"/>
      <c r="G95" s="114">
        <f>AVERAGE(B94:F94)</f>
        <v>0.47092911374114282</v>
      </c>
      <c r="H95" s="114">
        <f>G95</f>
        <v>0.47092911374114282</v>
      </c>
      <c r="I95" s="114">
        <f t="shared" ref="I95:K95" si="67">H95</f>
        <v>0.47092911374114282</v>
      </c>
      <c r="J95" s="114">
        <f t="shared" si="67"/>
        <v>0.47092911374114282</v>
      </c>
      <c r="K95" s="115">
        <f t="shared" si="67"/>
        <v>0.47092911374114282</v>
      </c>
    </row>
    <row r="96" spans="1:11" ht="15.75" thickBot="1" x14ac:dyDescent="0.3">
      <c r="A96" s="14"/>
      <c r="G96" s="54"/>
      <c r="H96" s="54"/>
      <c r="I96" s="54"/>
      <c r="J96" s="54"/>
      <c r="K96" s="54"/>
    </row>
    <row r="97" spans="1:11" x14ac:dyDescent="0.25">
      <c r="A97" s="10" t="str">
        <f>'Proforma Balance Sheet'!A17</f>
        <v>Short term investment</v>
      </c>
      <c r="B97" s="11">
        <f>'Proforma Balance Sheet'!B17</f>
        <v>1007391022</v>
      </c>
      <c r="C97" s="11">
        <f>'Proforma Balance Sheet'!C17</f>
        <v>951406172</v>
      </c>
      <c r="D97" s="11">
        <f>'Proforma Balance Sheet'!D17</f>
        <v>1081766618</v>
      </c>
      <c r="E97" s="11">
        <f>'Proforma Balance Sheet'!E17</f>
        <v>1768595187</v>
      </c>
      <c r="F97" s="11">
        <f>'Proforma Balance Sheet'!F17</f>
        <v>2451394200</v>
      </c>
      <c r="G97" s="12">
        <f>F97*(1+G99)</f>
        <v>2831810343.48068</v>
      </c>
      <c r="H97" s="12">
        <f t="shared" ref="H97:K97" si="68">G97*(1+H99)</f>
        <v>3271260828.407021</v>
      </c>
      <c r="I97" s="12">
        <f t="shared" si="68"/>
        <v>3778906815.6015792</v>
      </c>
      <c r="J97" s="12">
        <f t="shared" si="68"/>
        <v>4365331127.67836</v>
      </c>
      <c r="K97" s="13">
        <f t="shared" si="68"/>
        <v>5042758867.6181746</v>
      </c>
    </row>
    <row r="98" spans="1:11" x14ac:dyDescent="0.25">
      <c r="A98" s="14" t="s">
        <v>88</v>
      </c>
      <c r="B98" s="15">
        <f>B97/B4</f>
        <v>0.15511033323131487</v>
      </c>
      <c r="C98" s="15">
        <f t="shared" ref="C98:F98" si="69">C97/C4</f>
        <v>9.5505577150728202E-2</v>
      </c>
      <c r="D98" s="15">
        <f t="shared" si="69"/>
        <v>9.6656750076508507E-2</v>
      </c>
      <c r="E98" s="15">
        <f t="shared" si="69"/>
        <v>0.18685913553308403</v>
      </c>
      <c r="F98" s="15">
        <f t="shared" si="69"/>
        <v>0.24171288258598023</v>
      </c>
      <c r="G98" s="24"/>
      <c r="H98" s="24"/>
      <c r="I98" s="24"/>
      <c r="J98" s="24"/>
      <c r="K98" s="37"/>
    </row>
    <row r="99" spans="1:11" ht="15.75" thickBot="1" x14ac:dyDescent="0.3">
      <c r="A99" s="33" t="s">
        <v>115</v>
      </c>
      <c r="B99" s="27"/>
      <c r="C99" s="27"/>
      <c r="D99" s="27"/>
      <c r="E99" s="27"/>
      <c r="F99" s="27"/>
      <c r="G99" s="29">
        <f>AVERAGE(C98:F98)</f>
        <v>0.15518358633657525</v>
      </c>
      <c r="H99" s="29">
        <f>G99</f>
        <v>0.15518358633657525</v>
      </c>
      <c r="I99" s="29">
        <f t="shared" ref="I99:K99" si="70">H99</f>
        <v>0.15518358633657525</v>
      </c>
      <c r="J99" s="29">
        <f t="shared" si="70"/>
        <v>0.15518358633657525</v>
      </c>
      <c r="K99" s="30">
        <f t="shared" si="70"/>
        <v>0.15518358633657525</v>
      </c>
    </row>
    <row r="100" spans="1:11" ht="15.75" thickBot="1" x14ac:dyDescent="0.3">
      <c r="A100" s="14"/>
      <c r="G100" s="24"/>
      <c r="H100" s="24"/>
      <c r="I100" s="24"/>
      <c r="J100" s="24"/>
      <c r="K100" s="24"/>
    </row>
    <row r="101" spans="1:11" x14ac:dyDescent="0.25">
      <c r="A101" s="62" t="str">
        <f>'Proforma Balance Sheet'!A18</f>
        <v>Advances, deposits and prepayments</v>
      </c>
      <c r="B101" s="31">
        <f>'Proforma Balance Sheet'!B18</f>
        <v>1145247291</v>
      </c>
      <c r="C101" s="31">
        <f>'Proforma Balance Sheet'!C18</f>
        <v>933943497</v>
      </c>
      <c r="D101" s="31">
        <f>'Proforma Balance Sheet'!D18</f>
        <v>1353149968</v>
      </c>
      <c r="E101" s="31">
        <f>'Proforma Balance Sheet'!E18</f>
        <v>1700979119</v>
      </c>
      <c r="F101" s="31">
        <f>'Proforma Balance Sheet'!F18</f>
        <v>1704339412</v>
      </c>
      <c r="G101" s="12">
        <f>G4*G103</f>
        <v>1609649236.1836157</v>
      </c>
      <c r="H101" s="12">
        <f t="shared" ref="H101:K101" si="71">H4*H103</f>
        <v>1729093354.0880179</v>
      </c>
      <c r="I101" s="12">
        <f t="shared" si="71"/>
        <v>1857414613.1290865</v>
      </c>
      <c r="J101" s="12">
        <f t="shared" si="71"/>
        <v>1995273808.4033089</v>
      </c>
      <c r="K101" s="13">
        <f t="shared" si="71"/>
        <v>2143381001.8000445</v>
      </c>
    </row>
    <row r="102" spans="1:11" x14ac:dyDescent="0.25">
      <c r="A102" s="14" t="s">
        <v>117</v>
      </c>
      <c r="B102" s="15">
        <f>B101/B4</f>
        <v>0.17633638285419484</v>
      </c>
      <c r="C102" s="15">
        <f t="shared" ref="C102:F102" si="72">C101/C4</f>
        <v>9.3752610958628926E-2</v>
      </c>
      <c r="D102" s="15">
        <f t="shared" si="72"/>
        <v>0.12090507887442639</v>
      </c>
      <c r="E102" s="15">
        <f t="shared" si="72"/>
        <v>0.17971522826278441</v>
      </c>
      <c r="F102" s="15">
        <f t="shared" si="72"/>
        <v>0.16805163044744684</v>
      </c>
      <c r="G102" s="24"/>
      <c r="H102" s="24"/>
      <c r="I102" s="24"/>
      <c r="J102" s="24"/>
      <c r="K102" s="37"/>
    </row>
    <row r="103" spans="1:11" ht="15.75" thickBot="1" x14ac:dyDescent="0.3">
      <c r="A103" s="33" t="s">
        <v>118</v>
      </c>
      <c r="B103" s="27"/>
      <c r="C103" s="27"/>
      <c r="D103" s="27"/>
      <c r="E103" s="27"/>
      <c r="F103" s="27"/>
      <c r="G103" s="114">
        <f>AVERAGE(B102:F102)</f>
        <v>0.14775218627949629</v>
      </c>
      <c r="H103" s="114">
        <f>G103</f>
        <v>0.14775218627949629</v>
      </c>
      <c r="I103" s="114">
        <f t="shared" ref="I103:K103" si="73">H103</f>
        <v>0.14775218627949629</v>
      </c>
      <c r="J103" s="114">
        <f t="shared" si="73"/>
        <v>0.14775218627949629</v>
      </c>
      <c r="K103" s="115">
        <f t="shared" si="73"/>
        <v>0.14775218627949629</v>
      </c>
    </row>
    <row r="104" spans="1:11" ht="15.75" thickBot="1" x14ac:dyDescent="0.3">
      <c r="A104" s="14"/>
      <c r="G104" s="24"/>
      <c r="H104" s="24"/>
      <c r="I104" s="24"/>
      <c r="J104" s="24"/>
      <c r="K104" s="24"/>
    </row>
    <row r="105" spans="1:11" x14ac:dyDescent="0.25">
      <c r="A105" s="10" t="str">
        <f>'Proforma Balance Sheet'!A19</f>
        <v>Related party receivables</v>
      </c>
      <c r="B105" s="11">
        <f>'Proforma Balance Sheet'!B19</f>
        <v>115527371</v>
      </c>
      <c r="C105" s="11">
        <f>'Proforma Balance Sheet'!C19</f>
        <v>29682271</v>
      </c>
      <c r="D105" s="11">
        <f>'Proforma Balance Sheet'!D19</f>
        <v>94210330</v>
      </c>
      <c r="E105" s="11">
        <f>'Proforma Balance Sheet'!E19</f>
        <v>74771584</v>
      </c>
      <c r="F105" s="11">
        <f>'Proforma Balance Sheet'!F19</f>
        <v>55648064</v>
      </c>
      <c r="G105" s="12">
        <f>F105*(1+G107)</f>
        <v>58430467.200000003</v>
      </c>
      <c r="H105" s="12">
        <f t="shared" ref="H105:K105" si="74">G105*(1+H107)</f>
        <v>61351990.560000002</v>
      </c>
      <c r="I105" s="12">
        <f t="shared" si="74"/>
        <v>64419590.088000007</v>
      </c>
      <c r="J105" s="12">
        <f t="shared" si="74"/>
        <v>67640569.592400014</v>
      </c>
      <c r="K105" s="13">
        <f t="shared" si="74"/>
        <v>71022598.072020024</v>
      </c>
    </row>
    <row r="106" spans="1:11" x14ac:dyDescent="0.25">
      <c r="A106" s="14" t="s">
        <v>117</v>
      </c>
      <c r="C106" s="44">
        <f>(C105-B105)/B105</f>
        <v>-0.74307152717947678</v>
      </c>
      <c r="D106" s="44">
        <f t="shared" ref="D106" si="75">(D105-C105)/C105</f>
        <v>2.1739596340185696</v>
      </c>
      <c r="E106" s="44">
        <f t="shared" ref="E106" si="76">(E105-D105)/D105</f>
        <v>-0.20633348805805055</v>
      </c>
      <c r="F106" s="44">
        <f t="shared" ref="F106" si="77">(F105-E105)/E105</f>
        <v>-0.25575919322506263</v>
      </c>
      <c r="G106" s="24"/>
      <c r="H106" s="24"/>
      <c r="I106" s="24"/>
      <c r="J106" s="24"/>
      <c r="K106" s="37"/>
    </row>
    <row r="107" spans="1:11" ht="15.75" thickBot="1" x14ac:dyDescent="0.3">
      <c r="A107" s="33" t="s">
        <v>118</v>
      </c>
      <c r="B107" s="27"/>
      <c r="C107" s="27"/>
      <c r="D107" s="27"/>
      <c r="E107" s="27"/>
      <c r="F107" s="27"/>
      <c r="G107" s="29">
        <v>0.05</v>
      </c>
      <c r="H107" s="29">
        <f>G107</f>
        <v>0.05</v>
      </c>
      <c r="I107" s="29">
        <f t="shared" ref="I107:K107" si="78">H107</f>
        <v>0.05</v>
      </c>
      <c r="J107" s="29">
        <f t="shared" si="78"/>
        <v>0.05</v>
      </c>
      <c r="K107" s="30">
        <f t="shared" si="78"/>
        <v>0.05</v>
      </c>
    </row>
    <row r="108" spans="1:11" ht="15.75" thickBot="1" x14ac:dyDescent="0.3">
      <c r="A108" s="14"/>
      <c r="G108" s="24"/>
      <c r="H108" s="24"/>
      <c r="I108" s="24"/>
      <c r="J108" s="24"/>
      <c r="K108" s="24"/>
    </row>
    <row r="109" spans="1:11" x14ac:dyDescent="0.25">
      <c r="A109" s="10" t="str">
        <f>'Proforma Balance Sheet'!A20</f>
        <v>Other receivables</v>
      </c>
      <c r="B109" s="11">
        <f>'Proforma Balance Sheet'!B20</f>
        <v>79136968</v>
      </c>
      <c r="C109" s="11">
        <f>'Proforma Balance Sheet'!C20</f>
        <v>81439698</v>
      </c>
      <c r="D109" s="11">
        <f>'Proforma Balance Sheet'!D20</f>
        <v>106234734</v>
      </c>
      <c r="E109" s="11">
        <f>'Proforma Balance Sheet'!E20</f>
        <v>84262842</v>
      </c>
      <c r="F109" s="11">
        <f>'Proforma Balance Sheet'!F20</f>
        <v>127155792</v>
      </c>
      <c r="G109" s="12">
        <f>G4*G111</f>
        <v>106512861.83025712</v>
      </c>
      <c r="H109" s="12">
        <f t="shared" ref="H109:K109" si="79">H4*H111</f>
        <v>114416655.11689417</v>
      </c>
      <c r="I109" s="12">
        <f t="shared" si="79"/>
        <v>122907861.91330881</v>
      </c>
      <c r="J109" s="12">
        <f t="shared" si="79"/>
        <v>132030208.0047393</v>
      </c>
      <c r="K109" s="13">
        <f t="shared" si="79"/>
        <v>141830679.23270449</v>
      </c>
    </row>
    <row r="110" spans="1:11" x14ac:dyDescent="0.25">
      <c r="A110" s="14" t="s">
        <v>87</v>
      </c>
      <c r="B110" s="44">
        <f>B109/B4</f>
        <v>1.2184902594253913E-2</v>
      </c>
      <c r="C110" s="44">
        <f t="shared" ref="C110:F110" si="80">C109/C4</f>
        <v>8.175210114645972E-3</v>
      </c>
      <c r="D110" s="44">
        <f t="shared" si="80"/>
        <v>9.4921621381390802E-3</v>
      </c>
      <c r="E110" s="44">
        <f t="shared" si="80"/>
        <v>8.9027053389130629E-3</v>
      </c>
      <c r="F110" s="44">
        <f t="shared" si="80"/>
        <v>1.2537841943912295E-2</v>
      </c>
      <c r="G110" s="24"/>
      <c r="H110" s="24"/>
      <c r="I110" s="24"/>
      <c r="J110" s="24"/>
      <c r="K110" s="37"/>
    </row>
    <row r="111" spans="1:11" ht="15.75" thickBot="1" x14ac:dyDescent="0.3">
      <c r="A111" s="33" t="s">
        <v>115</v>
      </c>
      <c r="B111" s="27"/>
      <c r="C111" s="27"/>
      <c r="D111" s="27"/>
      <c r="E111" s="27"/>
      <c r="F111" s="27"/>
      <c r="G111" s="29">
        <f>AVERAGE(C110:F110)</f>
        <v>9.776979883902602E-3</v>
      </c>
      <c r="H111" s="29">
        <f>G111</f>
        <v>9.776979883902602E-3</v>
      </c>
      <c r="I111" s="29">
        <f t="shared" ref="I111:K111" si="81">H111</f>
        <v>9.776979883902602E-3</v>
      </c>
      <c r="J111" s="29">
        <f t="shared" si="81"/>
        <v>9.776979883902602E-3</v>
      </c>
      <c r="K111" s="30">
        <f t="shared" si="81"/>
        <v>9.776979883902602E-3</v>
      </c>
    </row>
    <row r="112" spans="1:11" ht="15.75" thickBot="1" x14ac:dyDescent="0.3">
      <c r="A112" s="14"/>
      <c r="G112" s="24"/>
      <c r="H112" s="24"/>
      <c r="I112" s="24"/>
      <c r="J112" s="24"/>
      <c r="K112" s="24"/>
    </row>
    <row r="113" spans="1:11" x14ac:dyDescent="0.25">
      <c r="A113" s="10" t="s">
        <v>138</v>
      </c>
      <c r="B113" s="31">
        <v>94202921</v>
      </c>
      <c r="C113" s="31">
        <v>94202921</v>
      </c>
      <c r="D113" s="92">
        <v>108133269</v>
      </c>
      <c r="E113" s="31">
        <v>113539932</v>
      </c>
      <c r="F113" s="31">
        <v>113539932</v>
      </c>
      <c r="G113" s="47">
        <f>F113*(1+G115)</f>
        <v>119156637.83009981</v>
      </c>
      <c r="H113" s="47">
        <f t="shared" ref="H113:K113" si="82">G113*(1+H115)</f>
        <v>125051196.42817447</v>
      </c>
      <c r="I113" s="47">
        <f t="shared" si="82"/>
        <v>131237352.89019422</v>
      </c>
      <c r="J113" s="47">
        <f t="shared" si="82"/>
        <v>137729532.2681528</v>
      </c>
      <c r="K113" s="48">
        <f t="shared" si="82"/>
        <v>144542873.20680559</v>
      </c>
    </row>
    <row r="114" spans="1:11" x14ac:dyDescent="0.25">
      <c r="A114" s="14" t="s">
        <v>117</v>
      </c>
      <c r="B114" s="46"/>
      <c r="C114" s="15">
        <f>(C113-B113)/B113</f>
        <v>0</v>
      </c>
      <c r="D114" s="15">
        <f t="shared" ref="D114:F114" si="83">(D113-C113)/C113</f>
        <v>0.1478759666061735</v>
      </c>
      <c r="E114" s="15">
        <f t="shared" si="83"/>
        <v>4.999999583846855E-2</v>
      </c>
      <c r="F114" s="15">
        <f t="shared" si="83"/>
        <v>0</v>
      </c>
      <c r="G114" s="54"/>
      <c r="H114" s="54"/>
      <c r="I114" s="54"/>
      <c r="J114" s="54"/>
      <c r="K114" s="57"/>
    </row>
    <row r="115" spans="1:11" ht="15.75" thickBot="1" x14ac:dyDescent="0.3">
      <c r="A115" s="33" t="s">
        <v>118</v>
      </c>
      <c r="B115" s="76"/>
      <c r="C115" s="76"/>
      <c r="D115" s="76"/>
      <c r="E115" s="76"/>
      <c r="F115" s="76"/>
      <c r="G115" s="74">
        <f>AVERAGE(C114:F114)</f>
        <v>4.9468990611160515E-2</v>
      </c>
      <c r="H115" s="74">
        <f>G115</f>
        <v>4.9468990611160515E-2</v>
      </c>
      <c r="I115" s="74">
        <f t="shared" ref="I115:K115" si="84">H115</f>
        <v>4.9468990611160515E-2</v>
      </c>
      <c r="J115" s="74">
        <f t="shared" si="84"/>
        <v>4.9468990611160515E-2</v>
      </c>
      <c r="K115" s="75">
        <f t="shared" si="84"/>
        <v>4.9468990611160515E-2</v>
      </c>
    </row>
    <row r="116" spans="1:11" ht="15.75" thickBot="1" x14ac:dyDescent="0.3">
      <c r="A116" s="14"/>
      <c r="B116" s="46"/>
      <c r="C116" s="46"/>
      <c r="D116" s="46"/>
      <c r="E116" s="46"/>
      <c r="F116" s="46"/>
      <c r="G116" s="54"/>
      <c r="H116" s="54"/>
      <c r="I116" s="54"/>
      <c r="J116" s="54"/>
      <c r="K116" s="54"/>
    </row>
    <row r="117" spans="1:11" x14ac:dyDescent="0.25">
      <c r="A117" s="52" t="str">
        <f>'Proforma Income Statement'!A22</f>
        <v>Profit after tax</v>
      </c>
      <c r="B117" s="11">
        <f>'Proforma Income Statement'!B22</f>
        <v>393489689</v>
      </c>
      <c r="C117" s="11">
        <f>'Proforma Income Statement'!C22</f>
        <v>592277830</v>
      </c>
      <c r="D117" s="11">
        <f>'Proforma Income Statement'!D22</f>
        <v>652865822</v>
      </c>
      <c r="E117" s="11">
        <f>'Proforma Income Statement'!E22</f>
        <v>340770384</v>
      </c>
      <c r="F117" s="11">
        <f>'Proforma Income Statement'!F22</f>
        <v>473910543</v>
      </c>
      <c r="G117" s="12">
        <f>'Proforma Income Statement'!G22</f>
        <v>535019398.67593956</v>
      </c>
      <c r="H117" s="12">
        <f>'Proforma Income Statement'!H22</f>
        <v>566112293.11320007</v>
      </c>
      <c r="I117" s="12">
        <f>'Proforma Income Statement'!I22</f>
        <v>597847690.96358812</v>
      </c>
      <c r="J117" s="12">
        <f>'Proforma Income Statement'!J22</f>
        <v>627723832.80989277</v>
      </c>
      <c r="K117" s="13">
        <f>'Proforma Income Statement'!K22</f>
        <v>652689850.74633861</v>
      </c>
    </row>
    <row r="118" spans="1:11" x14ac:dyDescent="0.25">
      <c r="A118" s="14" t="s">
        <v>20</v>
      </c>
      <c r="B118" s="19">
        <f>'Proforma Balance Sheet'!B31</f>
        <v>1839030512</v>
      </c>
      <c r="C118" s="19">
        <f>'Proforma Balance Sheet'!C31</f>
        <v>2201637986</v>
      </c>
      <c r="D118" s="19">
        <f>'Proforma Balance Sheet'!D31</f>
        <v>2677113729</v>
      </c>
      <c r="E118" s="19">
        <f>'Proforma Balance Sheet'!E31</f>
        <v>2740685935</v>
      </c>
      <c r="F118" s="19">
        <f>'Proforma Balance Sheet'!F31</f>
        <v>2935780866</v>
      </c>
      <c r="G118" s="20">
        <f>F118+G117-G119+G123</f>
        <v>3585302668.7104721</v>
      </c>
      <c r="H118" s="20">
        <f t="shared" ref="H118:K118" si="85">G118+H117-H119+H123</f>
        <v>4272589850.6544423</v>
      </c>
      <c r="I118" s="20">
        <f t="shared" si="85"/>
        <v>5013327652.5992117</v>
      </c>
      <c r="J118" s="20">
        <f t="shared" si="85"/>
        <v>5811571042.1804657</v>
      </c>
      <c r="K118" s="21">
        <f t="shared" si="85"/>
        <v>6670407875.7602005</v>
      </c>
    </row>
    <row r="119" spans="1:11" x14ac:dyDescent="0.25">
      <c r="A119" s="14" t="s">
        <v>93</v>
      </c>
      <c r="B119" s="19">
        <v>20700000</v>
      </c>
      <c r="C119" s="19">
        <v>103623213</v>
      </c>
      <c r="D119" s="19">
        <v>0</v>
      </c>
      <c r="E119" s="19">
        <v>162199904</v>
      </c>
      <c r="F119" s="19">
        <v>113539932</v>
      </c>
      <c r="G119" s="20">
        <f>G117*G121</f>
        <v>100917958.66911934</v>
      </c>
      <c r="H119" s="20">
        <f>H117*H121</f>
        <v>129427343.22461426</v>
      </c>
      <c r="I119" s="20">
        <f>I117*I121</f>
        <v>148639797.9046146</v>
      </c>
      <c r="J119" s="20">
        <f>J117*J121</f>
        <v>168622226.11657885</v>
      </c>
      <c r="K119" s="21">
        <f>K117*K121</f>
        <v>188382516.18094969</v>
      </c>
    </row>
    <row r="120" spans="1:11" x14ac:dyDescent="0.25">
      <c r="A120" s="14" t="s">
        <v>94</v>
      </c>
      <c r="B120" s="16">
        <f>B119/B117</f>
        <v>5.2606206918931489E-2</v>
      </c>
      <c r="C120" s="16">
        <f>C119/C117</f>
        <v>0.17495710248009791</v>
      </c>
      <c r="D120" s="16">
        <f>D119/D117</f>
        <v>0</v>
      </c>
      <c r="E120" s="16">
        <f>E119/E117</f>
        <v>0.47598004878264305</v>
      </c>
      <c r="F120" s="16">
        <f>F119/F117</f>
        <v>0.23958093711369488</v>
      </c>
      <c r="G120" s="9"/>
      <c r="H120" s="9"/>
      <c r="I120" s="9"/>
      <c r="J120" s="9"/>
      <c r="K120" s="23"/>
    </row>
    <row r="121" spans="1:11" x14ac:dyDescent="0.25">
      <c r="A121" s="14" t="s">
        <v>95</v>
      </c>
      <c r="B121" t="s">
        <v>92</v>
      </c>
      <c r="G121" s="22">
        <f>AVERAGE(B120:F120)</f>
        <v>0.18862485905907347</v>
      </c>
      <c r="H121" s="24">
        <f>G121+4%</f>
        <v>0.22862485905907348</v>
      </c>
      <c r="I121" s="24">
        <f t="shared" ref="I121:K121" si="86">H121+2%</f>
        <v>0.24862485905907347</v>
      </c>
      <c r="J121" s="24">
        <f t="shared" si="86"/>
        <v>0.26862485905907346</v>
      </c>
      <c r="K121" s="37">
        <f t="shared" si="86"/>
        <v>0.28862485905907348</v>
      </c>
    </row>
    <row r="122" spans="1:11" x14ac:dyDescent="0.25">
      <c r="A122" s="14"/>
      <c r="G122" s="22"/>
      <c r="H122" s="24"/>
      <c r="I122" s="24"/>
      <c r="J122" s="24"/>
      <c r="K122" s="37"/>
    </row>
    <row r="123" spans="1:11" x14ac:dyDescent="0.25">
      <c r="A123" s="14" t="s">
        <v>97</v>
      </c>
      <c r="B123" s="1">
        <v>145076493</v>
      </c>
      <c r="C123" s="1">
        <v>176748558</v>
      </c>
      <c r="D123" s="1">
        <v>189622047</v>
      </c>
      <c r="E123" s="1">
        <v>154468669</v>
      </c>
      <c r="F123" s="1">
        <v>185177651</v>
      </c>
      <c r="G123" s="42">
        <f>F123*(1+G125)</f>
        <v>215420362.70365199</v>
      </c>
      <c r="H123" s="42">
        <f t="shared" ref="H123:K123" si="87">G123*(1+H125)</f>
        <v>250602232.05538437</v>
      </c>
      <c r="I123" s="42">
        <f t="shared" si="87"/>
        <v>291529908.88579565</v>
      </c>
      <c r="J123" s="42">
        <f t="shared" si="87"/>
        <v>339141782.88793993</v>
      </c>
      <c r="K123" s="43">
        <f t="shared" si="87"/>
        <v>394529499.01434499</v>
      </c>
    </row>
    <row r="124" spans="1:11" x14ac:dyDescent="0.25">
      <c r="A124" s="14" t="s">
        <v>98</v>
      </c>
      <c r="C124" s="15">
        <f>(C123-B123)/B123</f>
        <v>0.21831286616502371</v>
      </c>
      <c r="D124" s="15">
        <f t="shared" ref="D124:F124" si="88">(D123-C123)/C123</f>
        <v>7.2835044006412775E-2</v>
      </c>
      <c r="E124" s="15">
        <f t="shared" si="88"/>
        <v>-0.18538655476069194</v>
      </c>
      <c r="F124" s="15">
        <f t="shared" si="88"/>
        <v>0.19880395292329475</v>
      </c>
      <c r="G124" s="22"/>
      <c r="H124" s="24"/>
      <c r="I124" s="24"/>
      <c r="J124" s="24"/>
      <c r="K124" s="37"/>
    </row>
    <row r="125" spans="1:11" ht="15.75" thickBot="1" x14ac:dyDescent="0.3">
      <c r="A125" s="33" t="s">
        <v>69</v>
      </c>
      <c r="B125" s="27"/>
      <c r="C125" s="27"/>
      <c r="D125" s="27"/>
      <c r="E125" s="27"/>
      <c r="F125" s="27"/>
      <c r="G125" s="28">
        <f>AVERAGE(C124,D124,F124)</f>
        <v>0.16331728769824375</v>
      </c>
      <c r="H125" s="29">
        <f>G125</f>
        <v>0.16331728769824375</v>
      </c>
      <c r="I125" s="29">
        <f t="shared" ref="I125:K125" si="89">H125</f>
        <v>0.16331728769824375</v>
      </c>
      <c r="J125" s="29">
        <f t="shared" si="89"/>
        <v>0.16331728769824375</v>
      </c>
      <c r="K125" s="30">
        <f t="shared" si="89"/>
        <v>0.16331728769824375</v>
      </c>
    </row>
    <row r="126" spans="1:11" ht="15.75" thickBot="1" x14ac:dyDescent="0.3">
      <c r="G126" s="22"/>
      <c r="H126" s="24"/>
      <c r="I126" s="24"/>
      <c r="J126" s="24"/>
      <c r="K126" s="24"/>
    </row>
    <row r="127" spans="1:11" x14ac:dyDescent="0.25">
      <c r="A127" s="63" t="str">
        <f>'Proforma Balance Sheet'!A33</f>
        <v>Non-controlling interest</v>
      </c>
      <c r="B127" s="11">
        <f>'Proforma Balance Sheet'!B33</f>
        <v>839441656</v>
      </c>
      <c r="C127" s="11">
        <f>'Proforma Balance Sheet'!C33</f>
        <v>949296892</v>
      </c>
      <c r="D127" s="11">
        <f>'Proforma Balance Sheet'!D33</f>
        <v>1067148571</v>
      </c>
      <c r="E127" s="11">
        <f>'Proforma Balance Sheet'!E33</f>
        <v>1163153178</v>
      </c>
      <c r="F127" s="11">
        <f>'Proforma Balance Sheet'!F33</f>
        <v>1278240044</v>
      </c>
      <c r="G127" s="12">
        <f>F127+G128-G132</f>
        <v>1414621698.0545404</v>
      </c>
      <c r="H127" s="12">
        <f t="shared" ref="H127:K127" si="90">G127+H128-H132</f>
        <v>1580136523.7409384</v>
      </c>
      <c r="I127" s="12">
        <f t="shared" si="90"/>
        <v>1785879429.7304702</v>
      </c>
      <c r="J127" s="12">
        <f t="shared" si="90"/>
        <v>2047723929.0198038</v>
      </c>
      <c r="K127" s="13">
        <f t="shared" si="90"/>
        <v>2388600598.4475384</v>
      </c>
    </row>
    <row r="128" spans="1:11" x14ac:dyDescent="0.25">
      <c r="A128" s="14" t="s">
        <v>99</v>
      </c>
      <c r="B128" s="19">
        <v>90169968</v>
      </c>
      <c r="C128" s="19">
        <v>130553433</v>
      </c>
      <c r="D128" s="19">
        <v>152351680</v>
      </c>
      <c r="E128" s="19">
        <v>116704606</v>
      </c>
      <c r="F128" s="19">
        <v>166836904</v>
      </c>
      <c r="G128" s="20">
        <f>F128*(1+G130)</f>
        <v>200638654.21759805</v>
      </c>
      <c r="H128" s="20">
        <f t="shared" ref="H128:K128" si="91">G128*(1+H130)</f>
        <v>245301532.35219884</v>
      </c>
      <c r="I128" s="20">
        <f t="shared" si="91"/>
        <v>304812556.68004745</v>
      </c>
      <c r="J128" s="20">
        <f t="shared" si="91"/>
        <v>384857418.33425218</v>
      </c>
      <c r="K128" s="21">
        <f t="shared" si="91"/>
        <v>493619493.75870138</v>
      </c>
    </row>
    <row r="129" spans="1:11" x14ac:dyDescent="0.25">
      <c r="A129" s="14" t="s">
        <v>100</v>
      </c>
      <c r="C129" s="15">
        <f>(C128-B128)/B128</f>
        <v>0.44785936931906195</v>
      </c>
      <c r="D129" s="15">
        <f t="shared" ref="D129:F129" si="92">(D128-C128)/C128</f>
        <v>0.1669680107148159</v>
      </c>
      <c r="E129" s="15">
        <f t="shared" si="92"/>
        <v>-0.23397887046601651</v>
      </c>
      <c r="F129" s="15">
        <f t="shared" si="92"/>
        <v>0.42956571911137764</v>
      </c>
      <c r="G129" s="9"/>
      <c r="H129" s="9"/>
      <c r="I129" s="9"/>
      <c r="J129" s="9"/>
      <c r="K129" s="23"/>
    </row>
    <row r="130" spans="1:11" x14ac:dyDescent="0.25">
      <c r="A130" s="14" t="s">
        <v>69</v>
      </c>
      <c r="G130" s="22">
        <f>AVERAGE(C129:F129)</f>
        <v>0.20260355716980974</v>
      </c>
      <c r="H130" s="24">
        <f>G130+2%</f>
        <v>0.22260355716980973</v>
      </c>
      <c r="I130" s="24">
        <f t="shared" ref="I130:K130" si="93">H130+2%</f>
        <v>0.24260355716980972</v>
      </c>
      <c r="J130" s="24">
        <f t="shared" si="93"/>
        <v>0.26260355716980971</v>
      </c>
      <c r="K130" s="37">
        <f t="shared" si="93"/>
        <v>0.28260355716980973</v>
      </c>
    </row>
    <row r="131" spans="1:11" x14ac:dyDescent="0.25">
      <c r="A131" s="14"/>
      <c r="G131" s="9"/>
      <c r="H131" s="9"/>
      <c r="I131" s="9"/>
      <c r="J131" s="9"/>
      <c r="K131" s="23"/>
    </row>
    <row r="132" spans="1:11" x14ac:dyDescent="0.25">
      <c r="A132" s="14" t="s">
        <v>96</v>
      </c>
      <c r="B132" s="1">
        <v>20700000</v>
      </c>
      <c r="C132" s="1">
        <v>20698200</v>
      </c>
      <c r="D132" s="1">
        <v>34500000</v>
      </c>
      <c r="E132" s="1">
        <v>20700000</v>
      </c>
      <c r="F132" s="1">
        <v>51750000</v>
      </c>
      <c r="G132" s="20">
        <f>F132*(1+G134)</f>
        <v>64257000.163057648</v>
      </c>
      <c r="H132" s="20">
        <f t="shared" ref="H132:K132" si="94">G132*(1+H134)</f>
        <v>79786706.665800795</v>
      </c>
      <c r="I132" s="20">
        <f t="shared" si="94"/>
        <v>99069650.690515846</v>
      </c>
      <c r="J132" s="20">
        <f t="shared" si="94"/>
        <v>123012919.04491867</v>
      </c>
      <c r="K132" s="21">
        <f t="shared" si="94"/>
        <v>152742824.33096689</v>
      </c>
    </row>
    <row r="133" spans="1:11" x14ac:dyDescent="0.25">
      <c r="A133" s="14" t="s">
        <v>100</v>
      </c>
      <c r="B133" s="32"/>
      <c r="C133" s="15">
        <f>(C132-B132)/B132</f>
        <v>-8.6956521739130441E-5</v>
      </c>
      <c r="D133" s="15">
        <f t="shared" ref="D133:F133" si="95">(D132-C132)/C132</f>
        <v>0.66681160680638896</v>
      </c>
      <c r="E133" s="15">
        <f t="shared" si="95"/>
        <v>-0.4</v>
      </c>
      <c r="F133" s="15">
        <f t="shared" si="95"/>
        <v>1.5</v>
      </c>
      <c r="G133" s="9"/>
      <c r="H133" s="9"/>
      <c r="I133" s="9"/>
      <c r="J133" s="9"/>
      <c r="K133" s="23"/>
    </row>
    <row r="134" spans="1:11" ht="15.75" thickBot="1" x14ac:dyDescent="0.3">
      <c r="A134" s="33" t="s">
        <v>69</v>
      </c>
      <c r="B134" s="27"/>
      <c r="C134" s="27"/>
      <c r="D134" s="27"/>
      <c r="E134" s="27"/>
      <c r="F134" s="27"/>
      <c r="G134" s="29">
        <f>AVERAGE(C133:F133)-20%</f>
        <v>0.2416811625711624</v>
      </c>
      <c r="H134" s="28">
        <f>G134</f>
        <v>0.2416811625711624</v>
      </c>
      <c r="I134" s="28">
        <f t="shared" ref="I134:K134" si="96">H134</f>
        <v>0.2416811625711624</v>
      </c>
      <c r="J134" s="28">
        <f t="shared" si="96"/>
        <v>0.2416811625711624</v>
      </c>
      <c r="K134" s="36">
        <f t="shared" si="96"/>
        <v>0.2416811625711624</v>
      </c>
    </row>
    <row r="135" spans="1:11" ht="15.75" thickBot="1" x14ac:dyDescent="0.3">
      <c r="G135" s="9"/>
      <c r="H135" s="9"/>
      <c r="I135" s="9"/>
      <c r="J135" s="9"/>
      <c r="K135" s="9"/>
    </row>
    <row r="136" spans="1:11" x14ac:dyDescent="0.25">
      <c r="A136" s="52" t="s">
        <v>19</v>
      </c>
      <c r="B136" s="38"/>
      <c r="C136" s="38"/>
      <c r="D136" s="38"/>
      <c r="E136" s="38"/>
      <c r="F136" s="38"/>
      <c r="G136" s="85"/>
      <c r="H136" s="85"/>
      <c r="I136" s="85"/>
      <c r="J136" s="85"/>
      <c r="K136" s="86"/>
    </row>
    <row r="137" spans="1:11" x14ac:dyDescent="0.25">
      <c r="A137" s="14" t="s">
        <v>106</v>
      </c>
      <c r="B137" s="1">
        <v>1297972923</v>
      </c>
      <c r="C137" s="1">
        <f>B140</f>
        <v>1296026303</v>
      </c>
      <c r="D137" s="1">
        <f>C140</f>
        <v>1294195084</v>
      </c>
      <c r="E137" s="1">
        <f>D140</f>
        <v>1292465028</v>
      </c>
      <c r="F137" s="1">
        <f>E140</f>
        <v>1290824325</v>
      </c>
      <c r="G137" s="55">
        <f>F140</f>
        <v>1296890181</v>
      </c>
      <c r="H137" s="55">
        <f t="shared" ref="H137:K137" si="97">G140</f>
        <v>1296673632.5999999</v>
      </c>
      <c r="I137" s="55">
        <f t="shared" si="97"/>
        <v>1296457084.1999998</v>
      </c>
      <c r="J137" s="55">
        <f t="shared" si="97"/>
        <v>1296240535.7999997</v>
      </c>
      <c r="K137" s="56">
        <f t="shared" si="97"/>
        <v>1296023987.3999996</v>
      </c>
    </row>
    <row r="138" spans="1:11" x14ac:dyDescent="0.25">
      <c r="A138" s="14" t="s">
        <v>132</v>
      </c>
      <c r="B138">
        <v>0</v>
      </c>
      <c r="C138">
        <v>0</v>
      </c>
      <c r="D138">
        <v>0</v>
      </c>
      <c r="E138">
        <v>0</v>
      </c>
      <c r="F138" s="1">
        <v>7627045</v>
      </c>
      <c r="G138" s="20">
        <f>AVERAGE(B138:F138)</f>
        <v>1525409</v>
      </c>
      <c r="H138" s="77">
        <f>G138</f>
        <v>1525409</v>
      </c>
      <c r="I138" s="77">
        <f t="shared" ref="I138:K138" si="98">H138</f>
        <v>1525409</v>
      </c>
      <c r="J138" s="77">
        <f t="shared" si="98"/>
        <v>1525409</v>
      </c>
      <c r="K138" s="94">
        <f t="shared" si="98"/>
        <v>1525409</v>
      </c>
    </row>
    <row r="139" spans="1:11" x14ac:dyDescent="0.25">
      <c r="A139" s="14" t="s">
        <v>131</v>
      </c>
      <c r="B139" s="1">
        <v>-1946620</v>
      </c>
      <c r="C139">
        <v>-1831219</v>
      </c>
      <c r="D139">
        <v>-1730056</v>
      </c>
      <c r="E139" s="1">
        <v>-1640703</v>
      </c>
      <c r="F139" s="1">
        <v>-1561189</v>
      </c>
      <c r="G139" s="55">
        <f>AVERAGE(B139:F139)</f>
        <v>-1741957.4</v>
      </c>
      <c r="H139" s="55">
        <f>G139</f>
        <v>-1741957.4</v>
      </c>
      <c r="I139" s="55">
        <f t="shared" ref="I139:K139" si="99">H139</f>
        <v>-1741957.4</v>
      </c>
      <c r="J139" s="55">
        <f t="shared" si="99"/>
        <v>-1741957.4</v>
      </c>
      <c r="K139" s="56">
        <f t="shared" si="99"/>
        <v>-1741957.4</v>
      </c>
    </row>
    <row r="140" spans="1:11" ht="15.75" thickBot="1" x14ac:dyDescent="0.3">
      <c r="A140" s="33" t="s">
        <v>103</v>
      </c>
      <c r="B140" s="81">
        <f>SUM(B137:B139)</f>
        <v>1296026303</v>
      </c>
      <c r="C140" s="81">
        <f t="shared" ref="C140:G140" si="100">SUM(C137:C139)</f>
        <v>1294195084</v>
      </c>
      <c r="D140" s="81">
        <f t="shared" si="100"/>
        <v>1292465028</v>
      </c>
      <c r="E140" s="81">
        <f t="shared" si="100"/>
        <v>1290824325</v>
      </c>
      <c r="F140" s="81">
        <f t="shared" si="100"/>
        <v>1296890181</v>
      </c>
      <c r="G140" s="82">
        <f t="shared" si="100"/>
        <v>1296673632.5999999</v>
      </c>
      <c r="H140" s="82">
        <f t="shared" ref="H140" si="101">SUM(H137:H139)</f>
        <v>1296457084.1999998</v>
      </c>
      <c r="I140" s="82">
        <f t="shared" ref="I140" si="102">SUM(I137:I139)</f>
        <v>1296240535.7999997</v>
      </c>
      <c r="J140" s="82">
        <f t="shared" ref="J140" si="103">SUM(J137:J139)</f>
        <v>1296023987.3999996</v>
      </c>
      <c r="K140" s="83">
        <f t="shared" ref="K140" si="104">SUM(K137:K139)</f>
        <v>1295807438.9999995</v>
      </c>
    </row>
    <row r="141" spans="1:11" ht="15.75" thickBot="1" x14ac:dyDescent="0.3">
      <c r="G141" s="9"/>
      <c r="H141" s="9"/>
      <c r="I141" s="9"/>
      <c r="J141" s="9"/>
      <c r="K141" s="9"/>
    </row>
    <row r="142" spans="1:11" x14ac:dyDescent="0.25">
      <c r="A142" s="52" t="s">
        <v>123</v>
      </c>
      <c r="B142" s="11">
        <f>B147+B153</f>
        <v>103266236</v>
      </c>
      <c r="C142" s="11">
        <f t="shared" ref="C142:K142" si="105">C147+C153</f>
        <v>118444411</v>
      </c>
      <c r="D142" s="11">
        <f t="shared" si="105"/>
        <v>131478927</v>
      </c>
      <c r="E142" s="11">
        <f t="shared" si="105"/>
        <v>128738936</v>
      </c>
      <c r="F142" s="11">
        <f t="shared" si="105"/>
        <v>153992477</v>
      </c>
      <c r="G142" s="12">
        <f t="shared" si="105"/>
        <v>165888990.59999999</v>
      </c>
      <c r="H142" s="12">
        <f t="shared" si="105"/>
        <v>178413541.51999998</v>
      </c>
      <c r="I142" s="12">
        <f t="shared" si="105"/>
        <v>190394200.42399999</v>
      </c>
      <c r="J142" s="12">
        <f t="shared" si="105"/>
        <v>202672094.90880001</v>
      </c>
      <c r="K142" s="13">
        <f t="shared" si="105"/>
        <v>218462288.29056001</v>
      </c>
    </row>
    <row r="143" spans="1:11" x14ac:dyDescent="0.25">
      <c r="A143" s="14" t="s">
        <v>124</v>
      </c>
      <c r="B143" s="19"/>
      <c r="C143" s="19"/>
      <c r="D143" s="19"/>
      <c r="E143" s="19"/>
      <c r="F143" s="19"/>
      <c r="G143" s="20"/>
      <c r="H143" s="20"/>
      <c r="I143" s="20"/>
      <c r="J143" s="20"/>
      <c r="K143" s="21"/>
    </row>
    <row r="144" spans="1:11" x14ac:dyDescent="0.25">
      <c r="A144" s="14" t="s">
        <v>102</v>
      </c>
      <c r="B144" s="19">
        <v>81232107</v>
      </c>
      <c r="C144" s="19">
        <f>B147</f>
        <v>81232107</v>
      </c>
      <c r="D144" s="19">
        <f t="shared" ref="D144:K144" si="106">C147</f>
        <v>78557034</v>
      </c>
      <c r="E144" s="19">
        <f t="shared" si="106"/>
        <v>78487832</v>
      </c>
      <c r="F144" s="19">
        <f t="shared" si="106"/>
        <v>78422204</v>
      </c>
      <c r="G144" s="20">
        <f t="shared" si="106"/>
        <v>70795159</v>
      </c>
      <c r="H144" s="20">
        <f t="shared" si="106"/>
        <v>68185922</v>
      </c>
      <c r="I144" s="20">
        <f t="shared" si="106"/>
        <v>65576685</v>
      </c>
      <c r="J144" s="20">
        <f t="shared" si="106"/>
        <v>62967448</v>
      </c>
      <c r="K144" s="21">
        <f t="shared" si="106"/>
        <v>60358211</v>
      </c>
    </row>
    <row r="145" spans="1:11" x14ac:dyDescent="0.25">
      <c r="A145" s="14" t="s">
        <v>125</v>
      </c>
      <c r="B145" s="19"/>
      <c r="C145" s="19"/>
      <c r="D145" s="19"/>
      <c r="E145" s="19"/>
      <c r="F145" s="19"/>
      <c r="G145" s="20"/>
      <c r="H145" s="20"/>
      <c r="I145" s="20"/>
      <c r="J145" s="20"/>
      <c r="K145" s="21"/>
    </row>
    <row r="146" spans="1:11" x14ac:dyDescent="0.25">
      <c r="A146" s="14" t="s">
        <v>126</v>
      </c>
      <c r="B146" s="19"/>
      <c r="C146" s="19">
        <v>2675073</v>
      </c>
      <c r="D146" s="19">
        <v>69202</v>
      </c>
      <c r="E146" s="19">
        <v>65628</v>
      </c>
      <c r="F146" s="19">
        <v>7627045</v>
      </c>
      <c r="G146" s="20">
        <f>AVERAGE(C146:F146)</f>
        <v>2609237</v>
      </c>
      <c r="H146" s="20">
        <f>G146</f>
        <v>2609237</v>
      </c>
      <c r="I146" s="20">
        <f t="shared" ref="I146:K146" si="107">H146</f>
        <v>2609237</v>
      </c>
      <c r="J146" s="20">
        <f t="shared" si="107"/>
        <v>2609237</v>
      </c>
      <c r="K146" s="21">
        <f t="shared" si="107"/>
        <v>2609237</v>
      </c>
    </row>
    <row r="147" spans="1:11" x14ac:dyDescent="0.25">
      <c r="A147" s="14" t="s">
        <v>127</v>
      </c>
      <c r="B147" s="19">
        <f>B144+B145-B146</f>
        <v>81232107</v>
      </c>
      <c r="C147" s="19">
        <f t="shared" ref="C147:F147" si="108">C144+C145-C146</f>
        <v>78557034</v>
      </c>
      <c r="D147" s="19">
        <f t="shared" si="108"/>
        <v>78487832</v>
      </c>
      <c r="E147" s="19">
        <f t="shared" si="108"/>
        <v>78422204</v>
      </c>
      <c r="F147" s="19">
        <f t="shared" si="108"/>
        <v>70795159</v>
      </c>
      <c r="G147" s="20">
        <f t="shared" ref="G147" si="109">G144+G145-G146</f>
        <v>68185922</v>
      </c>
      <c r="H147" s="20">
        <f t="shared" ref="H147" si="110">H144+H145-H146</f>
        <v>65576685</v>
      </c>
      <c r="I147" s="20">
        <f t="shared" ref="I147" si="111">I144+I145-I146</f>
        <v>62967448</v>
      </c>
      <c r="J147" s="20">
        <f t="shared" ref="J147" si="112">J144+J145-J146</f>
        <v>60358211</v>
      </c>
      <c r="K147" s="21">
        <f t="shared" ref="K147" si="113">K144+K145-K146</f>
        <v>57748974</v>
      </c>
    </row>
    <row r="148" spans="1:11" x14ac:dyDescent="0.25">
      <c r="A148" s="14"/>
      <c r="B148" s="19"/>
      <c r="C148" s="19"/>
      <c r="D148" s="19"/>
      <c r="E148" s="19"/>
      <c r="F148" s="19"/>
      <c r="G148" s="20"/>
      <c r="H148" s="20"/>
      <c r="I148" s="20"/>
      <c r="J148" s="20"/>
      <c r="K148" s="21"/>
    </row>
    <row r="149" spans="1:11" x14ac:dyDescent="0.25">
      <c r="A149" s="14" t="s">
        <v>128</v>
      </c>
      <c r="B149" s="19"/>
      <c r="C149" s="19"/>
      <c r="D149" s="19"/>
      <c r="E149" s="19"/>
      <c r="F149" s="19"/>
      <c r="G149" s="20"/>
      <c r="H149" s="20"/>
      <c r="I149" s="20"/>
      <c r="J149" s="20"/>
      <c r="K149" s="21"/>
    </row>
    <row r="150" spans="1:11" x14ac:dyDescent="0.25">
      <c r="A150" s="14" t="s">
        <v>106</v>
      </c>
      <c r="B150" s="19">
        <v>10668565</v>
      </c>
      <c r="C150" s="19">
        <f>B153</f>
        <v>22034129</v>
      </c>
      <c r="D150" s="19">
        <f t="shared" ref="D150:K150" si="114">C153</f>
        <v>39887377</v>
      </c>
      <c r="E150" s="19">
        <f t="shared" si="114"/>
        <v>52991095</v>
      </c>
      <c r="F150" s="19">
        <f t="shared" si="114"/>
        <v>50316732</v>
      </c>
      <c r="G150" s="20">
        <f t="shared" si="114"/>
        <v>83197318</v>
      </c>
      <c r="H150" s="20">
        <f t="shared" si="114"/>
        <v>97703068.599999994</v>
      </c>
      <c r="I150" s="20">
        <f t="shared" si="114"/>
        <v>112836856.52</v>
      </c>
      <c r="J150" s="20">
        <f t="shared" si="114"/>
        <v>127426752.42399999</v>
      </c>
      <c r="K150" s="21">
        <f t="shared" si="114"/>
        <v>142313883.90880001</v>
      </c>
    </row>
    <row r="151" spans="1:11" x14ac:dyDescent="0.25">
      <c r="A151" s="14" t="s">
        <v>129</v>
      </c>
      <c r="B151" s="19">
        <v>11365564</v>
      </c>
      <c r="C151" s="19">
        <v>17853248</v>
      </c>
      <c r="D151" s="19">
        <v>13103718</v>
      </c>
      <c r="E151" s="19">
        <v>-2674363</v>
      </c>
      <c r="F151" s="19">
        <v>32880586</v>
      </c>
      <c r="G151" s="20">
        <f>AVERAGE(B151:F151)</f>
        <v>14505750.6</v>
      </c>
      <c r="H151" s="20">
        <f t="shared" ref="H151:K151" si="115">AVERAGE(C151:G151)</f>
        <v>15133787.919999998</v>
      </c>
      <c r="I151" s="20">
        <f t="shared" si="115"/>
        <v>14589895.903999999</v>
      </c>
      <c r="J151" s="20">
        <f t="shared" si="115"/>
        <v>14887131.4848</v>
      </c>
      <c r="K151" s="21">
        <f t="shared" si="115"/>
        <v>18399430.381759997</v>
      </c>
    </row>
    <row r="152" spans="1:11" x14ac:dyDescent="0.25">
      <c r="A152" s="14" t="s">
        <v>130</v>
      </c>
      <c r="B152" s="19"/>
      <c r="C152" s="19"/>
      <c r="D152" s="19"/>
      <c r="E152" s="19"/>
      <c r="F152" s="19"/>
      <c r="G152" s="20"/>
      <c r="H152" s="20"/>
      <c r="I152" s="20"/>
      <c r="J152" s="20"/>
      <c r="K152" s="21"/>
    </row>
    <row r="153" spans="1:11" ht="15.75" thickBot="1" x14ac:dyDescent="0.3">
      <c r="A153" s="33" t="s">
        <v>103</v>
      </c>
      <c r="B153" s="78">
        <f>B150+B151-B152</f>
        <v>22034129</v>
      </c>
      <c r="C153" s="78">
        <f t="shared" ref="C153:F153" si="116">C150+C151-C152</f>
        <v>39887377</v>
      </c>
      <c r="D153" s="78">
        <f t="shared" si="116"/>
        <v>52991095</v>
      </c>
      <c r="E153" s="78">
        <f t="shared" si="116"/>
        <v>50316732</v>
      </c>
      <c r="F153" s="78">
        <f t="shared" si="116"/>
        <v>83197318</v>
      </c>
      <c r="G153" s="79">
        <f t="shared" ref="G153" si="117">G150+G151-G152</f>
        <v>97703068.599999994</v>
      </c>
      <c r="H153" s="79">
        <f t="shared" ref="H153" si="118">H150+H151-H152</f>
        <v>112836856.52</v>
      </c>
      <c r="I153" s="79">
        <f t="shared" ref="I153" si="119">I150+I151-I152</f>
        <v>127426752.42399999</v>
      </c>
      <c r="J153" s="79">
        <f t="shared" ref="J153" si="120">J150+J151-J152</f>
        <v>142313883.90880001</v>
      </c>
      <c r="K153" s="80">
        <f t="shared" ref="K153" si="121">K150+K151-K152</f>
        <v>160713314.29056001</v>
      </c>
    </row>
    <row r="154" spans="1:11" ht="15.75" thickBot="1" x14ac:dyDescent="0.3">
      <c r="G154" s="9"/>
      <c r="H154" s="9"/>
      <c r="I154" s="9"/>
      <c r="J154" s="9"/>
      <c r="K154" s="9"/>
    </row>
    <row r="155" spans="1:11" x14ac:dyDescent="0.25">
      <c r="A155" s="10" t="str">
        <f>'Proforma Balance Sheet'!A37</f>
        <v>Long term loan</v>
      </c>
      <c r="B155" s="11">
        <f>'Proforma Balance Sheet'!B37</f>
        <v>2364097436</v>
      </c>
      <c r="C155" s="11">
        <f>'Proforma Balance Sheet'!C37</f>
        <v>2154154036</v>
      </c>
      <c r="D155" s="11">
        <f>'Proforma Balance Sheet'!D37</f>
        <v>1856254619</v>
      </c>
      <c r="E155" s="11">
        <f>'Proforma Balance Sheet'!E37</f>
        <v>3536648807</v>
      </c>
      <c r="F155" s="11">
        <f>'Proforma Balance Sheet'!F37</f>
        <v>4564441176</v>
      </c>
      <c r="G155" s="12">
        <f>'Proforma Balance Sheet'!G12*Assumptions!G157</f>
        <v>3196611868.4443378</v>
      </c>
      <c r="H155" s="12">
        <f>'Proforma Balance Sheet'!H12*Assumptions!H157</f>
        <v>3347317059.7462978</v>
      </c>
      <c r="I155" s="12">
        <f>'Proforma Balance Sheet'!I12*Assumptions!I157</f>
        <v>3511161932.7375031</v>
      </c>
      <c r="J155" s="12">
        <f>'Proforma Balance Sheet'!J12*Assumptions!J157</f>
        <v>3689896119.6882</v>
      </c>
      <c r="K155" s="13">
        <f>'Proforma Balance Sheet'!K12*Assumptions!K157</f>
        <v>3884079916.6205225</v>
      </c>
    </row>
    <row r="156" spans="1:11" s="2" customFormat="1" x14ac:dyDescent="0.25">
      <c r="A156" s="58" t="s">
        <v>140</v>
      </c>
      <c r="B156" s="87">
        <f>B155/'Proforma Balance Sheet'!B12</f>
        <v>0.34815795940539357</v>
      </c>
      <c r="C156" s="87">
        <f>C155/'Proforma Balance Sheet'!C12</f>
        <v>0.27684591142500103</v>
      </c>
      <c r="D156" s="87">
        <f>D155/'Proforma Balance Sheet'!D12</f>
        <v>0.2283547067184992</v>
      </c>
      <c r="E156" s="87">
        <f>E155/'Proforma Balance Sheet'!E12</f>
        <v>0.37805571366274537</v>
      </c>
      <c r="F156" s="87">
        <f>F155/'Proforma Balance Sheet'!F12</f>
        <v>0.41322577009666839</v>
      </c>
      <c r="G156" s="88"/>
      <c r="H156" s="88"/>
      <c r="I156" s="88"/>
      <c r="J156" s="88"/>
      <c r="K156" s="89"/>
    </row>
    <row r="157" spans="1:11" ht="15.75" thickBot="1" x14ac:dyDescent="0.3">
      <c r="A157" s="33" t="s">
        <v>137</v>
      </c>
      <c r="B157" s="27"/>
      <c r="C157" s="40"/>
      <c r="D157" s="40"/>
      <c r="E157" s="40"/>
      <c r="F157" s="40"/>
      <c r="G157" s="74">
        <f>AVERAGE(B156:F156)</f>
        <v>0.32892801226166152</v>
      </c>
      <c r="H157" s="74">
        <f>G157</f>
        <v>0.32892801226166152</v>
      </c>
      <c r="I157" s="74">
        <f t="shared" ref="I157:K157" si="122">H157</f>
        <v>0.32892801226166152</v>
      </c>
      <c r="J157" s="74">
        <f t="shared" si="122"/>
        <v>0.32892801226166152</v>
      </c>
      <c r="K157" s="75">
        <f t="shared" si="122"/>
        <v>0.32892801226166152</v>
      </c>
    </row>
    <row r="158" spans="1:11" ht="15.75" thickBot="1" x14ac:dyDescent="0.3">
      <c r="G158" s="22"/>
      <c r="H158" s="9"/>
      <c r="I158" s="9"/>
      <c r="J158" s="9"/>
      <c r="K158" s="9"/>
    </row>
    <row r="159" spans="1:11" x14ac:dyDescent="0.25">
      <c r="A159" s="10" t="str">
        <f>'Proforma Balance Sheet'!A43</f>
        <v>Trade payables</v>
      </c>
      <c r="B159" s="11">
        <f>'Proforma Balance Sheet'!B43</f>
        <v>266548090</v>
      </c>
      <c r="C159" s="11">
        <f>'Proforma Balance Sheet'!C43</f>
        <v>878160405</v>
      </c>
      <c r="D159" s="11">
        <f>'Proforma Balance Sheet'!D43</f>
        <v>1791452102</v>
      </c>
      <c r="E159" s="11">
        <f>'Proforma Balance Sheet'!E43</f>
        <v>1771938868</v>
      </c>
      <c r="F159" s="11">
        <f>'Proforma Balance Sheet'!F43</f>
        <v>2092783046</v>
      </c>
      <c r="G159" s="90">
        <f>G4*G161</f>
        <v>2010472732.4246802</v>
      </c>
      <c r="H159" s="90">
        <f>H4*H161</f>
        <v>2159659981.8559136</v>
      </c>
      <c r="I159" s="90">
        <f>I4*I161</f>
        <v>2319934895.4787989</v>
      </c>
      <c r="J159" s="90">
        <f>J4*J161</f>
        <v>2492122814.9226451</v>
      </c>
      <c r="K159" s="91">
        <f>K4*K161</f>
        <v>2677110616.6788034</v>
      </c>
    </row>
    <row r="160" spans="1:11" x14ac:dyDescent="0.25">
      <c r="A160" s="14" t="s">
        <v>87</v>
      </c>
      <c r="B160" s="44">
        <f>B159/B4</f>
        <v>4.1041027921797882E-2</v>
      </c>
      <c r="C160" s="44">
        <f>C159/C4</f>
        <v>8.8152903332691671E-2</v>
      </c>
      <c r="D160" s="44">
        <f>D159/D4</f>
        <v>0.16006774032016749</v>
      </c>
      <c r="E160" s="44">
        <f>E159/E4</f>
        <v>0.18721240876697665</v>
      </c>
      <c r="F160" s="44">
        <f>F159/F4</f>
        <v>0.20635303072664854</v>
      </c>
      <c r="G160" s="9"/>
      <c r="H160" s="9"/>
      <c r="I160" s="9"/>
      <c r="J160" s="9"/>
      <c r="K160" s="23"/>
    </row>
    <row r="161" spans="1:11" ht="15.75" thickBot="1" x14ac:dyDescent="0.3">
      <c r="A161" s="33" t="s">
        <v>119</v>
      </c>
      <c r="B161" s="27"/>
      <c r="C161" s="27"/>
      <c r="D161" s="27"/>
      <c r="E161" s="27"/>
      <c r="F161" s="27"/>
      <c r="G161" s="29">
        <f>AVERAGE(D160:F160)</f>
        <v>0.18454439327126423</v>
      </c>
      <c r="H161" s="29">
        <f>G161</f>
        <v>0.18454439327126423</v>
      </c>
      <c r="I161" s="29">
        <f t="shared" ref="I161:K161" si="123">H161</f>
        <v>0.18454439327126423</v>
      </c>
      <c r="J161" s="29">
        <f t="shared" si="123"/>
        <v>0.18454439327126423</v>
      </c>
      <c r="K161" s="30">
        <f t="shared" si="123"/>
        <v>0.18454439327126423</v>
      </c>
    </row>
    <row r="162" spans="1:11" ht="15.75" thickBot="1" x14ac:dyDescent="0.3">
      <c r="G162" s="9"/>
      <c r="H162" s="9"/>
      <c r="I162" s="9"/>
      <c r="J162" s="9"/>
      <c r="K162" s="9"/>
    </row>
    <row r="163" spans="1:11" x14ac:dyDescent="0.25">
      <c r="A163" s="10" t="str">
        <f>'Proforma Balance Sheet'!A44</f>
        <v>Short term loan from banks</v>
      </c>
      <c r="B163" s="31">
        <f>'Proforma Balance Sheet'!B44</f>
        <v>2969580926</v>
      </c>
      <c r="C163" s="31">
        <f>'Proforma Balance Sheet'!C44</f>
        <v>4056087374</v>
      </c>
      <c r="D163" s="31">
        <f>'Proforma Balance Sheet'!D44</f>
        <v>5008530435</v>
      </c>
      <c r="E163" s="31">
        <f>'Proforma Balance Sheet'!E44</f>
        <v>6222842809</v>
      </c>
      <c r="F163" s="31">
        <f>'Proforma Balance Sheet'!F44</f>
        <v>5549921746</v>
      </c>
      <c r="G163" s="90">
        <f>G4*G165</f>
        <v>5483330884.5199146</v>
      </c>
      <c r="H163" s="90">
        <f>H4*H165</f>
        <v>5890221780.9690685</v>
      </c>
      <c r="I163" s="90">
        <f>I4*I165</f>
        <v>6327352993.7969208</v>
      </c>
      <c r="J163" s="90">
        <f>J4*J165</f>
        <v>6796975546.4435244</v>
      </c>
      <c r="K163" s="91">
        <f>K4*K165</f>
        <v>7301508291.5385838</v>
      </c>
    </row>
    <row r="164" spans="1:11" x14ac:dyDescent="0.25">
      <c r="A164" s="14" t="s">
        <v>87</v>
      </c>
      <c r="B164" s="15">
        <f>B163/B4</f>
        <v>0.45723326586209795</v>
      </c>
      <c r="C164" s="15">
        <f>C163/C4</f>
        <v>0.40716465483224923</v>
      </c>
      <c r="D164" s="15">
        <f>D163/D4</f>
        <v>0.44751637409685852</v>
      </c>
      <c r="E164" s="15">
        <f>E163/E4</f>
        <v>0.65746816252531637</v>
      </c>
      <c r="F164" s="15">
        <f>F163/F4</f>
        <v>0.5472345424298859</v>
      </c>
      <c r="G164" s="9"/>
      <c r="H164" s="9"/>
      <c r="I164" s="9"/>
      <c r="J164" s="9"/>
      <c r="K164" s="23"/>
    </row>
    <row r="165" spans="1:11" ht="15.75" thickBot="1" x14ac:dyDescent="0.3">
      <c r="A165" s="33" t="s">
        <v>113</v>
      </c>
      <c r="B165" s="27"/>
      <c r="C165" s="27"/>
      <c r="D165" s="27"/>
      <c r="E165" s="27"/>
      <c r="F165" s="27"/>
      <c r="G165" s="28">
        <f>AVERAGE(B164:F164)</f>
        <v>0.50332339994928155</v>
      </c>
      <c r="H165" s="28">
        <f>G165</f>
        <v>0.50332339994928155</v>
      </c>
      <c r="I165" s="28">
        <f t="shared" ref="I165:K165" si="124">H165</f>
        <v>0.50332339994928155</v>
      </c>
      <c r="J165" s="28">
        <f t="shared" si="124"/>
        <v>0.50332339994928155</v>
      </c>
      <c r="K165" s="36">
        <f t="shared" si="124"/>
        <v>0.50332339994928155</v>
      </c>
    </row>
    <row r="166" spans="1:11" ht="15.75" thickBot="1" x14ac:dyDescent="0.3">
      <c r="G166" s="9"/>
      <c r="H166" s="9"/>
      <c r="I166" s="9"/>
      <c r="J166" s="9"/>
      <c r="K166" s="9"/>
    </row>
    <row r="167" spans="1:11" x14ac:dyDescent="0.25">
      <c r="A167" s="10" t="str">
        <f>'Proforma Balance Sheet'!A45</f>
        <v>Current portion of long term loan</v>
      </c>
      <c r="B167" s="11">
        <f>'Proforma Balance Sheet'!B45</f>
        <v>1221764343</v>
      </c>
      <c r="C167" s="11">
        <f>'Proforma Balance Sheet'!C45</f>
        <v>508087497</v>
      </c>
      <c r="D167" s="11">
        <f>'Proforma Balance Sheet'!D45</f>
        <v>631105867</v>
      </c>
      <c r="E167" s="11">
        <f>'Proforma Balance Sheet'!E45</f>
        <v>884162202</v>
      </c>
      <c r="F167" s="11">
        <f>'Proforma Balance Sheet'!F45</f>
        <v>1312286700</v>
      </c>
      <c r="G167" s="90">
        <f>G155*G169</f>
        <v>889740998.14676654</v>
      </c>
      <c r="H167" s="90">
        <f>H155*H169</f>
        <v>931688094.90210724</v>
      </c>
      <c r="I167" s="90">
        <f>I155*I169</f>
        <v>977292474.42515838</v>
      </c>
      <c r="J167" s="90">
        <f>J155*J169</f>
        <v>1027041127.2004032</v>
      </c>
      <c r="K167" s="91">
        <f>K155*K169</f>
        <v>1081090005.3304138</v>
      </c>
    </row>
    <row r="168" spans="1:11" x14ac:dyDescent="0.25">
      <c r="A168" s="14" t="s">
        <v>133</v>
      </c>
      <c r="B168" s="15">
        <f>B167/'Proforma Balance Sheet'!B37</f>
        <v>0.5167994873625843</v>
      </c>
      <c r="C168" s="15">
        <f>C167/'Proforma Balance Sheet'!C37</f>
        <v>0.23586405081015294</v>
      </c>
      <c r="D168" s="15">
        <f>D167/'Proforma Balance Sheet'!D37</f>
        <v>0.33998884664862888</v>
      </c>
      <c r="E168" s="15">
        <f>E167/'Proforma Balance Sheet'!E37</f>
        <v>0.2500000000706884</v>
      </c>
      <c r="F168" s="15">
        <f>F167/'Proforma Balance Sheet'!F37</f>
        <v>0.28750216059307587</v>
      </c>
      <c r="G168" s="16"/>
      <c r="H168" s="16"/>
      <c r="I168" s="16"/>
      <c r="J168" s="16"/>
      <c r="K168" s="17"/>
    </row>
    <row r="169" spans="1:11" ht="15.75" thickBot="1" x14ac:dyDescent="0.3">
      <c r="A169" s="33" t="s">
        <v>119</v>
      </c>
      <c r="B169" s="40"/>
      <c r="C169" s="40"/>
      <c r="D169" s="40"/>
      <c r="E169" s="40"/>
      <c r="F169" s="40"/>
      <c r="G169" s="114">
        <f>AVERAGE(C168:F168)</f>
        <v>0.2783387645306365</v>
      </c>
      <c r="H169" s="114">
        <f>G169</f>
        <v>0.2783387645306365</v>
      </c>
      <c r="I169" s="114">
        <f t="shared" ref="I169:K169" si="125">H169</f>
        <v>0.2783387645306365</v>
      </c>
      <c r="J169" s="114">
        <f t="shared" si="125"/>
        <v>0.2783387645306365</v>
      </c>
      <c r="K169" s="115">
        <f t="shared" si="125"/>
        <v>0.2783387645306365</v>
      </c>
    </row>
    <row r="170" spans="1:11" ht="15.75" thickBot="1" x14ac:dyDescent="0.3">
      <c r="G170" s="9"/>
      <c r="H170" s="9"/>
      <c r="I170" s="9"/>
      <c r="J170" s="9"/>
      <c r="K170" s="9"/>
    </row>
    <row r="171" spans="1:11" x14ac:dyDescent="0.25">
      <c r="A171" s="10" t="str">
        <f>'Proforma Balance Sheet'!A47</f>
        <v>Provision for income tax</v>
      </c>
      <c r="B171" s="11">
        <f>'Proforma Balance Sheet'!B47</f>
        <v>254216512</v>
      </c>
      <c r="C171" s="11">
        <f>'Proforma Balance Sheet'!C47</f>
        <v>321919912</v>
      </c>
      <c r="D171" s="11">
        <f>'Proforma Balance Sheet'!D47</f>
        <v>376547920</v>
      </c>
      <c r="E171" s="11">
        <f>'Proforma Balance Sheet'!E47</f>
        <v>522095945</v>
      </c>
      <c r="F171" s="11">
        <f>'Proforma Balance Sheet'!F47</f>
        <v>356027694</v>
      </c>
      <c r="G171" s="12">
        <f>G4*G173</f>
        <v>425680378.88140815</v>
      </c>
      <c r="H171" s="12">
        <f>H4*H173</f>
        <v>457268016.87218684</v>
      </c>
      <c r="I171" s="12">
        <f>I4*I173</f>
        <v>491203262.47678286</v>
      </c>
      <c r="J171" s="12">
        <f>J4*J173</f>
        <v>527660866.50469714</v>
      </c>
      <c r="K171" s="13">
        <f>K4*K173</f>
        <v>566828608.63320196</v>
      </c>
    </row>
    <row r="172" spans="1:11" x14ac:dyDescent="0.25">
      <c r="A172" s="14" t="s">
        <v>87</v>
      </c>
      <c r="B172" s="15">
        <f>B171/B4</f>
        <v>3.9142306242652372E-2</v>
      </c>
      <c r="C172" s="15">
        <f>C171/C4</f>
        <v>3.2315479862024307E-2</v>
      </c>
      <c r="D172" s="15">
        <f>D171/D4</f>
        <v>3.3644870889581395E-2</v>
      </c>
      <c r="E172" s="15">
        <f>E171/E4</f>
        <v>5.5161518964389554E-2</v>
      </c>
      <c r="F172" s="15">
        <f>F171/F4</f>
        <v>3.5105116997168097E-2</v>
      </c>
      <c r="G172" s="9"/>
      <c r="H172" s="9"/>
      <c r="I172" s="9"/>
      <c r="J172" s="9"/>
      <c r="K172" s="23"/>
    </row>
    <row r="173" spans="1:11" ht="15.75" thickBot="1" x14ac:dyDescent="0.3">
      <c r="A173" s="33" t="s">
        <v>134</v>
      </c>
      <c r="B173" s="27"/>
      <c r="C173" s="27"/>
      <c r="D173" s="27"/>
      <c r="E173" s="27"/>
      <c r="F173" s="27"/>
      <c r="G173" s="28">
        <f>AVERAGE(B172:F172)</f>
        <v>3.9073858591163149E-2</v>
      </c>
      <c r="H173" s="28">
        <f>G173</f>
        <v>3.9073858591163149E-2</v>
      </c>
      <c r="I173" s="28">
        <f t="shared" ref="I173:K173" si="126">H173</f>
        <v>3.9073858591163149E-2</v>
      </c>
      <c r="J173" s="28">
        <f t="shared" si="126"/>
        <v>3.9073858591163149E-2</v>
      </c>
      <c r="K173" s="36">
        <f t="shared" si="126"/>
        <v>3.9073858591163149E-2</v>
      </c>
    </row>
    <row r="174" spans="1:11" ht="15.75" thickBot="1" x14ac:dyDescent="0.3">
      <c r="G174" s="9"/>
      <c r="H174" s="9"/>
      <c r="I174" s="9"/>
      <c r="J174" s="9"/>
      <c r="K174" s="9"/>
    </row>
    <row r="175" spans="1:11" x14ac:dyDescent="0.25">
      <c r="A175" s="10" t="str">
        <f>'Proforma Balance Sheet'!A48</f>
        <v>Provision for WPFF and welfare fund</v>
      </c>
      <c r="B175" s="38"/>
      <c r="C175" s="38"/>
      <c r="D175" s="38"/>
      <c r="E175" s="38"/>
      <c r="F175" s="38"/>
      <c r="G175" s="85"/>
      <c r="H175" s="85"/>
      <c r="I175" s="85"/>
      <c r="J175" s="85"/>
      <c r="K175" s="86"/>
    </row>
    <row r="176" spans="1:11" x14ac:dyDescent="0.25">
      <c r="A176" s="14" t="s">
        <v>106</v>
      </c>
      <c r="B176" s="19">
        <v>81649106</v>
      </c>
      <c r="C176" s="19">
        <f>B178</f>
        <v>111228128</v>
      </c>
      <c r="D176" s="19">
        <f t="shared" ref="D176:K176" si="127">C178</f>
        <v>155080792</v>
      </c>
      <c r="E176" s="19">
        <f t="shared" si="127"/>
        <v>205157454</v>
      </c>
      <c r="F176" s="19">
        <f t="shared" si="127"/>
        <v>233682770</v>
      </c>
      <c r="G176" s="20">
        <f t="shared" si="127"/>
        <v>282072060</v>
      </c>
      <c r="H176" s="20">
        <f t="shared" si="127"/>
        <v>328298398.94674408</v>
      </c>
      <c r="I176" s="20">
        <f t="shared" si="127"/>
        <v>377954966.14155972</v>
      </c>
      <c r="J176" s="20">
        <f t="shared" si="127"/>
        <v>431296697.70707351</v>
      </c>
      <c r="K176" s="21">
        <f t="shared" si="127"/>
        <v>488597506.65691292</v>
      </c>
    </row>
    <row r="177" spans="1:11" x14ac:dyDescent="0.25">
      <c r="A177" s="14" t="s">
        <v>135</v>
      </c>
      <c r="B177" s="19">
        <f t="shared" ref="B177:K177" si="128">B38</f>
        <v>29579022</v>
      </c>
      <c r="C177" s="19">
        <f t="shared" si="128"/>
        <v>43852664</v>
      </c>
      <c r="D177" s="19">
        <f t="shared" si="128"/>
        <v>50076662</v>
      </c>
      <c r="E177" s="19">
        <f t="shared" si="128"/>
        <v>28525316</v>
      </c>
      <c r="F177" s="19">
        <f t="shared" si="128"/>
        <v>48389290</v>
      </c>
      <c r="G177" s="20">
        <f t="shared" si="128"/>
        <v>46226338.946744099</v>
      </c>
      <c r="H177" s="20">
        <f t="shared" si="128"/>
        <v>49656567.194815606</v>
      </c>
      <c r="I177" s="20">
        <f t="shared" si="128"/>
        <v>53341731.565513775</v>
      </c>
      <c r="J177" s="20">
        <f t="shared" si="128"/>
        <v>57300808.949839406</v>
      </c>
      <c r="K177" s="21">
        <f t="shared" si="128"/>
        <v>61554191.095778868</v>
      </c>
    </row>
    <row r="178" spans="1:11" ht="15.75" thickBot="1" x14ac:dyDescent="0.3">
      <c r="A178" s="33" t="s">
        <v>136</v>
      </c>
      <c r="B178" s="78">
        <f>SUM(B176:B177)</f>
        <v>111228128</v>
      </c>
      <c r="C178" s="78">
        <f t="shared" ref="C178:F178" si="129">SUM(C176:C177)</f>
        <v>155080792</v>
      </c>
      <c r="D178" s="78">
        <f t="shared" si="129"/>
        <v>205157454</v>
      </c>
      <c r="E178" s="78">
        <f t="shared" si="129"/>
        <v>233682770</v>
      </c>
      <c r="F178" s="78">
        <f t="shared" si="129"/>
        <v>282072060</v>
      </c>
      <c r="G178" s="79">
        <f t="shared" ref="G178" si="130">SUM(G176:G177)</f>
        <v>328298398.94674408</v>
      </c>
      <c r="H178" s="79">
        <f t="shared" ref="H178" si="131">SUM(H176:H177)</f>
        <v>377954966.14155972</v>
      </c>
      <c r="I178" s="79">
        <f t="shared" ref="I178" si="132">SUM(I176:I177)</f>
        <v>431296697.70707351</v>
      </c>
      <c r="J178" s="79">
        <f t="shared" ref="J178" si="133">SUM(J176:J177)</f>
        <v>488597506.65691292</v>
      </c>
      <c r="K178" s="80">
        <f t="shared" ref="K178" si="134">SUM(K176:K177)</f>
        <v>550151697.75269175</v>
      </c>
    </row>
    <row r="179" spans="1:11" ht="15.75" thickBot="1" x14ac:dyDescent="0.3">
      <c r="G179" s="9"/>
      <c r="H179" s="9"/>
      <c r="I179" s="9"/>
      <c r="J179" s="9"/>
      <c r="K179" s="9"/>
    </row>
    <row r="180" spans="1:11" x14ac:dyDescent="0.25">
      <c r="A180" s="10" t="str">
        <f>'Proforma Balance Sheet'!A49</f>
        <v>Liabilities for expenses and other provision</v>
      </c>
      <c r="B180" s="11">
        <f>'Proforma Balance Sheet'!B49</f>
        <v>422607597</v>
      </c>
      <c r="C180" s="11">
        <f>'Proforma Balance Sheet'!C49</f>
        <v>710913034</v>
      </c>
      <c r="D180" s="11">
        <f>'Proforma Balance Sheet'!D49</f>
        <v>726840644</v>
      </c>
      <c r="E180" s="11">
        <f>'Proforma Balance Sheet'!E49</f>
        <v>826099700</v>
      </c>
      <c r="F180" s="11">
        <f>'Proforma Balance Sheet'!F49</f>
        <v>744205043</v>
      </c>
      <c r="G180" s="12">
        <f>G4*G182</f>
        <v>788827989.59140205</v>
      </c>
      <c r="H180" s="12">
        <f>H4*H182</f>
        <v>868831151.26075697</v>
      </c>
      <c r="I180" s="12">
        <f>I4*I182</f>
        <v>945370480.13489676</v>
      </c>
      <c r="J180" s="12">
        <f>J4*J182</f>
        <v>1084798377.0067384</v>
      </c>
      <c r="K180" s="13">
        <f>K4*K182</f>
        <v>1064497665.0945095</v>
      </c>
    </row>
    <row r="181" spans="1:11" x14ac:dyDescent="0.25">
      <c r="A181" s="14" t="s">
        <v>88</v>
      </c>
      <c r="B181" s="15">
        <f>B180/B4</f>
        <v>6.5069872338762241E-2</v>
      </c>
      <c r="C181" s="15">
        <f>C180/C4</f>
        <v>7.1364010045696091E-2</v>
      </c>
      <c r="D181" s="15">
        <f>D180/D4</f>
        <v>6.4943818106020068E-2</v>
      </c>
      <c r="E181" s="15">
        <f>E180/E4</f>
        <v>8.7280728196474533E-2</v>
      </c>
      <c r="F181" s="15">
        <f>F180/F4</f>
        <v>7.3380260987218365E-2</v>
      </c>
      <c r="G181" s="16"/>
      <c r="H181" s="16"/>
      <c r="I181" s="16"/>
      <c r="J181" s="16"/>
      <c r="K181" s="17"/>
    </row>
    <row r="182" spans="1:11" ht="15.75" thickBot="1" x14ac:dyDescent="0.3">
      <c r="A182" s="33" t="s">
        <v>119</v>
      </c>
      <c r="B182" s="40"/>
      <c r="C182" s="40"/>
      <c r="D182" s="40"/>
      <c r="E182" s="40"/>
      <c r="F182" s="40"/>
      <c r="G182" s="114">
        <f>AVERAGE(B181:F181)</f>
        <v>7.2407737934834265E-2</v>
      </c>
      <c r="H182" s="114">
        <f t="shared" ref="H182:K182" si="135">AVERAGE(C181:G181)</f>
        <v>7.4242204333852257E-2</v>
      </c>
      <c r="I182" s="114">
        <f t="shared" si="135"/>
        <v>7.5201602429904327E-2</v>
      </c>
      <c r="J182" s="114">
        <f t="shared" si="135"/>
        <v>8.0330494591846449E-2</v>
      </c>
      <c r="K182" s="115">
        <f t="shared" si="135"/>
        <v>7.3380260987218365E-2</v>
      </c>
    </row>
    <row r="183" spans="1:11" ht="15.75" thickBot="1" x14ac:dyDescent="0.3">
      <c r="G183" s="9"/>
      <c r="H183" s="9"/>
      <c r="I183" s="9"/>
      <c r="J183" s="9"/>
      <c r="K183" s="9"/>
    </row>
    <row r="184" spans="1:11" x14ac:dyDescent="0.25">
      <c r="A184" s="10" t="str">
        <f>'Proforma Balance Sheet'!A50</f>
        <v>Unclaimed dividend</v>
      </c>
      <c r="B184" s="38">
        <f>'Proforma Balance Sheet'!B50</f>
        <v>0</v>
      </c>
      <c r="C184" s="38">
        <f>'Proforma Balance Sheet'!C50</f>
        <v>0</v>
      </c>
      <c r="D184" s="38">
        <f>'Proforma Balance Sheet'!D50</f>
        <v>0</v>
      </c>
      <c r="E184" s="11">
        <f>'Proforma Balance Sheet'!E50</f>
        <v>36154011</v>
      </c>
      <c r="F184" s="11">
        <f>'Proforma Balance Sheet'!F50</f>
        <v>24908856</v>
      </c>
      <c r="G184" s="12">
        <f>F184*(1+F185)</f>
        <v>17161335.355812553</v>
      </c>
      <c r="H184" s="12">
        <f t="shared" ref="H184" si="136">G184*(1+G185)</f>
        <v>11823563.121271485</v>
      </c>
      <c r="I184" s="12"/>
      <c r="J184" s="12"/>
      <c r="K184" s="13"/>
    </row>
    <row r="185" spans="1:11" ht="15.75" thickBot="1" x14ac:dyDescent="0.3">
      <c r="A185" s="33" t="s">
        <v>117</v>
      </c>
      <c r="B185" s="27"/>
      <c r="C185" s="27"/>
      <c r="D185" s="27"/>
      <c r="E185" s="27"/>
      <c r="F185" s="40">
        <f>(F184-E184)/E184</f>
        <v>-0.31103478394140005</v>
      </c>
      <c r="G185" s="28">
        <f>F185</f>
        <v>-0.31103478394140005</v>
      </c>
      <c r="H185" s="28">
        <f t="shared" ref="H185" si="137">G185</f>
        <v>-0.31103478394140005</v>
      </c>
      <c r="I185" s="28"/>
      <c r="J185" s="28"/>
      <c r="K185" s="36"/>
    </row>
    <row r="186" spans="1:11" ht="15.75" thickBot="1" x14ac:dyDescent="0.3">
      <c r="G186" s="9"/>
      <c r="H186" s="9"/>
      <c r="I186" s="9"/>
      <c r="J186" s="9"/>
      <c r="K186" s="9"/>
    </row>
    <row r="187" spans="1:11" ht="15.75" thickBot="1" x14ac:dyDescent="0.3">
      <c r="A187" s="68" t="str">
        <f>'Proforma Balance Sheet'!A51</f>
        <v>Lease liabilities</v>
      </c>
      <c r="B187" s="69">
        <f>'Proforma Balance Sheet'!B51</f>
        <v>0</v>
      </c>
      <c r="C187" s="69">
        <f>'Proforma Balance Sheet'!C51</f>
        <v>0</v>
      </c>
      <c r="D187" s="69">
        <f>'Proforma Balance Sheet'!D51</f>
        <v>0</v>
      </c>
      <c r="E187" s="69">
        <f>'Proforma Balance Sheet'!E51</f>
        <v>0</v>
      </c>
      <c r="F187" s="69">
        <f>'Proforma Balance Sheet'!F51</f>
        <v>3632731</v>
      </c>
      <c r="G187" s="70">
        <f>$F$187*(4/5)</f>
        <v>2906184.8000000003</v>
      </c>
      <c r="H187" s="70">
        <f>$F$187*(3/5)</f>
        <v>2179638.6</v>
      </c>
      <c r="I187" s="70">
        <f>$F$187*(2/5)</f>
        <v>1453092.4000000001</v>
      </c>
      <c r="J187" s="70">
        <f>$F$187*(1/5)</f>
        <v>726546.20000000007</v>
      </c>
      <c r="K187" s="71">
        <f>$F$187*(0/5)</f>
        <v>0</v>
      </c>
    </row>
    <row r="188" spans="1:11" ht="15.75" thickBot="1" x14ac:dyDescent="0.3"/>
    <row r="189" spans="1:11" s="2" customFormat="1" x14ac:dyDescent="0.25">
      <c r="A189" s="52" t="s">
        <v>167</v>
      </c>
      <c r="B189" s="124"/>
      <c r="C189" s="125"/>
      <c r="D189" s="125"/>
      <c r="E189" s="125"/>
      <c r="F189" s="125"/>
      <c r="G189" s="126">
        <f t="shared" ref="G189:K189" si="138">G202-F202</f>
        <v>-222609347.87598228</v>
      </c>
      <c r="H189" s="126">
        <f t="shared" si="138"/>
        <v>49220323.882991791</v>
      </c>
      <c r="I189" s="126">
        <f t="shared" si="138"/>
        <v>62217052.087627411</v>
      </c>
      <c r="J189" s="126">
        <f t="shared" si="138"/>
        <v>9567417.7348384857</v>
      </c>
      <c r="K189" s="127">
        <f t="shared" si="138"/>
        <v>180293459.01912117</v>
      </c>
    </row>
    <row r="190" spans="1:11" x14ac:dyDescent="0.25">
      <c r="A190" s="14"/>
      <c r="G190" s="9"/>
      <c r="H190" s="9"/>
      <c r="I190" s="9"/>
      <c r="J190" s="9"/>
      <c r="K190" s="23"/>
    </row>
    <row r="191" spans="1:11" x14ac:dyDescent="0.25">
      <c r="A191" s="14" t="str">
        <f>'Proforma Balance Sheet'!A15</f>
        <v>Inventories</v>
      </c>
      <c r="B191" s="19"/>
      <c r="C191" s="19"/>
      <c r="D191" s="19"/>
      <c r="E191" s="19"/>
      <c r="F191" s="19">
        <f>'Proforma Balance Sheet'!F15</f>
        <v>2134713957</v>
      </c>
      <c r="G191" s="20">
        <f>'Proforma Balance Sheet'!G15</f>
        <v>2349288794.2414913</v>
      </c>
      <c r="H191" s="20">
        <f>'Proforma Balance Sheet'!H15</f>
        <v>2523617909.8171172</v>
      </c>
      <c r="I191" s="20">
        <f>'Proforma Balance Sheet'!I15</f>
        <v>2710903244.5046263</v>
      </c>
      <c r="J191" s="20">
        <f>'Proforma Balance Sheet'!J15</f>
        <v>2912109231.1012831</v>
      </c>
      <c r="K191" s="21">
        <f>'Proforma Balance Sheet'!K15</f>
        <v>3128272207.4640527</v>
      </c>
    </row>
    <row r="192" spans="1:11" x14ac:dyDescent="0.25">
      <c r="A192" s="14" t="str">
        <f>'Proforma Balance Sheet'!A16</f>
        <v>Trade receivables</v>
      </c>
      <c r="B192" s="19"/>
      <c r="C192" s="19"/>
      <c r="D192" s="19"/>
      <c r="E192" s="19"/>
      <c r="F192" s="19">
        <f>'Proforma Balance Sheet'!F16</f>
        <v>5559331147</v>
      </c>
      <c r="G192" s="20">
        <f>'Proforma Balance Sheet'!G16</f>
        <v>5130419436.204649</v>
      </c>
      <c r="H192" s="20">
        <f>'Proforma Balance Sheet'!H16</f>
        <v>5511122517.5107193</v>
      </c>
      <c r="I192" s="20">
        <f>'Proforma Balance Sheet'!I16</f>
        <v>5920119624.8702326</v>
      </c>
      <c r="J192" s="20">
        <f>'Proforma Balance Sheet'!J16</f>
        <v>6359516904.1006517</v>
      </c>
      <c r="K192" s="21">
        <f>'Proforma Balance Sheet'!K16</f>
        <v>6831577528.5916729</v>
      </c>
    </row>
    <row r="193" spans="1:11" x14ac:dyDescent="0.25">
      <c r="A193" s="14" t="str">
        <f>'Proforma Balance Sheet'!A18</f>
        <v>Advances, deposits and prepayments</v>
      </c>
      <c r="B193" s="19"/>
      <c r="C193" s="19"/>
      <c r="D193" s="19"/>
      <c r="E193" s="19"/>
      <c r="F193" s="19">
        <f>'Proforma Balance Sheet'!F18</f>
        <v>1704339412</v>
      </c>
      <c r="G193" s="20">
        <f>'Proforma Balance Sheet'!G18</f>
        <v>1609649236.1836157</v>
      </c>
      <c r="H193" s="20">
        <f>'Proforma Balance Sheet'!H18</f>
        <v>1729093354.0880179</v>
      </c>
      <c r="I193" s="20">
        <f>'Proforma Balance Sheet'!I18</f>
        <v>1857414613.1290865</v>
      </c>
      <c r="J193" s="20">
        <f>'Proforma Balance Sheet'!J18</f>
        <v>1995273808.4033089</v>
      </c>
      <c r="K193" s="21">
        <f>'Proforma Balance Sheet'!K18</f>
        <v>2143381001.8000445</v>
      </c>
    </row>
    <row r="194" spans="1:11" x14ac:dyDescent="0.25">
      <c r="A194" s="14" t="str">
        <f>'Proforma Balance Sheet'!A19</f>
        <v>Related party receivables</v>
      </c>
      <c r="B194" s="19"/>
      <c r="C194" s="19"/>
      <c r="D194" s="19"/>
      <c r="E194" s="19"/>
      <c r="F194" s="19">
        <f>'Proforma Balance Sheet'!F19</f>
        <v>55648064</v>
      </c>
      <c r="G194" s="20">
        <f>'Proforma Balance Sheet'!G19</f>
        <v>58430467.200000003</v>
      </c>
      <c r="H194" s="20">
        <f>'Proforma Balance Sheet'!H19</f>
        <v>61351990.560000002</v>
      </c>
      <c r="I194" s="20">
        <f>'Proforma Balance Sheet'!I19</f>
        <v>64419590.088000007</v>
      </c>
      <c r="J194" s="20">
        <f>'Proforma Balance Sheet'!J19</f>
        <v>67640569.592400014</v>
      </c>
      <c r="K194" s="21">
        <f>'Proforma Balance Sheet'!K19</f>
        <v>71022598.072020024</v>
      </c>
    </row>
    <row r="195" spans="1:11" x14ac:dyDescent="0.25">
      <c r="A195" s="14" t="str">
        <f>'Proforma Balance Sheet'!A20</f>
        <v>Other receivables</v>
      </c>
      <c r="B195" s="19"/>
      <c r="C195" s="19"/>
      <c r="D195" s="19"/>
      <c r="E195" s="19"/>
      <c r="F195" s="19">
        <f>'Proforma Balance Sheet'!F20</f>
        <v>127155792</v>
      </c>
      <c r="G195" s="20">
        <f>'Proforma Balance Sheet'!G20</f>
        <v>106512861.83025712</v>
      </c>
      <c r="H195" s="20">
        <f>'Proforma Balance Sheet'!H20</f>
        <v>114416655.11689417</v>
      </c>
      <c r="I195" s="20">
        <f>'Proforma Balance Sheet'!I20</f>
        <v>122907861.91330881</v>
      </c>
      <c r="J195" s="20">
        <f>'Proforma Balance Sheet'!J20</f>
        <v>132030208.0047393</v>
      </c>
      <c r="K195" s="21">
        <f>'Proforma Balance Sheet'!K20</f>
        <v>141830679.23270449</v>
      </c>
    </row>
    <row r="196" spans="1:11" s="2" customFormat="1" x14ac:dyDescent="0.25">
      <c r="A196" s="58" t="s">
        <v>168</v>
      </c>
      <c r="B196" s="121"/>
      <c r="C196" s="121"/>
      <c r="D196" s="121"/>
      <c r="E196" s="121"/>
      <c r="F196" s="121">
        <f t="shared" ref="F196:K196" si="139">SUM(F191:F195)</f>
        <v>9581188372</v>
      </c>
      <c r="G196" s="122">
        <f t="shared" si="139"/>
        <v>9254300795.6600151</v>
      </c>
      <c r="H196" s="122">
        <f t="shared" si="139"/>
        <v>9939602427.0927486</v>
      </c>
      <c r="I196" s="122">
        <f t="shared" si="139"/>
        <v>10675764934.505253</v>
      </c>
      <c r="J196" s="122">
        <f t="shared" si="139"/>
        <v>11466570721.202383</v>
      </c>
      <c r="K196" s="123">
        <f t="shared" si="139"/>
        <v>12316084015.160494</v>
      </c>
    </row>
    <row r="197" spans="1:11" x14ac:dyDescent="0.25">
      <c r="A197" s="14"/>
      <c r="G197" s="9"/>
      <c r="H197" s="9"/>
      <c r="I197" s="9"/>
      <c r="J197" s="9"/>
      <c r="K197" s="23"/>
    </row>
    <row r="198" spans="1:11" x14ac:dyDescent="0.25">
      <c r="A198" s="14" t="str">
        <f>'Proforma Balance Sheet'!A43</f>
        <v>Trade payables</v>
      </c>
      <c r="F198" s="19">
        <f>'Proforma Balance Sheet'!F43</f>
        <v>2092783046</v>
      </c>
      <c r="G198" s="20">
        <f>'Proforma Balance Sheet'!G43</f>
        <v>2010472732.4246802</v>
      </c>
      <c r="H198" s="20">
        <f>'Proforma Balance Sheet'!H43</f>
        <v>2159659981.8559136</v>
      </c>
      <c r="I198" s="20">
        <f>'Proforma Balance Sheet'!I43</f>
        <v>2319934895.4787989</v>
      </c>
      <c r="J198" s="20">
        <f>'Proforma Balance Sheet'!J43</f>
        <v>2492122814.9226451</v>
      </c>
      <c r="K198" s="21">
        <f>'Proforma Balance Sheet'!K43</f>
        <v>2677110616.6788034</v>
      </c>
    </row>
    <row r="199" spans="1:11" x14ac:dyDescent="0.25">
      <c r="A199" s="14" t="str">
        <f>'Proforma Balance Sheet'!A49</f>
        <v>Liabilities for expenses and other provision</v>
      </c>
      <c r="F199" s="19">
        <f>'Proforma Balance Sheet'!F49</f>
        <v>744205043</v>
      </c>
      <c r="G199" s="20">
        <f>'Proforma Balance Sheet'!G49</f>
        <v>788827989.59140205</v>
      </c>
      <c r="H199" s="20">
        <f>'Proforma Balance Sheet'!H49</f>
        <v>868831151.26075697</v>
      </c>
      <c r="I199" s="20">
        <f>'Proforma Balance Sheet'!I49</f>
        <v>945370480.13489676</v>
      </c>
      <c r="J199" s="20">
        <f>'Proforma Balance Sheet'!J49</f>
        <v>1084798377.0067384</v>
      </c>
      <c r="K199" s="21">
        <f>'Proforma Balance Sheet'!K49</f>
        <v>1064497665.0945095</v>
      </c>
    </row>
    <row r="200" spans="1:11" x14ac:dyDescent="0.25">
      <c r="A200" s="14" t="str">
        <f>'Proforma Balance Sheet'!A44</f>
        <v>Short term loan from banks</v>
      </c>
      <c r="F200" s="19">
        <f>'Proforma Balance Sheet'!F44</f>
        <v>5549921746</v>
      </c>
      <c r="G200" s="20">
        <f>'Proforma Balance Sheet'!G44</f>
        <v>5483330884.5199146</v>
      </c>
      <c r="H200" s="20">
        <f>'Proforma Balance Sheet'!H44</f>
        <v>5890221780.9690685</v>
      </c>
      <c r="I200" s="20">
        <f>'Proforma Balance Sheet'!I44</f>
        <v>6327352993.7969208</v>
      </c>
      <c r="J200" s="20">
        <f>'Proforma Balance Sheet'!J44</f>
        <v>6796975546.4435244</v>
      </c>
      <c r="K200" s="21">
        <f>'Proforma Balance Sheet'!K44</f>
        <v>7301508291.5385838</v>
      </c>
    </row>
    <row r="201" spans="1:11" s="2" customFormat="1" x14ac:dyDescent="0.25">
      <c r="A201" s="58" t="s">
        <v>169</v>
      </c>
      <c r="F201" s="120">
        <f>SUM(F198:F200)</f>
        <v>8386909835</v>
      </c>
      <c r="G201" s="59">
        <f t="shared" ref="G201:K201" si="140">SUM(G198:G200)</f>
        <v>8282631606.5359974</v>
      </c>
      <c r="H201" s="59">
        <f t="shared" si="140"/>
        <v>8918712914.0857391</v>
      </c>
      <c r="I201" s="59">
        <f t="shared" si="140"/>
        <v>9592658369.4106159</v>
      </c>
      <c r="J201" s="59">
        <f t="shared" si="140"/>
        <v>10373896738.372908</v>
      </c>
      <c r="K201" s="60">
        <f t="shared" si="140"/>
        <v>11043116573.311897</v>
      </c>
    </row>
    <row r="202" spans="1:11" s="2" customFormat="1" ht="15.75" thickBot="1" x14ac:dyDescent="0.3">
      <c r="A202" s="116" t="s">
        <v>170</v>
      </c>
      <c r="B202" s="117"/>
      <c r="C202" s="117"/>
      <c r="D202" s="117"/>
      <c r="E202" s="117"/>
      <c r="F202" s="117">
        <f t="shared" ref="F202:K202" si="141">F196-F201</f>
        <v>1194278537</v>
      </c>
      <c r="G202" s="118">
        <f t="shared" si="141"/>
        <v>971669189.12401772</v>
      </c>
      <c r="H202" s="118">
        <f t="shared" si="141"/>
        <v>1020889513.0070095</v>
      </c>
      <c r="I202" s="118">
        <f t="shared" si="141"/>
        <v>1083106565.0946369</v>
      </c>
      <c r="J202" s="118">
        <f t="shared" si="141"/>
        <v>1092673982.8294754</v>
      </c>
      <c r="K202" s="119">
        <f t="shared" si="141"/>
        <v>1272967441.8485966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sqref="A1:XFD3"/>
    </sheetView>
  </sheetViews>
  <sheetFormatPr defaultColWidth="15.7109375" defaultRowHeight="15" x14ac:dyDescent="0.25"/>
  <cols>
    <col min="1" max="1" width="57.5703125" bestFit="1" customWidth="1"/>
    <col min="2" max="3" width="16.85546875" bestFit="1" customWidth="1"/>
    <col min="4" max="4" width="18" bestFit="1" customWidth="1"/>
    <col min="5" max="5" width="16.85546875" bestFit="1" customWidth="1"/>
    <col min="6" max="11" width="18" bestFit="1" customWidth="1"/>
  </cols>
  <sheetData>
    <row r="1" spans="1:11" s="146" customFormat="1" x14ac:dyDescent="0.25">
      <c r="A1" s="146" t="s">
        <v>178</v>
      </c>
    </row>
    <row r="2" spans="1:11" s="146" customFormat="1" x14ac:dyDescent="0.25">
      <c r="B2" s="152" t="s">
        <v>48</v>
      </c>
      <c r="C2" s="152"/>
      <c r="D2" s="152"/>
      <c r="E2" s="152"/>
      <c r="F2" s="152"/>
      <c r="G2" s="152" t="s">
        <v>49</v>
      </c>
      <c r="H2" s="152"/>
      <c r="I2" s="152"/>
      <c r="J2" s="152"/>
      <c r="K2" s="152"/>
    </row>
    <row r="3" spans="1:11" s="146" customFormat="1" x14ac:dyDescent="0.25">
      <c r="A3" s="146" t="s">
        <v>0</v>
      </c>
      <c r="B3" s="147" t="s">
        <v>77</v>
      </c>
      <c r="C3" s="147" t="s">
        <v>76</v>
      </c>
      <c r="D3" s="147" t="s">
        <v>75</v>
      </c>
      <c r="E3" s="147" t="s">
        <v>74</v>
      </c>
      <c r="F3" s="147" t="s">
        <v>73</v>
      </c>
      <c r="G3" s="147" t="s">
        <v>78</v>
      </c>
      <c r="H3" s="147" t="s">
        <v>79</v>
      </c>
      <c r="I3" s="147" t="s">
        <v>80</v>
      </c>
      <c r="J3" s="147" t="s">
        <v>81</v>
      </c>
      <c r="K3" s="147" t="s">
        <v>82</v>
      </c>
    </row>
    <row r="4" spans="1:11" ht="15.75" thickBot="1" x14ac:dyDescent="0.3">
      <c r="G4" s="9"/>
      <c r="H4" s="9"/>
      <c r="I4" s="9"/>
      <c r="J4" s="9"/>
      <c r="K4" s="9"/>
    </row>
    <row r="5" spans="1:11" x14ac:dyDescent="0.25">
      <c r="A5" s="10" t="s">
        <v>67</v>
      </c>
      <c r="B5" s="31">
        <v>6494673830</v>
      </c>
      <c r="C5" s="11">
        <v>9961786530</v>
      </c>
      <c r="D5" s="11">
        <v>11191837271</v>
      </c>
      <c r="E5" s="11">
        <v>9464858017</v>
      </c>
      <c r="F5" s="11">
        <v>10141760645</v>
      </c>
      <c r="G5" s="12">
        <f>Assumptions!G4</f>
        <v>10894249870.108273</v>
      </c>
      <c r="H5" s="12">
        <f>Assumptions!H4</f>
        <v>11702658333.712696</v>
      </c>
      <c r="I5" s="12">
        <f>Assumptions!I4</f>
        <v>12571148081.79892</v>
      </c>
      <c r="J5" s="12">
        <f>Assumptions!J4</f>
        <v>13504191434.629179</v>
      </c>
      <c r="K5" s="13">
        <f>Assumptions!K4</f>
        <v>14506594154.522392</v>
      </c>
    </row>
    <row r="6" spans="1:11" x14ac:dyDescent="0.25">
      <c r="A6" s="14" t="s">
        <v>66</v>
      </c>
      <c r="B6" s="1">
        <v>4845959645</v>
      </c>
      <c r="C6" s="19">
        <v>7383976694</v>
      </c>
      <c r="D6" s="19">
        <v>8293229404</v>
      </c>
      <c r="E6" s="19">
        <v>6962417547</v>
      </c>
      <c r="F6" s="19">
        <v>7305247257</v>
      </c>
      <c r="G6" s="55">
        <f>Assumptions!G16</f>
        <v>7930581938.8208427</v>
      </c>
      <c r="H6" s="55">
        <f>Assumptions!H16</f>
        <v>8519071246.2161236</v>
      </c>
      <c r="I6" s="55">
        <f>Assumptions!I16</f>
        <v>9151297346.4382229</v>
      </c>
      <c r="J6" s="55">
        <f>Assumptions!J16</f>
        <v>9830515911.3066063</v>
      </c>
      <c r="K6" s="56">
        <f>Assumptions!K16</f>
        <v>10560225345.236727</v>
      </c>
    </row>
    <row r="7" spans="1:11" s="2" customFormat="1" x14ac:dyDescent="0.25">
      <c r="A7" s="58" t="s">
        <v>50</v>
      </c>
      <c r="B7" s="120">
        <f t="shared" ref="B7:K7" si="0">B5-B6</f>
        <v>1648714185</v>
      </c>
      <c r="C7" s="120">
        <f t="shared" si="0"/>
        <v>2577809836</v>
      </c>
      <c r="D7" s="120">
        <f t="shared" si="0"/>
        <v>2898607867</v>
      </c>
      <c r="E7" s="120">
        <f t="shared" si="0"/>
        <v>2502440470</v>
      </c>
      <c r="F7" s="120">
        <f t="shared" si="0"/>
        <v>2836513388</v>
      </c>
      <c r="G7" s="59">
        <f t="shared" si="0"/>
        <v>2963667931.2874298</v>
      </c>
      <c r="H7" s="59">
        <f t="shared" si="0"/>
        <v>3183587087.4965725</v>
      </c>
      <c r="I7" s="59">
        <f t="shared" si="0"/>
        <v>3419850735.3606968</v>
      </c>
      <c r="J7" s="59">
        <f t="shared" si="0"/>
        <v>3673675523.3225727</v>
      </c>
      <c r="K7" s="60">
        <f t="shared" si="0"/>
        <v>3946368809.2856655</v>
      </c>
    </row>
    <row r="8" spans="1:11" s="2" customFormat="1" x14ac:dyDescent="0.25">
      <c r="A8" s="58" t="s">
        <v>51</v>
      </c>
      <c r="B8" s="120">
        <f>SUM(B9:B10)</f>
        <v>768686382</v>
      </c>
      <c r="C8" s="120">
        <f>SUM(C9:C10)</f>
        <v>1255230886</v>
      </c>
      <c r="D8" s="120">
        <f t="shared" ref="D8:K8" si="1">SUM(D9:D10)</f>
        <v>1471592434</v>
      </c>
      <c r="E8" s="120">
        <f t="shared" si="1"/>
        <v>1579045877</v>
      </c>
      <c r="F8" s="120">
        <f t="shared" si="1"/>
        <v>1684476895</v>
      </c>
      <c r="G8" s="59">
        <f t="shared" si="1"/>
        <v>1841065835.426944</v>
      </c>
      <c r="H8" s="59">
        <f t="shared" si="1"/>
        <v>2016242775.771754</v>
      </c>
      <c r="I8" s="59">
        <f t="shared" si="1"/>
        <v>2212353887.427093</v>
      </c>
      <c r="J8" s="59">
        <f t="shared" si="1"/>
        <v>2432160897.450377</v>
      </c>
      <c r="K8" s="60">
        <f t="shared" si="1"/>
        <v>2678931173.2037334</v>
      </c>
    </row>
    <row r="9" spans="1:11" x14ac:dyDescent="0.25">
      <c r="A9" s="14" t="s">
        <v>52</v>
      </c>
      <c r="B9" s="1">
        <v>583787722</v>
      </c>
      <c r="C9" s="19">
        <v>1000554870</v>
      </c>
      <c r="D9" s="19">
        <v>1128065631</v>
      </c>
      <c r="E9" s="19">
        <v>1213123927</v>
      </c>
      <c r="F9" s="19">
        <v>1323033417</v>
      </c>
      <c r="G9" s="20">
        <f>Assumptions!G22</f>
        <v>1452444754.5002034</v>
      </c>
      <c r="H9" s="20">
        <f>Assumptions!H22</f>
        <v>1594514346.9306307</v>
      </c>
      <c r="I9" s="20">
        <f>Assumptions!I22</f>
        <v>1750480350.2440271</v>
      </c>
      <c r="J9" s="20">
        <f>Assumptions!J22</f>
        <v>1921702029.5169277</v>
      </c>
      <c r="K9" s="21">
        <f>Assumptions!K22</f>
        <v>2109671605.1309357</v>
      </c>
    </row>
    <row r="10" spans="1:11" x14ac:dyDescent="0.25">
      <c r="A10" s="14" t="s">
        <v>53</v>
      </c>
      <c r="B10" s="1">
        <v>184898660</v>
      </c>
      <c r="C10" s="19">
        <v>254676016</v>
      </c>
      <c r="D10" s="19">
        <v>343526803</v>
      </c>
      <c r="E10" s="19">
        <v>365921950</v>
      </c>
      <c r="F10" s="19">
        <v>361443478</v>
      </c>
      <c r="G10" s="20">
        <f>Assumptions!G26</f>
        <v>388621080.92674071</v>
      </c>
      <c r="H10" s="20">
        <f>Assumptions!H26</f>
        <v>421728428.8411234</v>
      </c>
      <c r="I10" s="20">
        <f>Assumptions!I26</f>
        <v>461873537.18306589</v>
      </c>
      <c r="J10" s="20">
        <f>Assumptions!J26</f>
        <v>510458867.93344915</v>
      </c>
      <c r="K10" s="21">
        <f>Assumptions!K26</f>
        <v>569259568.07279766</v>
      </c>
    </row>
    <row r="11" spans="1:11" s="2" customFormat="1" x14ac:dyDescent="0.25">
      <c r="A11" s="58" t="s">
        <v>54</v>
      </c>
      <c r="B11" s="120">
        <f>B7-B8</f>
        <v>880027803</v>
      </c>
      <c r="C11" s="120">
        <f>C7-C8</f>
        <v>1322578950</v>
      </c>
      <c r="D11" s="120">
        <f t="shared" ref="D11:K11" si="2">D7-D8</f>
        <v>1427015433</v>
      </c>
      <c r="E11" s="120">
        <f t="shared" si="2"/>
        <v>923394593</v>
      </c>
      <c r="F11" s="120">
        <f t="shared" si="2"/>
        <v>1152036493</v>
      </c>
      <c r="G11" s="59">
        <f t="shared" si="2"/>
        <v>1122602095.8604858</v>
      </c>
      <c r="H11" s="59">
        <f t="shared" si="2"/>
        <v>1167344311.7248185</v>
      </c>
      <c r="I11" s="59">
        <f t="shared" si="2"/>
        <v>1207496847.9336038</v>
      </c>
      <c r="J11" s="59">
        <f t="shared" si="2"/>
        <v>1241514625.8721957</v>
      </c>
      <c r="K11" s="60">
        <f t="shared" si="2"/>
        <v>1267437636.0819321</v>
      </c>
    </row>
    <row r="12" spans="1:11" x14ac:dyDescent="0.25">
      <c r="A12" s="14" t="s">
        <v>55</v>
      </c>
      <c r="B12" s="1">
        <v>93926826</v>
      </c>
      <c r="C12" s="19">
        <v>75496187</v>
      </c>
      <c r="D12" s="19">
        <v>228476770</v>
      </c>
      <c r="E12" s="19">
        <v>255272303</v>
      </c>
      <c r="F12" s="19">
        <v>301100603</v>
      </c>
      <c r="G12" s="20">
        <f>Assumptions!G30</f>
        <v>345784856.92496037</v>
      </c>
      <c r="H12" s="20">
        <f>Assumptions!H30</f>
        <v>397100391.32208353</v>
      </c>
      <c r="I12" s="20">
        <f>Assumptions!I30</f>
        <v>456031308.57281095</v>
      </c>
      <c r="J12" s="20">
        <f>Assumptions!J30</f>
        <v>523707754.87338328</v>
      </c>
      <c r="K12" s="21">
        <f>Assumptions!K30</f>
        <v>601427593.58534086</v>
      </c>
    </row>
    <row r="13" spans="1:11" x14ac:dyDescent="0.25">
      <c r="A13" s="14" t="s">
        <v>56</v>
      </c>
      <c r="B13" s="1">
        <v>385425765</v>
      </c>
      <c r="C13" s="19">
        <v>510413094</v>
      </c>
      <c r="D13" s="19">
        <v>659330555</v>
      </c>
      <c r="E13" s="19">
        <v>641414782</v>
      </c>
      <c r="F13" s="19">
        <v>568944463</v>
      </c>
      <c r="G13" s="20">
        <f>Assumptions!G34</f>
        <v>639189497.30426931</v>
      </c>
      <c r="H13" s="20">
        <f>Assumptions!H34</f>
        <v>686620592.20559204</v>
      </c>
      <c r="I13" s="20">
        <f>Assumptions!I34</f>
        <v>737576787.64005816</v>
      </c>
      <c r="J13" s="20">
        <f>Assumptions!J34</f>
        <v>792320484.43143129</v>
      </c>
      <c r="K13" s="21">
        <f>Assumptions!K34</f>
        <v>851133647.17914855</v>
      </c>
    </row>
    <row r="14" spans="1:11" s="2" customFormat="1" x14ac:dyDescent="0.25">
      <c r="A14" s="58" t="s">
        <v>57</v>
      </c>
      <c r="B14" s="120">
        <f>B11-B13+B12</f>
        <v>588528864</v>
      </c>
      <c r="C14" s="120">
        <f>C11-C13+C12</f>
        <v>887662043</v>
      </c>
      <c r="D14" s="120">
        <f t="shared" ref="D14:K14" si="3">D11-D13+D12</f>
        <v>996161648</v>
      </c>
      <c r="E14" s="120">
        <f t="shared" si="3"/>
        <v>537252114</v>
      </c>
      <c r="F14" s="120">
        <f t="shared" si="3"/>
        <v>884192633</v>
      </c>
      <c r="G14" s="59">
        <f t="shared" si="3"/>
        <v>829197455.48117685</v>
      </c>
      <c r="H14" s="59">
        <f t="shared" si="3"/>
        <v>877824110.84131002</v>
      </c>
      <c r="I14" s="59">
        <f t="shared" si="3"/>
        <v>925951368.86635661</v>
      </c>
      <c r="J14" s="59">
        <f t="shared" si="3"/>
        <v>972901896.31414771</v>
      </c>
      <c r="K14" s="60">
        <f t="shared" si="3"/>
        <v>1017731582.4881244</v>
      </c>
    </row>
    <row r="15" spans="1:11" s="2" customFormat="1" x14ac:dyDescent="0.25">
      <c r="A15" s="14" t="s">
        <v>58</v>
      </c>
      <c r="B15" s="1">
        <v>29579022</v>
      </c>
      <c r="C15" s="19">
        <v>43852664</v>
      </c>
      <c r="D15" s="19">
        <v>50076662</v>
      </c>
      <c r="E15" s="19">
        <v>28525316</v>
      </c>
      <c r="F15" s="19">
        <v>48389290</v>
      </c>
      <c r="G15" s="20">
        <f>Assumptions!G38</f>
        <v>46226338.946744099</v>
      </c>
      <c r="H15" s="20">
        <f>Assumptions!H38</f>
        <v>49656567.194815606</v>
      </c>
      <c r="I15" s="20">
        <f>Assumptions!I38</f>
        <v>53341731.565513775</v>
      </c>
      <c r="J15" s="20">
        <f>Assumptions!J38</f>
        <v>57300808.949839406</v>
      </c>
      <c r="K15" s="21">
        <f>Assumptions!K38</f>
        <v>61554191.095778868</v>
      </c>
    </row>
    <row r="16" spans="1:11" x14ac:dyDescent="0.25">
      <c r="A16" s="14" t="s">
        <v>59</v>
      </c>
      <c r="B16" s="1">
        <v>1632840</v>
      </c>
      <c r="C16" s="19">
        <v>1637554</v>
      </c>
      <c r="D16" s="19">
        <v>0</v>
      </c>
      <c r="E16" s="19">
        <v>0</v>
      </c>
      <c r="F16" s="19">
        <v>0</v>
      </c>
      <c r="G16" s="88">
        <f>Assumptions!G42</f>
        <v>0</v>
      </c>
      <c r="H16" s="88">
        <f>Assumptions!H42</f>
        <v>0</v>
      </c>
      <c r="I16" s="88">
        <f>Assumptions!I42</f>
        <v>0</v>
      </c>
      <c r="J16" s="88">
        <f>Assumptions!J42</f>
        <v>0</v>
      </c>
      <c r="K16" s="89">
        <f>Assumptions!K42</f>
        <v>0</v>
      </c>
    </row>
    <row r="17" spans="1:11" s="2" customFormat="1" x14ac:dyDescent="0.25">
      <c r="A17" s="58" t="s">
        <v>60</v>
      </c>
      <c r="B17" s="120">
        <f>B14-B15+B16</f>
        <v>560582682</v>
      </c>
      <c r="C17" s="120">
        <f>C14-C15+C16</f>
        <v>845446933</v>
      </c>
      <c r="D17" s="120">
        <f t="shared" ref="D17:K17" si="4">D14-D15+D16</f>
        <v>946084986</v>
      </c>
      <c r="E17" s="120">
        <f t="shared" si="4"/>
        <v>508726798</v>
      </c>
      <c r="F17" s="120">
        <f t="shared" si="4"/>
        <v>835803343</v>
      </c>
      <c r="G17" s="59">
        <f t="shared" si="4"/>
        <v>782971116.53443277</v>
      </c>
      <c r="H17" s="59">
        <f t="shared" si="4"/>
        <v>828167543.64649439</v>
      </c>
      <c r="I17" s="59">
        <f t="shared" si="4"/>
        <v>872609637.30084288</v>
      </c>
      <c r="J17" s="59">
        <f t="shared" si="4"/>
        <v>915601087.36430836</v>
      </c>
      <c r="K17" s="60">
        <f t="shared" si="4"/>
        <v>956177391.39234555</v>
      </c>
    </row>
    <row r="18" spans="1:11" s="2" customFormat="1" x14ac:dyDescent="0.25">
      <c r="A18" s="58" t="s">
        <v>61</v>
      </c>
      <c r="B18" s="120">
        <f>B19+B21+B20</f>
        <v>167092993</v>
      </c>
      <c r="C18" s="120">
        <f>C19+C21+C20</f>
        <v>253169103</v>
      </c>
      <c r="D18" s="120">
        <f t="shared" ref="D18:K18" si="5">D19+D21+D20</f>
        <v>293219164</v>
      </c>
      <c r="E18" s="120">
        <f t="shared" si="5"/>
        <v>167956414</v>
      </c>
      <c r="F18" s="120">
        <f t="shared" si="5"/>
        <v>361892800</v>
      </c>
      <c r="G18" s="59">
        <f t="shared" si="5"/>
        <v>247951717.85849321</v>
      </c>
      <c r="H18" s="59">
        <f t="shared" si="5"/>
        <v>262055250.53329435</v>
      </c>
      <c r="I18" s="59">
        <f t="shared" si="5"/>
        <v>274761946.33725476</v>
      </c>
      <c r="J18" s="59">
        <f t="shared" si="5"/>
        <v>287877254.55441558</v>
      </c>
      <c r="K18" s="60">
        <f t="shared" si="5"/>
        <v>303487540.646007</v>
      </c>
    </row>
    <row r="19" spans="1:11" x14ac:dyDescent="0.25">
      <c r="A19" s="14" t="s">
        <v>62</v>
      </c>
      <c r="B19" s="1">
        <v>155727429</v>
      </c>
      <c r="C19" s="19">
        <v>235315855</v>
      </c>
      <c r="D19" s="19">
        <v>280115446</v>
      </c>
      <c r="E19" s="19">
        <v>170630777</v>
      </c>
      <c r="F19" s="19">
        <v>253378159</v>
      </c>
      <c r="G19" s="20">
        <f>Assumptions!G47</f>
        <v>233445967.25849321</v>
      </c>
      <c r="H19" s="20">
        <f>Assumptions!H47</f>
        <v>246921462.61329436</v>
      </c>
      <c r="I19" s="20">
        <f>Assumptions!I47</f>
        <v>260172050.43325475</v>
      </c>
      <c r="J19" s="20">
        <f>Assumptions!J47</f>
        <v>272990123.0696156</v>
      </c>
      <c r="K19" s="21">
        <f>Assumptions!K47</f>
        <v>285088110.264247</v>
      </c>
    </row>
    <row r="20" spans="1:11" x14ac:dyDescent="0.25">
      <c r="A20" s="14" t="s">
        <v>63</v>
      </c>
      <c r="C20" s="19">
        <v>0</v>
      </c>
      <c r="D20" s="19">
        <v>0</v>
      </c>
      <c r="E20" s="19">
        <v>0</v>
      </c>
      <c r="F20" s="19">
        <v>75634055</v>
      </c>
      <c r="G20" s="9"/>
      <c r="H20" s="9"/>
      <c r="I20" s="9"/>
      <c r="J20" s="9"/>
      <c r="K20" s="23"/>
    </row>
    <row r="21" spans="1:11" x14ac:dyDescent="0.25">
      <c r="A21" s="14" t="s">
        <v>64</v>
      </c>
      <c r="B21" s="1">
        <v>11365564</v>
      </c>
      <c r="C21" s="19">
        <v>17853248</v>
      </c>
      <c r="D21" s="19">
        <v>13103718</v>
      </c>
      <c r="E21" s="19">
        <v>-2674363</v>
      </c>
      <c r="F21" s="19">
        <v>32880586</v>
      </c>
      <c r="G21" s="9">
        <f>Assumptions!G51</f>
        <v>14505750.6</v>
      </c>
      <c r="H21" s="9">
        <f>Assumptions!H51</f>
        <v>15133787.919999998</v>
      </c>
      <c r="I21" s="9">
        <f>Assumptions!I51</f>
        <v>14589895.903999999</v>
      </c>
      <c r="J21" s="9">
        <f>Assumptions!J51</f>
        <v>14887131.4848</v>
      </c>
      <c r="K21" s="23">
        <f>Assumptions!K51</f>
        <v>18399430.381759997</v>
      </c>
    </row>
    <row r="22" spans="1:11" s="2" customFormat="1" ht="18" thickBot="1" x14ac:dyDescent="0.45">
      <c r="A22" s="116" t="s">
        <v>65</v>
      </c>
      <c r="B22" s="148">
        <f>B17-B18</f>
        <v>393489689</v>
      </c>
      <c r="C22" s="148">
        <f>C17-C18</f>
        <v>592277830</v>
      </c>
      <c r="D22" s="148">
        <f t="shared" ref="D22:K22" si="6">D17-D18</f>
        <v>652865822</v>
      </c>
      <c r="E22" s="148">
        <f t="shared" si="6"/>
        <v>340770384</v>
      </c>
      <c r="F22" s="148">
        <f t="shared" si="6"/>
        <v>473910543</v>
      </c>
      <c r="G22" s="149">
        <f t="shared" si="6"/>
        <v>535019398.67593956</v>
      </c>
      <c r="H22" s="149">
        <f t="shared" si="6"/>
        <v>566112293.11320007</v>
      </c>
      <c r="I22" s="149">
        <f t="shared" si="6"/>
        <v>597847690.96358812</v>
      </c>
      <c r="J22" s="149">
        <f t="shared" si="6"/>
        <v>627723832.80989277</v>
      </c>
      <c r="K22" s="150">
        <f t="shared" si="6"/>
        <v>652689850.74633861</v>
      </c>
    </row>
    <row r="23" spans="1:11" x14ac:dyDescent="0.25">
      <c r="C23" s="3"/>
      <c r="D23" s="3"/>
      <c r="E23" s="3"/>
      <c r="F23" s="3"/>
    </row>
    <row r="24" spans="1:11" x14ac:dyDescent="0.25">
      <c r="B24" s="6"/>
      <c r="C24" s="6"/>
      <c r="D24" s="6"/>
      <c r="E24" s="6"/>
      <c r="F24" s="6"/>
    </row>
    <row r="25" spans="1:11" x14ac:dyDescent="0.25">
      <c r="B25" s="6"/>
      <c r="C25" s="6"/>
      <c r="D25" s="6"/>
      <c r="E25" s="6"/>
      <c r="F25" s="6"/>
      <c r="G25" s="6"/>
    </row>
    <row r="26" spans="1:11" x14ac:dyDescent="0.25">
      <c r="A26" s="2"/>
      <c r="B26" s="6"/>
      <c r="C26" s="6"/>
      <c r="D26" s="6"/>
      <c r="E26" s="6"/>
      <c r="F26" s="6"/>
      <c r="G26" s="6"/>
    </row>
    <row r="27" spans="1:11" x14ac:dyDescent="0.25">
      <c r="B27" s="6"/>
      <c r="C27" s="6"/>
      <c r="D27" s="6"/>
      <c r="E27" s="6"/>
      <c r="F27" s="6"/>
      <c r="G27" s="6"/>
    </row>
    <row r="28" spans="1:11" x14ac:dyDescent="0.25">
      <c r="A28" s="2"/>
      <c r="B28" s="6"/>
      <c r="C28" s="6"/>
      <c r="D28" s="6"/>
      <c r="E28" s="6"/>
      <c r="F28" s="6"/>
      <c r="G28" s="6"/>
    </row>
    <row r="29" spans="1:11" x14ac:dyDescent="0.25">
      <c r="B29" s="6"/>
      <c r="C29" s="6"/>
      <c r="D29" s="6"/>
      <c r="E29" s="6"/>
      <c r="F29" s="6"/>
      <c r="G29" s="6"/>
    </row>
    <row r="30" spans="1:11" x14ac:dyDescent="0.25">
      <c r="B30" s="6"/>
      <c r="C30" s="6"/>
      <c r="D30" s="6"/>
      <c r="E30" s="6"/>
      <c r="F30" s="6"/>
      <c r="G30" s="6"/>
    </row>
    <row r="31" spans="1:11" x14ac:dyDescent="0.25">
      <c r="B31" s="6"/>
      <c r="C31" s="6"/>
      <c r="D31" s="6"/>
      <c r="E31" s="6"/>
      <c r="F31" s="6"/>
      <c r="G31" s="6"/>
    </row>
    <row r="32" spans="1:11" x14ac:dyDescent="0.25">
      <c r="B32" s="6"/>
      <c r="C32" s="6"/>
      <c r="D32" s="6"/>
      <c r="E32" s="6"/>
      <c r="F32" s="6"/>
      <c r="G32" s="6"/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B34" s="6"/>
      <c r="C34" s="6"/>
      <c r="D34" s="6"/>
      <c r="E34" s="6"/>
      <c r="F34" s="6"/>
      <c r="G34" s="6"/>
    </row>
    <row r="35" spans="1:7" x14ac:dyDescent="0.25">
      <c r="A35" s="2"/>
      <c r="B35" s="6"/>
      <c r="C35" s="6"/>
      <c r="D35" s="6"/>
      <c r="E35" s="6"/>
      <c r="F35" s="6"/>
      <c r="G35" s="6"/>
    </row>
    <row r="36" spans="1:7" x14ac:dyDescent="0.25">
      <c r="B36" s="6"/>
      <c r="C36" s="6"/>
      <c r="D36" s="6"/>
      <c r="E36" s="6"/>
      <c r="F36" s="6"/>
      <c r="G36" s="6"/>
    </row>
    <row r="37" spans="1:7" x14ac:dyDescent="0.25">
      <c r="A37" s="2"/>
      <c r="B37" s="6"/>
      <c r="C37" s="6"/>
      <c r="D37" s="6"/>
      <c r="E37" s="6"/>
      <c r="F37" s="6"/>
      <c r="G37" s="6"/>
    </row>
  </sheetData>
  <mergeCells count="2">
    <mergeCell ref="B2:F2"/>
    <mergeCell ref="G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"/>
  <sheetViews>
    <sheetView zoomScale="80" zoomScaleNormal="80" workbookViewId="0">
      <pane ySplit="2" topLeftCell="A3" activePane="bottomLeft" state="frozen"/>
      <selection pane="bottomLeft" activeCell="A9" sqref="A9"/>
    </sheetView>
  </sheetViews>
  <sheetFormatPr defaultRowHeight="15" x14ac:dyDescent="0.25"/>
  <cols>
    <col min="1" max="1" width="46.42578125" bestFit="1" customWidth="1"/>
    <col min="2" max="2" width="16.140625" customWidth="1"/>
    <col min="3" max="5" width="19.140625" bestFit="1" customWidth="1"/>
    <col min="6" max="6" width="19.28515625" bestFit="1" customWidth="1"/>
    <col min="7" max="7" width="17.85546875" bestFit="1" customWidth="1"/>
    <col min="8" max="11" width="18" bestFit="1" customWidth="1"/>
  </cols>
  <sheetData>
    <row r="1" spans="1:11" s="146" customFormat="1" x14ac:dyDescent="0.25">
      <c r="A1" s="146" t="s">
        <v>178</v>
      </c>
    </row>
    <row r="2" spans="1:11" s="146" customFormat="1" x14ac:dyDescent="0.25">
      <c r="B2" s="152" t="s">
        <v>48</v>
      </c>
      <c r="C2" s="152"/>
      <c r="D2" s="152"/>
      <c r="E2" s="152"/>
      <c r="F2" s="152"/>
      <c r="G2" s="152" t="s">
        <v>49</v>
      </c>
      <c r="H2" s="152"/>
      <c r="I2" s="152"/>
      <c r="J2" s="152"/>
      <c r="K2" s="152"/>
    </row>
    <row r="3" spans="1:11" s="146" customFormat="1" x14ac:dyDescent="0.25">
      <c r="A3" s="146" t="s">
        <v>0</v>
      </c>
      <c r="B3" s="147" t="s">
        <v>77</v>
      </c>
      <c r="C3" s="147" t="s">
        <v>76</v>
      </c>
      <c r="D3" s="147" t="s">
        <v>75</v>
      </c>
      <c r="E3" s="147" t="s">
        <v>74</v>
      </c>
      <c r="F3" s="147" t="s">
        <v>73</v>
      </c>
      <c r="G3" s="147" t="s">
        <v>78</v>
      </c>
      <c r="H3" s="147" t="s">
        <v>79</v>
      </c>
      <c r="I3" s="147" t="s">
        <v>80</v>
      </c>
      <c r="J3" s="147" t="s">
        <v>81</v>
      </c>
      <c r="K3" s="147" t="s">
        <v>82</v>
      </c>
    </row>
    <row r="4" spans="1:11" x14ac:dyDescent="0.25">
      <c r="A4" s="151" t="s">
        <v>1</v>
      </c>
      <c r="C4" s="3"/>
      <c r="D4" s="3"/>
      <c r="E4" s="3"/>
      <c r="F4" s="3"/>
    </row>
    <row r="5" spans="1:11" x14ac:dyDescent="0.25">
      <c r="A5" t="s">
        <v>43</v>
      </c>
      <c r="C5" s="3"/>
      <c r="D5" s="3"/>
      <c r="E5" s="3"/>
      <c r="F5" s="3"/>
      <c r="G5" s="134"/>
      <c r="H5" s="134"/>
      <c r="I5" s="134"/>
      <c r="J5" s="135"/>
      <c r="K5" s="135"/>
    </row>
    <row r="6" spans="1:11" x14ac:dyDescent="0.25">
      <c r="A6" t="s">
        <v>2</v>
      </c>
      <c r="B6" s="1">
        <v>4020040263</v>
      </c>
      <c r="C6" s="3">
        <v>4028932794</v>
      </c>
      <c r="D6" s="3">
        <v>4328456399</v>
      </c>
      <c r="E6" s="3">
        <v>4454064634</v>
      </c>
      <c r="F6" s="3">
        <v>4463253246</v>
      </c>
      <c r="G6" s="134">
        <f>Assumptions!G53</f>
        <v>4510837674.622118</v>
      </c>
      <c r="H6" s="134">
        <f>Assumptions!H53</f>
        <v>4560970184.1528072</v>
      </c>
      <c r="I6" s="134">
        <f>Assumptions!I53</f>
        <v>4615891500.8069553</v>
      </c>
      <c r="J6" s="134">
        <f>Assumptions!J53</f>
        <v>4677962355.8097019</v>
      </c>
      <c r="K6" s="134">
        <f>Assumptions!K53</f>
        <v>4745616056.733923</v>
      </c>
    </row>
    <row r="7" spans="1:11" x14ac:dyDescent="0.25">
      <c r="A7" t="s">
        <v>4</v>
      </c>
      <c r="B7" s="7">
        <v>1100000</v>
      </c>
      <c r="C7" s="7">
        <v>660073</v>
      </c>
      <c r="D7" s="7">
        <v>90353396</v>
      </c>
      <c r="E7" s="7">
        <v>81186041</v>
      </c>
      <c r="F7" s="7">
        <v>75373049</v>
      </c>
      <c r="G7" s="134">
        <f>Assumptions!G73</f>
        <v>71483733.32411395</v>
      </c>
      <c r="H7" s="134">
        <f>Assumptions!H73</f>
        <v>68509947.093933448</v>
      </c>
      <c r="I7" s="134">
        <f>Assumptions!I73</f>
        <v>66344972.459557302</v>
      </c>
      <c r="J7" s="134">
        <f>Assumptions!J73</f>
        <v>64911862.653952263</v>
      </c>
      <c r="K7" s="134">
        <f>Assumptions!K73</f>
        <v>64158827.908189565</v>
      </c>
    </row>
    <row r="8" spans="1:11" x14ac:dyDescent="0.25">
      <c r="A8" t="s">
        <v>5</v>
      </c>
      <c r="B8" s="1">
        <v>152732456</v>
      </c>
      <c r="C8" s="3">
        <v>544193090</v>
      </c>
      <c r="D8" s="3">
        <v>251936548</v>
      </c>
      <c r="E8" s="3">
        <v>303467404</v>
      </c>
      <c r="F8" s="3">
        <v>519087755</v>
      </c>
      <c r="G8" s="134">
        <f>Assumptions!G77</f>
        <v>584495517.26413202</v>
      </c>
      <c r="H8" s="134">
        <f>Assumptions!H77</f>
        <v>658144998.43454266</v>
      </c>
      <c r="I8" s="134">
        <f>Assumptions!I77</f>
        <v>741074698.04368508</v>
      </c>
      <c r="J8" s="134">
        <f>Assumptions!J77</f>
        <v>834453971.97705841</v>
      </c>
      <c r="K8" s="134">
        <f>Assumptions!K77</f>
        <v>939599521.05562627</v>
      </c>
    </row>
    <row r="9" spans="1:11" x14ac:dyDescent="0.25">
      <c r="A9" t="s">
        <v>6</v>
      </c>
      <c r="B9" s="1">
        <v>59734663</v>
      </c>
      <c r="C9" s="3">
        <v>53752216</v>
      </c>
      <c r="D9" s="3"/>
      <c r="E9" s="3"/>
      <c r="F9" s="3"/>
      <c r="G9" s="134"/>
      <c r="H9" s="134"/>
      <c r="I9" s="134"/>
      <c r="J9" s="135"/>
      <c r="K9" s="135"/>
    </row>
    <row r="10" spans="1:11" x14ac:dyDescent="0.25">
      <c r="A10" t="s">
        <v>40</v>
      </c>
      <c r="C10" s="3"/>
      <c r="D10" s="3"/>
      <c r="E10" s="3"/>
      <c r="F10" s="3">
        <v>5836095</v>
      </c>
      <c r="G10" s="134">
        <f>Assumptions!G83</f>
        <v>5894455.9500000002</v>
      </c>
      <c r="H10" s="134">
        <f>Assumptions!H83</f>
        <v>5953400.5095000006</v>
      </c>
      <c r="I10" s="134">
        <f>Assumptions!I83</f>
        <v>6012934.514595001</v>
      </c>
      <c r="J10" s="134">
        <f>Assumptions!J83</f>
        <v>6073063.8597409511</v>
      </c>
      <c r="K10" s="134">
        <f>Assumptions!K83</f>
        <v>6133794.4983383603</v>
      </c>
    </row>
    <row r="11" spans="1:11" x14ac:dyDescent="0.25">
      <c r="A11" t="s">
        <v>7</v>
      </c>
      <c r="B11" s="1">
        <v>2556693894</v>
      </c>
      <c r="C11" s="3">
        <v>3153519618</v>
      </c>
      <c r="D11" s="3">
        <v>3458075023</v>
      </c>
      <c r="E11" s="3">
        <v>4516116881</v>
      </c>
      <c r="F11" s="3">
        <v>5982327209</v>
      </c>
      <c r="G11" s="134">
        <f>Assumptions!G85</f>
        <v>4545560548.5086746</v>
      </c>
      <c r="H11" s="134">
        <f>Assumptions!H85</f>
        <v>4882864141.0509539</v>
      </c>
      <c r="I11" s="134">
        <f>Assumptions!I85</f>
        <v>5245236289.9142647</v>
      </c>
      <c r="J11" s="134">
        <f>Assumptions!J85</f>
        <v>5634543043.9580221</v>
      </c>
      <c r="K11" s="134">
        <f>Assumptions!K85</f>
        <v>6052789578.7439089</v>
      </c>
    </row>
    <row r="12" spans="1:11" x14ac:dyDescent="0.25">
      <c r="A12" s="2" t="s">
        <v>3</v>
      </c>
      <c r="B12" s="4">
        <f>SUM(B6:B11)</f>
        <v>6790301276</v>
      </c>
      <c r="C12" s="4">
        <f>SUM(C6:C11)</f>
        <v>7781057791</v>
      </c>
      <c r="D12" s="4">
        <f>SUM(D6:D11)</f>
        <v>8128821366</v>
      </c>
      <c r="E12" s="4">
        <f>SUM(E6:E11)</f>
        <v>9354834960</v>
      </c>
      <c r="F12" s="4">
        <f>SUM(F6:F11)</f>
        <v>11045877354</v>
      </c>
      <c r="G12" s="136">
        <f t="shared" ref="G12:K12" si="0">SUM(G6:G11)</f>
        <v>9718271929.6690369</v>
      </c>
      <c r="H12" s="136">
        <f t="shared" si="0"/>
        <v>10176442671.241737</v>
      </c>
      <c r="I12" s="136">
        <f t="shared" si="0"/>
        <v>10674560395.739058</v>
      </c>
      <c r="J12" s="136">
        <f t="shared" si="0"/>
        <v>11217944298.258476</v>
      </c>
      <c r="K12" s="136">
        <f t="shared" si="0"/>
        <v>11808297778.939987</v>
      </c>
    </row>
    <row r="13" spans="1:11" x14ac:dyDescent="0.25">
      <c r="C13" s="3"/>
      <c r="D13" s="3"/>
      <c r="E13" s="3"/>
      <c r="F13" s="3"/>
      <c r="G13" s="134"/>
      <c r="H13" s="134"/>
      <c r="I13" s="134"/>
      <c r="J13" s="135"/>
      <c r="K13" s="135"/>
    </row>
    <row r="14" spans="1:11" x14ac:dyDescent="0.25">
      <c r="A14" t="s">
        <v>42</v>
      </c>
      <c r="C14" s="3"/>
      <c r="D14" s="3"/>
      <c r="E14" s="3"/>
      <c r="F14" s="3"/>
      <c r="G14" s="134"/>
      <c r="H14" s="134"/>
      <c r="I14" s="134"/>
      <c r="J14" s="135"/>
      <c r="K14" s="135"/>
    </row>
    <row r="15" spans="1:11" x14ac:dyDescent="0.25">
      <c r="A15" t="s">
        <v>8</v>
      </c>
      <c r="B15" s="1">
        <v>1279606414</v>
      </c>
      <c r="C15" s="3">
        <v>1809393474</v>
      </c>
      <c r="D15" s="3">
        <v>2081025214</v>
      </c>
      <c r="E15" s="3">
        <v>2869157749</v>
      </c>
      <c r="F15" s="3">
        <v>2134713957</v>
      </c>
      <c r="G15" s="134">
        <f>Assumptions!G89</f>
        <v>2349288794.2414913</v>
      </c>
      <c r="H15" s="134">
        <f>Assumptions!H89</f>
        <v>2523617909.8171172</v>
      </c>
      <c r="I15" s="134">
        <f>Assumptions!I89</f>
        <v>2710903244.5046263</v>
      </c>
      <c r="J15" s="134">
        <f>Assumptions!J89</f>
        <v>2912109231.1012831</v>
      </c>
      <c r="K15" s="134">
        <f>Assumptions!K89</f>
        <v>3128272207.4640527</v>
      </c>
    </row>
    <row r="16" spans="1:11" x14ac:dyDescent="0.25">
      <c r="A16" t="s">
        <v>7</v>
      </c>
      <c r="B16" s="1">
        <v>2941160370</v>
      </c>
      <c r="C16" s="3">
        <v>3415113909</v>
      </c>
      <c r="D16" s="3">
        <v>4624712626</v>
      </c>
      <c r="E16" s="3">
        <v>5656034354</v>
      </c>
      <c r="F16" s="3">
        <v>5559331147</v>
      </c>
      <c r="G16" s="134">
        <f>Assumptions!G93</f>
        <v>5130419436.204649</v>
      </c>
      <c r="H16" s="134">
        <f>Assumptions!H93</f>
        <v>5511122517.5107193</v>
      </c>
      <c r="I16" s="134">
        <f>Assumptions!I93</f>
        <v>5920119624.8702326</v>
      </c>
      <c r="J16" s="134">
        <f>Assumptions!J93</f>
        <v>6359516904.1006517</v>
      </c>
      <c r="K16" s="134">
        <f>Assumptions!K93</f>
        <v>6831577528.5916729</v>
      </c>
    </row>
    <row r="17" spans="1:11" x14ac:dyDescent="0.25">
      <c r="A17" t="s">
        <v>9</v>
      </c>
      <c r="B17" s="1">
        <v>1007391022</v>
      </c>
      <c r="C17" s="3">
        <v>951406172</v>
      </c>
      <c r="D17" s="3">
        <v>1081766618</v>
      </c>
      <c r="E17" s="3">
        <v>1768595187</v>
      </c>
      <c r="F17" s="3">
        <v>2451394200</v>
      </c>
      <c r="G17" s="134">
        <f>Assumptions!G97</f>
        <v>2831810343.48068</v>
      </c>
      <c r="H17" s="134">
        <f>Assumptions!H97</f>
        <v>3271260828.407021</v>
      </c>
      <c r="I17" s="134">
        <f>Assumptions!I97</f>
        <v>3778906815.6015792</v>
      </c>
      <c r="J17" s="134">
        <f>Assumptions!J97</f>
        <v>4365331127.67836</v>
      </c>
      <c r="K17" s="134">
        <f>Assumptions!K97</f>
        <v>5042758867.6181746</v>
      </c>
    </row>
    <row r="18" spans="1:11" x14ac:dyDescent="0.25">
      <c r="A18" t="s">
        <v>10</v>
      </c>
      <c r="B18" s="1">
        <v>1145247291</v>
      </c>
      <c r="C18" s="3">
        <v>933943497</v>
      </c>
      <c r="D18" s="3">
        <v>1353149968</v>
      </c>
      <c r="E18" s="3">
        <v>1700979119</v>
      </c>
      <c r="F18" s="3">
        <v>1704339412</v>
      </c>
      <c r="G18" s="134">
        <f>Assumptions!G101</f>
        <v>1609649236.1836157</v>
      </c>
      <c r="H18" s="134">
        <f>Assumptions!H101</f>
        <v>1729093354.0880179</v>
      </c>
      <c r="I18" s="134">
        <f>Assumptions!I101</f>
        <v>1857414613.1290865</v>
      </c>
      <c r="J18" s="134">
        <f>Assumptions!J101</f>
        <v>1995273808.4033089</v>
      </c>
      <c r="K18" s="134">
        <f>Assumptions!K101</f>
        <v>2143381001.8000445</v>
      </c>
    </row>
    <row r="19" spans="1:11" x14ac:dyDescent="0.25">
      <c r="A19" t="s">
        <v>11</v>
      </c>
      <c r="B19" s="1">
        <v>115527371</v>
      </c>
      <c r="C19" s="3">
        <v>29682271</v>
      </c>
      <c r="D19" s="3">
        <v>94210330</v>
      </c>
      <c r="E19" s="3">
        <v>74771584</v>
      </c>
      <c r="F19" s="3">
        <v>55648064</v>
      </c>
      <c r="G19" s="134">
        <f>Assumptions!G105</f>
        <v>58430467.200000003</v>
      </c>
      <c r="H19" s="134">
        <f>Assumptions!H105</f>
        <v>61351990.560000002</v>
      </c>
      <c r="I19" s="134">
        <f>Assumptions!I105</f>
        <v>64419590.088000007</v>
      </c>
      <c r="J19" s="134">
        <f>Assumptions!J105</f>
        <v>67640569.592400014</v>
      </c>
      <c r="K19" s="134">
        <f>Assumptions!K105</f>
        <v>71022598.072020024</v>
      </c>
    </row>
    <row r="20" spans="1:11" x14ac:dyDescent="0.25">
      <c r="A20" t="s">
        <v>12</v>
      </c>
      <c r="B20" s="1">
        <v>79136968</v>
      </c>
      <c r="C20" s="3">
        <v>81439698</v>
      </c>
      <c r="D20" s="3">
        <v>106234734</v>
      </c>
      <c r="E20" s="3">
        <v>84262842</v>
      </c>
      <c r="F20" s="3">
        <v>127155792</v>
      </c>
      <c r="G20" s="134">
        <f>Assumptions!G109</f>
        <v>106512861.83025712</v>
      </c>
      <c r="H20" s="134">
        <f>Assumptions!H109</f>
        <v>114416655.11689417</v>
      </c>
      <c r="I20" s="134">
        <f>Assumptions!I109</f>
        <v>122907861.91330881</v>
      </c>
      <c r="J20" s="134">
        <f>Assumptions!J109</f>
        <v>132030208.0047393</v>
      </c>
      <c r="K20" s="134">
        <f>Assumptions!K109</f>
        <v>141830679.23270449</v>
      </c>
    </row>
    <row r="21" spans="1:11" x14ac:dyDescent="0.25">
      <c r="A21" t="s">
        <v>13</v>
      </c>
      <c r="B21" s="1">
        <v>442030688</v>
      </c>
      <c r="C21" s="3">
        <v>350313761</v>
      </c>
      <c r="D21" s="3">
        <v>1253022979</v>
      </c>
      <c r="E21" s="3">
        <v>809504905</v>
      </c>
      <c r="F21" s="3">
        <v>448971952</v>
      </c>
      <c r="G21" s="137">
        <f>G54-(SUM(G12,G15:G20))</f>
        <v>977220485.02059937</v>
      </c>
      <c r="H21" s="134">
        <v>835024803.6412468</v>
      </c>
      <c r="I21" s="134">
        <v>864115981.55136871</v>
      </c>
      <c r="J21" s="134">
        <v>898369404.55625153</v>
      </c>
      <c r="K21" s="134">
        <v>686688150.83668518</v>
      </c>
    </row>
    <row r="22" spans="1:11" x14ac:dyDescent="0.25">
      <c r="A22" s="2" t="s">
        <v>14</v>
      </c>
      <c r="B22" s="4">
        <f t="shared" ref="B22:G22" si="1">SUM(B15:B21)</f>
        <v>7010100124</v>
      </c>
      <c r="C22" s="4">
        <f t="shared" si="1"/>
        <v>7571292782</v>
      </c>
      <c r="D22" s="4">
        <f t="shared" si="1"/>
        <v>10594122469</v>
      </c>
      <c r="E22" s="4">
        <f t="shared" si="1"/>
        <v>12963305740</v>
      </c>
      <c r="F22" s="4">
        <f t="shared" si="1"/>
        <v>12481554524</v>
      </c>
      <c r="G22" s="136">
        <f t="shared" si="1"/>
        <v>13063331624.161293</v>
      </c>
      <c r="H22" s="136">
        <f t="shared" ref="H22" si="2">SUM(H15:H21)</f>
        <v>14045888059.141016</v>
      </c>
      <c r="I22" s="136">
        <f t="shared" ref="I22" si="3">SUM(I15:I21)</f>
        <v>15318787731.658203</v>
      </c>
      <c r="J22" s="136">
        <f t="shared" ref="J22" si="4">SUM(J15:J21)</f>
        <v>16730271253.436995</v>
      </c>
      <c r="K22" s="136">
        <f t="shared" ref="K22" si="5">SUM(K15:K21)</f>
        <v>18045531033.615356</v>
      </c>
    </row>
    <row r="23" spans="1:11" ht="17.25" x14ac:dyDescent="0.4">
      <c r="A23" s="2" t="s">
        <v>15</v>
      </c>
      <c r="B23" s="5">
        <f>B12+B22</f>
        <v>13800401400</v>
      </c>
      <c r="C23" s="5">
        <f>C12+C22</f>
        <v>15352350573</v>
      </c>
      <c r="D23" s="5">
        <f>D12+D22</f>
        <v>18722943835</v>
      </c>
      <c r="E23" s="5">
        <f>E12+E22</f>
        <v>22318140700</v>
      </c>
      <c r="F23" s="5">
        <f>F12+F22</f>
        <v>23527431878</v>
      </c>
      <c r="G23" s="138">
        <f t="shared" ref="G23:K23" si="6">G12+G22</f>
        <v>22781603553.83033</v>
      </c>
      <c r="H23" s="138">
        <f t="shared" si="6"/>
        <v>24222330730.382751</v>
      </c>
      <c r="I23" s="138">
        <f t="shared" si="6"/>
        <v>25993348127.397263</v>
      </c>
      <c r="J23" s="138">
        <f t="shared" si="6"/>
        <v>27948215551.695473</v>
      </c>
      <c r="K23" s="138">
        <f t="shared" si="6"/>
        <v>29853828812.555344</v>
      </c>
    </row>
    <row r="24" spans="1:11" x14ac:dyDescent="0.25">
      <c r="C24" s="3"/>
      <c r="D24" s="3"/>
      <c r="E24" s="3"/>
      <c r="F24" s="3"/>
      <c r="G24" s="135"/>
      <c r="H24" s="135"/>
      <c r="I24" s="135"/>
      <c r="J24" s="135"/>
      <c r="K24" s="135"/>
    </row>
    <row r="25" spans="1:11" ht="17.25" x14ac:dyDescent="0.4">
      <c r="A25" s="151" t="s">
        <v>16</v>
      </c>
      <c r="C25" s="3"/>
      <c r="D25" s="3"/>
      <c r="E25" s="3"/>
      <c r="F25" s="3"/>
      <c r="G25" s="135"/>
      <c r="H25" s="135"/>
      <c r="I25" s="138"/>
      <c r="J25" s="135"/>
      <c r="K25" s="135"/>
    </row>
    <row r="26" spans="1:11" x14ac:dyDescent="0.25">
      <c r="A26" t="s">
        <v>44</v>
      </c>
      <c r="C26" s="3"/>
      <c r="D26" s="3"/>
      <c r="E26" s="3"/>
      <c r="F26" s="3"/>
      <c r="G26" s="135"/>
      <c r="H26" s="135"/>
      <c r="I26" s="135"/>
      <c r="J26" s="135"/>
      <c r="K26" s="135"/>
    </row>
    <row r="27" spans="1:11" x14ac:dyDescent="0.25">
      <c r="A27" t="s">
        <v>45</v>
      </c>
      <c r="C27" s="3"/>
      <c r="D27" s="3"/>
      <c r="E27" s="3"/>
      <c r="F27" s="3"/>
      <c r="G27" s="135"/>
      <c r="H27" s="135"/>
      <c r="I27" s="135"/>
      <c r="J27" s="135"/>
      <c r="K27" s="135"/>
    </row>
    <row r="28" spans="1:11" x14ac:dyDescent="0.25">
      <c r="A28" t="s">
        <v>17</v>
      </c>
      <c r="B28" s="1">
        <v>942029210</v>
      </c>
      <c r="C28" s="3">
        <v>942029210</v>
      </c>
      <c r="D28" s="3">
        <v>1081332690</v>
      </c>
      <c r="E28" s="3">
        <v>1135399325</v>
      </c>
      <c r="F28" s="3">
        <v>1135399325</v>
      </c>
      <c r="G28" s="139">
        <f>Assumptions!G113*10</f>
        <v>1191566378.300998</v>
      </c>
      <c r="H28" s="139">
        <f>Assumptions!H113*10</f>
        <v>1250511964.2817447</v>
      </c>
      <c r="I28" s="139">
        <f>Assumptions!I113*10</f>
        <v>1312373528.9019423</v>
      </c>
      <c r="J28" s="139">
        <f>Assumptions!J113*10</f>
        <v>1377295322.6815281</v>
      </c>
      <c r="K28" s="139">
        <f>Assumptions!K113*10</f>
        <v>1445428732.0680559</v>
      </c>
    </row>
    <row r="29" spans="1:11" x14ac:dyDescent="0.25">
      <c r="A29" t="s">
        <v>18</v>
      </c>
      <c r="B29" s="1">
        <v>1169832705</v>
      </c>
      <c r="C29" s="3">
        <v>1169832705</v>
      </c>
      <c r="D29" s="3">
        <v>2030529205</v>
      </c>
      <c r="E29" s="3">
        <v>2030529205</v>
      </c>
      <c r="F29" s="3">
        <v>2030529205</v>
      </c>
      <c r="G29" s="139">
        <f>F29</f>
        <v>2030529205</v>
      </c>
      <c r="H29" s="139">
        <f t="shared" ref="H29:K29" si="7">G29</f>
        <v>2030529205</v>
      </c>
      <c r="I29" s="139">
        <f t="shared" si="7"/>
        <v>2030529205</v>
      </c>
      <c r="J29" s="139">
        <f t="shared" si="7"/>
        <v>2030529205</v>
      </c>
      <c r="K29" s="139">
        <f t="shared" si="7"/>
        <v>2030529205</v>
      </c>
    </row>
    <row r="30" spans="1:11" x14ac:dyDescent="0.25">
      <c r="A30" t="s">
        <v>19</v>
      </c>
      <c r="B30" s="1">
        <v>1296026303</v>
      </c>
      <c r="C30" s="3">
        <v>1294195084</v>
      </c>
      <c r="D30" s="3">
        <v>1292465028</v>
      </c>
      <c r="E30" s="3">
        <v>1290824325</v>
      </c>
      <c r="F30" s="3">
        <v>1296890181</v>
      </c>
      <c r="G30" s="140">
        <f>Assumptions!G137</f>
        <v>1296890181</v>
      </c>
      <c r="H30" s="140">
        <f>Assumptions!H137</f>
        <v>1296673632.5999999</v>
      </c>
      <c r="I30" s="140">
        <f>Assumptions!I137</f>
        <v>1296457084.1999998</v>
      </c>
      <c r="J30" s="140">
        <f>Assumptions!J137</f>
        <v>1296240535.7999997</v>
      </c>
      <c r="K30" s="140">
        <f>Assumptions!K137</f>
        <v>1296023987.3999996</v>
      </c>
    </row>
    <row r="31" spans="1:11" x14ac:dyDescent="0.25">
      <c r="A31" t="s">
        <v>20</v>
      </c>
      <c r="B31" s="1">
        <v>1839030512</v>
      </c>
      <c r="C31" s="3">
        <v>2201637986</v>
      </c>
      <c r="D31" s="3">
        <v>2677113729</v>
      </c>
      <c r="E31" s="3">
        <v>2740685935</v>
      </c>
      <c r="F31" s="3">
        <v>2935780866</v>
      </c>
      <c r="G31" s="134">
        <f>Assumptions!G118</f>
        <v>3585302668.7104721</v>
      </c>
      <c r="H31" s="134">
        <f>Assumptions!H118</f>
        <v>4272589850.6544423</v>
      </c>
      <c r="I31" s="134">
        <f>Assumptions!I118</f>
        <v>5013327652.5992117</v>
      </c>
      <c r="J31" s="134">
        <f>Assumptions!J118</f>
        <v>5811571042.1804657</v>
      </c>
      <c r="K31" s="134">
        <f>Assumptions!K118</f>
        <v>6670407875.7602005</v>
      </c>
    </row>
    <row r="32" spans="1:11" x14ac:dyDescent="0.25">
      <c r="A32" s="2" t="s">
        <v>21</v>
      </c>
      <c r="B32" s="4">
        <f>SUM(B28:B31)</f>
        <v>5246918730</v>
      </c>
      <c r="C32" s="4">
        <f>SUM(C28:C31)</f>
        <v>5607694985</v>
      </c>
      <c r="D32" s="4">
        <f>SUM(D28:D31)</f>
        <v>7081440652</v>
      </c>
      <c r="E32" s="4">
        <f>SUM(E28:E31)</f>
        <v>7197438790</v>
      </c>
      <c r="F32" s="4">
        <f>SUM(F28:F31)</f>
        <v>7398599577</v>
      </c>
      <c r="G32" s="136">
        <f t="shared" ref="G32:K32" si="8">SUM(G28:G31)</f>
        <v>8104288433.0114698</v>
      </c>
      <c r="H32" s="136">
        <f t="shared" si="8"/>
        <v>8850304652.5361862</v>
      </c>
      <c r="I32" s="136">
        <f t="shared" si="8"/>
        <v>9652687470.7011528</v>
      </c>
      <c r="J32" s="136">
        <f t="shared" si="8"/>
        <v>10515636105.661993</v>
      </c>
      <c r="K32" s="136">
        <f t="shared" si="8"/>
        <v>11442389800.228256</v>
      </c>
    </row>
    <row r="33" spans="1:11" x14ac:dyDescent="0.25">
      <c r="A33" t="s">
        <v>22</v>
      </c>
      <c r="B33" s="1">
        <v>839441656</v>
      </c>
      <c r="C33" s="3">
        <v>949296892</v>
      </c>
      <c r="D33" s="3">
        <v>1067148571</v>
      </c>
      <c r="E33" s="3">
        <v>1163153178</v>
      </c>
      <c r="F33" s="3">
        <v>1278240044</v>
      </c>
      <c r="G33" s="134">
        <f>Assumptions!G127</f>
        <v>1414621698.0545404</v>
      </c>
      <c r="H33" s="134">
        <f>Assumptions!H127</f>
        <v>1580136523.7409384</v>
      </c>
      <c r="I33" s="134">
        <f>Assumptions!I127</f>
        <v>1785879429.7304702</v>
      </c>
      <c r="J33" s="134">
        <f>Assumptions!J127</f>
        <v>2047723929.0198038</v>
      </c>
      <c r="K33" s="134">
        <f>Assumptions!K127</f>
        <v>2388600598.4475384</v>
      </c>
    </row>
    <row r="34" spans="1:11" x14ac:dyDescent="0.25">
      <c r="A34" s="2" t="s">
        <v>23</v>
      </c>
      <c r="B34" s="4">
        <f>B32+B33</f>
        <v>6086360386</v>
      </c>
      <c r="C34" s="4">
        <f>C32+C33</f>
        <v>6556991877</v>
      </c>
      <c r="D34" s="4">
        <f>D32+D33</f>
        <v>8148589223</v>
      </c>
      <c r="E34" s="4">
        <f>E32+E33</f>
        <v>8360591968</v>
      </c>
      <c r="F34" s="4">
        <f>F32+F33</f>
        <v>8676839621</v>
      </c>
      <c r="G34" s="136">
        <f t="shared" ref="G34:K34" si="9">G32+G33</f>
        <v>9518910131.0660095</v>
      </c>
      <c r="H34" s="136">
        <f t="shared" si="9"/>
        <v>10430441176.277124</v>
      </c>
      <c r="I34" s="136">
        <f t="shared" si="9"/>
        <v>11438566900.431623</v>
      </c>
      <c r="J34" s="136">
        <f t="shared" si="9"/>
        <v>12563360034.681797</v>
      </c>
      <c r="K34" s="136">
        <f t="shared" si="9"/>
        <v>13830990398.675795</v>
      </c>
    </row>
    <row r="35" spans="1:11" x14ac:dyDescent="0.25">
      <c r="A35" t="s">
        <v>24</v>
      </c>
      <c r="C35" s="3"/>
      <c r="D35" s="3"/>
      <c r="E35" s="3"/>
      <c r="F35" s="3"/>
      <c r="G35" s="135"/>
      <c r="H35" s="135"/>
      <c r="I35" s="135"/>
      <c r="J35" s="135"/>
      <c r="K35" s="135"/>
    </row>
    <row r="36" spans="1:11" x14ac:dyDescent="0.25">
      <c r="A36" t="s">
        <v>25</v>
      </c>
      <c r="C36" s="3"/>
      <c r="D36" s="3"/>
      <c r="E36" s="3"/>
      <c r="F36" s="3"/>
      <c r="G36" s="135"/>
      <c r="H36" s="135"/>
      <c r="I36" s="135"/>
      <c r="J36" s="135"/>
      <c r="K36" s="135"/>
    </row>
    <row r="37" spans="1:11" x14ac:dyDescent="0.25">
      <c r="A37" t="s">
        <v>26</v>
      </c>
      <c r="B37" s="1">
        <v>2364097436</v>
      </c>
      <c r="C37" s="3">
        <v>2154154036</v>
      </c>
      <c r="D37" s="3">
        <v>1856254619</v>
      </c>
      <c r="E37" s="3">
        <v>3536648807</v>
      </c>
      <c r="F37" s="3">
        <v>4564441176</v>
      </c>
      <c r="G37" s="134">
        <f>Assumptions!G155</f>
        <v>3196611868.4443378</v>
      </c>
      <c r="H37" s="134">
        <f>Assumptions!H155</f>
        <v>3347317059.7462978</v>
      </c>
      <c r="I37" s="134">
        <f>Assumptions!I155</f>
        <v>3511161932.7375031</v>
      </c>
      <c r="J37" s="134">
        <f>Assumptions!J155</f>
        <v>3689896119.6882</v>
      </c>
      <c r="K37" s="134">
        <f>Assumptions!K155</f>
        <v>3884079916.6205225</v>
      </c>
    </row>
    <row r="38" spans="1:11" x14ac:dyDescent="0.25">
      <c r="A38" t="s">
        <v>27</v>
      </c>
      <c r="C38" s="3">
        <v>1834735</v>
      </c>
      <c r="D38" s="3">
        <v>328603</v>
      </c>
      <c r="E38" s="3"/>
      <c r="F38" s="3"/>
      <c r="G38" s="135"/>
      <c r="H38" s="135"/>
      <c r="I38" s="135"/>
      <c r="J38" s="135"/>
      <c r="K38" s="135"/>
    </row>
    <row r="39" spans="1:11" x14ac:dyDescent="0.25">
      <c r="A39" t="s">
        <v>28</v>
      </c>
      <c r="B39" s="1">
        <v>103266236</v>
      </c>
      <c r="C39" s="3">
        <v>118444410</v>
      </c>
      <c r="D39" s="3">
        <v>131482426</v>
      </c>
      <c r="E39" s="3">
        <v>128742435</v>
      </c>
      <c r="F39" s="3">
        <v>153995975</v>
      </c>
      <c r="G39" s="134">
        <f>Assumptions!G142</f>
        <v>165888990.59999999</v>
      </c>
      <c r="H39" s="134">
        <f>Assumptions!H142</f>
        <v>178413541.51999998</v>
      </c>
      <c r="I39" s="134">
        <f>Assumptions!I142</f>
        <v>190394200.42399999</v>
      </c>
      <c r="J39" s="134">
        <f>Assumptions!J142</f>
        <v>202672094.90880001</v>
      </c>
      <c r="K39" s="134">
        <f>Assumptions!K142</f>
        <v>218462288.29056001</v>
      </c>
    </row>
    <row r="40" spans="1:11" x14ac:dyDescent="0.25">
      <c r="A40" s="2" t="s">
        <v>29</v>
      </c>
      <c r="B40" s="4">
        <f>SUM(B37:B39)</f>
        <v>2467363672</v>
      </c>
      <c r="C40" s="4">
        <f>SUM(C37:C39)</f>
        <v>2274433181</v>
      </c>
      <c r="D40" s="4">
        <f>SUM(D37:D39)</f>
        <v>1988065648</v>
      </c>
      <c r="E40" s="4">
        <f>SUM(E37:E39)</f>
        <v>3665391242</v>
      </c>
      <c r="F40" s="4">
        <f>SUM(F37:F39)</f>
        <v>4718437151</v>
      </c>
      <c r="G40" s="136">
        <f t="shared" ref="G40:K40" si="10">SUM(G37:G39)</f>
        <v>3362500859.0443377</v>
      </c>
      <c r="H40" s="136">
        <f t="shared" si="10"/>
        <v>3525730601.2662978</v>
      </c>
      <c r="I40" s="136">
        <f t="shared" si="10"/>
        <v>3701556133.1615028</v>
      </c>
      <c r="J40" s="136">
        <f t="shared" si="10"/>
        <v>3892568214.5970001</v>
      </c>
      <c r="K40" s="136">
        <f t="shared" si="10"/>
        <v>4102542204.9110823</v>
      </c>
    </row>
    <row r="41" spans="1:11" x14ac:dyDescent="0.25">
      <c r="A41" t="s">
        <v>30</v>
      </c>
      <c r="C41" s="3"/>
      <c r="D41" s="3"/>
      <c r="E41" s="3"/>
      <c r="F41" s="3"/>
      <c r="G41" s="134"/>
      <c r="H41" s="134"/>
      <c r="I41" s="134"/>
      <c r="J41" s="134"/>
      <c r="K41" s="134"/>
    </row>
    <row r="42" spans="1:11" x14ac:dyDescent="0.25">
      <c r="A42" t="s">
        <v>139</v>
      </c>
      <c r="C42" s="3"/>
      <c r="D42" s="3"/>
      <c r="E42" s="3"/>
      <c r="F42" s="3"/>
      <c r="G42" s="134"/>
      <c r="H42" s="134"/>
      <c r="I42" s="134"/>
      <c r="J42" s="134"/>
      <c r="K42" s="134"/>
    </row>
    <row r="43" spans="1:11" x14ac:dyDescent="0.25">
      <c r="A43" t="s">
        <v>31</v>
      </c>
      <c r="B43" s="1">
        <v>266548090</v>
      </c>
      <c r="C43" s="3">
        <v>878160405</v>
      </c>
      <c r="D43" s="3">
        <v>1791452102</v>
      </c>
      <c r="E43" s="3">
        <v>1771938868</v>
      </c>
      <c r="F43" s="3">
        <v>2092783046</v>
      </c>
      <c r="G43" s="134">
        <f>Assumptions!G159</f>
        <v>2010472732.4246802</v>
      </c>
      <c r="H43" s="134">
        <f>Assumptions!H159</f>
        <v>2159659981.8559136</v>
      </c>
      <c r="I43" s="134">
        <f>Assumptions!I159</f>
        <v>2319934895.4787989</v>
      </c>
      <c r="J43" s="134">
        <f>Assumptions!J159</f>
        <v>2492122814.9226451</v>
      </c>
      <c r="K43" s="134">
        <f>Assumptions!K159</f>
        <v>2677110616.6788034</v>
      </c>
    </row>
    <row r="44" spans="1:11" x14ac:dyDescent="0.25">
      <c r="A44" t="s">
        <v>32</v>
      </c>
      <c r="B44" s="1">
        <v>2969580926</v>
      </c>
      <c r="C44" s="3">
        <v>4056087374</v>
      </c>
      <c r="D44" s="3">
        <v>5008530435</v>
      </c>
      <c r="E44" s="3">
        <v>6222842809</v>
      </c>
      <c r="F44" s="3">
        <v>5549921746</v>
      </c>
      <c r="G44" s="134">
        <f>Assumptions!G163</f>
        <v>5483330884.5199146</v>
      </c>
      <c r="H44" s="134">
        <f>Assumptions!H163</f>
        <v>5890221780.9690685</v>
      </c>
      <c r="I44" s="134">
        <f>Assumptions!I163</f>
        <v>6327352993.7969208</v>
      </c>
      <c r="J44" s="134">
        <f>Assumptions!J163</f>
        <v>6796975546.4435244</v>
      </c>
      <c r="K44" s="134">
        <f>Assumptions!K163</f>
        <v>7301508291.5385838</v>
      </c>
    </row>
    <row r="45" spans="1:11" x14ac:dyDescent="0.25">
      <c r="A45" t="s">
        <v>46</v>
      </c>
      <c r="B45" s="1">
        <v>1221764343</v>
      </c>
      <c r="C45" s="3">
        <v>508087497</v>
      </c>
      <c r="D45" s="3">
        <v>631105867</v>
      </c>
      <c r="E45" s="3">
        <v>884162202</v>
      </c>
      <c r="F45" s="3">
        <v>1312286700</v>
      </c>
      <c r="G45" s="134">
        <f>Assumptions!G167</f>
        <v>889740998.14676654</v>
      </c>
      <c r="H45" s="134">
        <f>Assumptions!H167</f>
        <v>931688094.90210724</v>
      </c>
      <c r="I45" s="134">
        <f>Assumptions!I167</f>
        <v>977292474.42515838</v>
      </c>
      <c r="J45" s="134">
        <f>Assumptions!J167</f>
        <v>1027041127.2004032</v>
      </c>
      <c r="K45" s="134">
        <f>Assumptions!K167</f>
        <v>1081090005.3304138</v>
      </c>
    </row>
    <row r="46" spans="1:11" x14ac:dyDescent="0.25">
      <c r="A46" t="s">
        <v>47</v>
      </c>
      <c r="B46" s="1">
        <v>731746</v>
      </c>
      <c r="C46" s="3">
        <v>1904628</v>
      </c>
      <c r="D46" s="3">
        <v>1735334</v>
      </c>
      <c r="E46" s="3">
        <v>338640</v>
      </c>
      <c r="F46" s="3">
        <v>0</v>
      </c>
      <c r="G46" s="134"/>
      <c r="H46" s="134"/>
      <c r="I46" s="134"/>
      <c r="J46" s="134"/>
      <c r="K46" s="134"/>
    </row>
    <row r="47" spans="1:11" x14ac:dyDescent="0.25">
      <c r="A47" t="s">
        <v>33</v>
      </c>
      <c r="B47" s="1">
        <v>254216512</v>
      </c>
      <c r="C47" s="3">
        <v>321919912</v>
      </c>
      <c r="D47" s="3">
        <v>376547920</v>
      </c>
      <c r="E47" s="3">
        <v>522095945</v>
      </c>
      <c r="F47" s="3">
        <v>356027694</v>
      </c>
      <c r="G47" s="134">
        <f>Assumptions!G171</f>
        <v>425680378.88140815</v>
      </c>
      <c r="H47" s="134">
        <f>Assumptions!H171</f>
        <v>457268016.87218684</v>
      </c>
      <c r="I47" s="134">
        <f>Assumptions!I171</f>
        <v>491203262.47678286</v>
      </c>
      <c r="J47" s="134">
        <f>Assumptions!J171</f>
        <v>527660866.50469714</v>
      </c>
      <c r="K47" s="134">
        <f>Assumptions!K171</f>
        <v>566828608.63320196</v>
      </c>
    </row>
    <row r="48" spans="1:11" x14ac:dyDescent="0.25">
      <c r="A48" t="s">
        <v>34</v>
      </c>
      <c r="B48" s="1">
        <v>111228128</v>
      </c>
      <c r="C48" s="3">
        <v>43852665</v>
      </c>
      <c r="D48" s="3">
        <v>50076662</v>
      </c>
      <c r="E48" s="3">
        <v>28525316</v>
      </c>
      <c r="F48" s="3">
        <v>48389290</v>
      </c>
      <c r="G48" s="134">
        <f>Assumptions!G176</f>
        <v>282072060</v>
      </c>
      <c r="H48" s="134">
        <f>Assumptions!H176</f>
        <v>328298398.94674408</v>
      </c>
      <c r="I48" s="134">
        <f>Assumptions!I176</f>
        <v>377954966.14155972</v>
      </c>
      <c r="J48" s="134">
        <f>Assumptions!J176</f>
        <v>431296697.70707351</v>
      </c>
      <c r="K48" s="134">
        <f>Assumptions!K176</f>
        <v>488597506.65691292</v>
      </c>
    </row>
    <row r="49" spans="1:11" x14ac:dyDescent="0.25">
      <c r="A49" t="s">
        <v>35</v>
      </c>
      <c r="B49" s="1">
        <v>422607597</v>
      </c>
      <c r="C49" s="3">
        <v>710913034</v>
      </c>
      <c r="D49" s="3">
        <v>726840644</v>
      </c>
      <c r="E49" s="3">
        <v>826099700</v>
      </c>
      <c r="F49" s="3">
        <v>744205043</v>
      </c>
      <c r="G49" s="134">
        <f>Assumptions!G180</f>
        <v>788827989.59140205</v>
      </c>
      <c r="H49" s="134">
        <f>Assumptions!H180</f>
        <v>868831151.26075697</v>
      </c>
      <c r="I49" s="134">
        <f>Assumptions!I180</f>
        <v>945370480.13489676</v>
      </c>
      <c r="J49" s="134">
        <f>Assumptions!J180</f>
        <v>1084798377.0067384</v>
      </c>
      <c r="K49" s="134">
        <f>Assumptions!K180</f>
        <v>1064497665.0945095</v>
      </c>
    </row>
    <row r="50" spans="1:11" x14ac:dyDescent="0.25">
      <c r="A50" t="s">
        <v>39</v>
      </c>
      <c r="C50" s="3"/>
      <c r="D50" s="3"/>
      <c r="E50" s="3">
        <v>36154011</v>
      </c>
      <c r="F50" s="3">
        <v>24908856</v>
      </c>
      <c r="G50" s="134">
        <f>Assumptions!G184</f>
        <v>17161335.355812553</v>
      </c>
      <c r="H50" s="134">
        <f>Assumptions!H184</f>
        <v>11823563.121271485</v>
      </c>
      <c r="I50" s="134">
        <f>Assumptions!I184</f>
        <v>0</v>
      </c>
      <c r="J50" s="134">
        <f>Assumptions!J184</f>
        <v>0</v>
      </c>
      <c r="K50" s="134">
        <f>Assumptions!K184</f>
        <v>0</v>
      </c>
    </row>
    <row r="51" spans="1:11" x14ac:dyDescent="0.25">
      <c r="A51" t="s">
        <v>41</v>
      </c>
      <c r="C51" s="3"/>
      <c r="D51" s="3"/>
      <c r="E51" s="3"/>
      <c r="F51" s="3">
        <v>3632731</v>
      </c>
      <c r="G51" s="134">
        <f>Assumptions!G187</f>
        <v>2906184.8000000003</v>
      </c>
      <c r="H51" s="134">
        <f>Assumptions!H187</f>
        <v>2179638.6</v>
      </c>
      <c r="I51" s="134">
        <f>Assumptions!I187</f>
        <v>1453092.4000000001</v>
      </c>
      <c r="J51" s="134">
        <f>Assumptions!J187</f>
        <v>726546.20000000007</v>
      </c>
      <c r="K51" s="134">
        <f>Assumptions!K187</f>
        <v>0</v>
      </c>
    </row>
    <row r="52" spans="1:11" s="2" customFormat="1" x14ac:dyDescent="0.25">
      <c r="A52" s="2" t="s">
        <v>36</v>
      </c>
      <c r="B52" s="4">
        <f>SUM(B43:B51)</f>
        <v>5246677342</v>
      </c>
      <c r="C52" s="4">
        <f>SUM(C43:C51)</f>
        <v>6520925515</v>
      </c>
      <c r="D52" s="4">
        <f t="shared" ref="D52" si="11">SUM(D43:D51)</f>
        <v>8586288964</v>
      </c>
      <c r="E52" s="4">
        <f>SUM(E43:E51)</f>
        <v>10292157491</v>
      </c>
      <c r="F52" s="4">
        <f>SUM(F43:F51)</f>
        <v>10132155106</v>
      </c>
      <c r="G52" s="136">
        <f>SUM(G42:G51)</f>
        <v>9900192563.7199841</v>
      </c>
      <c r="H52" s="136">
        <f t="shared" ref="H52:K52" si="12">SUM(H43:H51)</f>
        <v>10649970626.528049</v>
      </c>
      <c r="I52" s="136">
        <f t="shared" si="12"/>
        <v>11440562164.854116</v>
      </c>
      <c r="J52" s="136">
        <f t="shared" si="12"/>
        <v>12360621975.985083</v>
      </c>
      <c r="K52" s="136">
        <f t="shared" si="12"/>
        <v>13179632693.932426</v>
      </c>
    </row>
    <row r="53" spans="1:11" s="2" customFormat="1" x14ac:dyDescent="0.25">
      <c r="A53" s="2" t="s">
        <v>38</v>
      </c>
      <c r="B53" s="4">
        <f>B52+B40</f>
        <v>7714041014</v>
      </c>
      <c r="C53" s="4">
        <f>C52+C40</f>
        <v>8795358696</v>
      </c>
      <c r="D53" s="4">
        <f>D52+D40</f>
        <v>10574354612</v>
      </c>
      <c r="E53" s="4">
        <f>E52+E40</f>
        <v>13957548733</v>
      </c>
      <c r="F53" s="4">
        <f>F52+F40</f>
        <v>14850592257</v>
      </c>
      <c r="G53" s="136">
        <f t="shared" ref="G53:K53" si="13">G52+G40</f>
        <v>13262693422.764322</v>
      </c>
      <c r="H53" s="136">
        <f t="shared" si="13"/>
        <v>14175701227.794348</v>
      </c>
      <c r="I53" s="136">
        <f t="shared" si="13"/>
        <v>15142118298.015619</v>
      </c>
      <c r="J53" s="136">
        <f t="shared" si="13"/>
        <v>16253190190.582083</v>
      </c>
      <c r="K53" s="136">
        <f t="shared" si="13"/>
        <v>17282174898.84351</v>
      </c>
    </row>
    <row r="54" spans="1:11" ht="17.25" x14ac:dyDescent="0.4">
      <c r="A54" s="2" t="s">
        <v>37</v>
      </c>
      <c r="B54" s="5">
        <f>B53+B34</f>
        <v>13800401400</v>
      </c>
      <c r="C54" s="5">
        <f>C53+C34</f>
        <v>15352350573</v>
      </c>
      <c r="D54" s="5">
        <f>D53+D34</f>
        <v>18722943835</v>
      </c>
      <c r="E54" s="5">
        <f>E53+E34</f>
        <v>22318140701</v>
      </c>
      <c r="F54" s="5">
        <f>F53+F34</f>
        <v>23527431878</v>
      </c>
      <c r="G54" s="138">
        <f t="shared" ref="G54:K54" si="14">G53+G34</f>
        <v>22781603553.83033</v>
      </c>
      <c r="H54" s="138">
        <f t="shared" si="14"/>
        <v>24606142404.071472</v>
      </c>
      <c r="I54" s="138">
        <f t="shared" si="14"/>
        <v>26580685198.447243</v>
      </c>
      <c r="J54" s="138">
        <f t="shared" si="14"/>
        <v>28816550225.263878</v>
      </c>
      <c r="K54" s="138">
        <f t="shared" si="14"/>
        <v>31113165297.519302</v>
      </c>
    </row>
    <row r="57" spans="1:11" x14ac:dyDescent="0.25">
      <c r="A57" s="2"/>
      <c r="B57" s="53"/>
      <c r="C57" s="53"/>
      <c r="D57" s="53"/>
      <c r="E57" s="53"/>
      <c r="F57" s="53"/>
      <c r="G57" s="53"/>
      <c r="H57" s="53"/>
      <c r="I57" s="53"/>
      <c r="J57" s="53"/>
      <c r="K57" s="53"/>
    </row>
    <row r="58" spans="1:11" x14ac:dyDescent="0.25">
      <c r="G58" s="93"/>
      <c r="H58" s="93"/>
      <c r="I58" s="93"/>
      <c r="J58" s="93"/>
      <c r="K58" s="93"/>
    </row>
    <row r="59" spans="1:11" x14ac:dyDescent="0.25">
      <c r="F59" s="53"/>
      <c r="G59" s="53"/>
    </row>
    <row r="60" spans="1:11" x14ac:dyDescent="0.25">
      <c r="F60" s="3"/>
      <c r="G60" s="3"/>
      <c r="H60" s="3"/>
      <c r="I60" s="3"/>
      <c r="J60" s="3"/>
    </row>
  </sheetData>
  <mergeCells count="2">
    <mergeCell ref="B2:F2"/>
    <mergeCell ref="G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5"/>
  <sheetViews>
    <sheetView workbookViewId="0">
      <selection activeCell="K22" sqref="K22"/>
    </sheetView>
  </sheetViews>
  <sheetFormatPr defaultRowHeight="15" x14ac:dyDescent="0.25"/>
  <cols>
    <col min="1" max="1" width="57.42578125" bestFit="1" customWidth="1"/>
    <col min="2" max="2" width="11" bestFit="1" customWidth="1"/>
    <col min="7" max="9" width="11" bestFit="1" customWidth="1"/>
    <col min="10" max="11" width="12" bestFit="1" customWidth="1"/>
  </cols>
  <sheetData>
    <row r="1" spans="1:11" ht="15.75" thickBot="1" x14ac:dyDescent="0.3"/>
    <row r="2" spans="1:11" x14ac:dyDescent="0.25">
      <c r="A2" s="10" t="str">
        <f>'Proforma Income Statement'!A3</f>
        <v>Particulars</v>
      </c>
      <c r="B2" s="129" t="str">
        <f>'Proforma Income Statement'!B3</f>
        <v>2016-17</v>
      </c>
      <c r="C2" s="129" t="str">
        <f>'Proforma Income Statement'!C3</f>
        <v>2017-18</v>
      </c>
      <c r="D2" s="129" t="str">
        <f>'Proforma Income Statement'!D3</f>
        <v>2018-19</v>
      </c>
      <c r="E2" s="129" t="str">
        <f>'Proforma Income Statement'!E3</f>
        <v>2019-20</v>
      </c>
      <c r="F2" s="129" t="str">
        <f>'Proforma Income Statement'!F3</f>
        <v>2020-21</v>
      </c>
      <c r="G2" s="129" t="str">
        <f>'Proforma Income Statement'!G3</f>
        <v>2021-22</v>
      </c>
      <c r="H2" s="129" t="str">
        <f>'Proforma Income Statement'!H3</f>
        <v>2022-23</v>
      </c>
      <c r="I2" s="129" t="str">
        <f>'Proforma Income Statement'!I3</f>
        <v>2023-24</v>
      </c>
      <c r="J2" s="129" t="str">
        <f>'Proforma Income Statement'!J3</f>
        <v>2024-25</v>
      </c>
      <c r="K2" s="130" t="str">
        <f>'Proforma Income Statement'!K3</f>
        <v>2025-26</v>
      </c>
    </row>
    <row r="3" spans="1:11" x14ac:dyDescent="0.25">
      <c r="A3" s="14"/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1" x14ac:dyDescent="0.25">
      <c r="A4" s="14" t="str">
        <f>'Proforma Income Statement'!A5</f>
        <v>Sales</v>
      </c>
      <c r="B4" s="15">
        <f>'Proforma Income Statement'!B5/'Proforma Income Statement'!$B$5</f>
        <v>1</v>
      </c>
      <c r="C4" s="15">
        <f>'Proforma Income Statement'!C5/'Proforma Income Statement'!$C$5</f>
        <v>1</v>
      </c>
      <c r="D4" s="15">
        <f>'Proforma Income Statement'!D5/'Proforma Income Statement'!$D$5</f>
        <v>1</v>
      </c>
      <c r="E4" s="15">
        <f>'Proforma Income Statement'!E5/'Proforma Income Statement'!$E$5</f>
        <v>1</v>
      </c>
      <c r="F4" s="15">
        <f>'Proforma Income Statement'!F5/'Proforma Income Statement'!$F$5</f>
        <v>1</v>
      </c>
      <c r="G4" s="15">
        <f>'Proforma Income Statement'!G5/'Proforma Income Statement'!$G$5</f>
        <v>1</v>
      </c>
      <c r="H4" s="15">
        <f>'Proforma Income Statement'!H5/'Proforma Income Statement'!$H$5</f>
        <v>1</v>
      </c>
      <c r="I4" s="15">
        <f>'Proforma Income Statement'!I5/'Proforma Income Statement'!$I$5</f>
        <v>1</v>
      </c>
      <c r="J4" s="15">
        <f>'Proforma Income Statement'!J5/'Proforma Income Statement'!$J$5</f>
        <v>1</v>
      </c>
      <c r="K4" s="39">
        <f>'Proforma Income Statement'!K5/'Proforma Income Statement'!$K$5</f>
        <v>1</v>
      </c>
    </row>
    <row r="5" spans="1:11" x14ac:dyDescent="0.25">
      <c r="A5" s="14" t="str">
        <f>'Proforma Income Statement'!A6</f>
        <v>Less: Cost of sales</v>
      </c>
      <c r="B5" s="15">
        <f>'Proforma Income Statement'!B6/'Proforma Income Statement'!$B$5</f>
        <v>0.74614365122012605</v>
      </c>
      <c r="C5" s="15">
        <f>'Proforma Income Statement'!C6/'Proforma Income Statement'!$C$5</f>
        <v>0.74123016707526257</v>
      </c>
      <c r="D5" s="15">
        <f>'Proforma Income Statement'!D6/'Proforma Income Statement'!$D$5</f>
        <v>0.74100696813106837</v>
      </c>
      <c r="E5" s="15">
        <f>'Proforma Income Statement'!E6/'Proforma Income Statement'!$E$5</f>
        <v>0.73560718338243192</v>
      </c>
      <c r="F5" s="15">
        <f>'Proforma Income Statement'!F6/'Proforma Income Statement'!$F$5</f>
        <v>0.72031351485321904</v>
      </c>
      <c r="G5" s="15">
        <f>'Proforma Income Statement'!G6/'Proforma Income Statement'!$G$5</f>
        <v>0.72796034911782548</v>
      </c>
      <c r="H5" s="15">
        <f>'Proforma Income Statement'!H6/'Proforma Income Statement'!$H$5</f>
        <v>0.72796034911782548</v>
      </c>
      <c r="I5" s="15">
        <f>'Proforma Income Statement'!I6/'Proforma Income Statement'!$I$5</f>
        <v>0.72796034911782537</v>
      </c>
      <c r="J5" s="15">
        <f>'Proforma Income Statement'!J6/'Proforma Income Statement'!$J$5</f>
        <v>0.72796034911782548</v>
      </c>
      <c r="K5" s="39">
        <f>'Proforma Income Statement'!K6/'Proforma Income Statement'!$K$5</f>
        <v>0.72796034911782548</v>
      </c>
    </row>
    <row r="6" spans="1:11" x14ac:dyDescent="0.25">
      <c r="A6" s="14" t="str">
        <f>'Proforma Income Statement'!A7</f>
        <v>Gross profit</v>
      </c>
      <c r="B6" s="15">
        <f>'Proforma Income Statement'!B7/'Proforma Income Statement'!$B$5</f>
        <v>0.25385634877987401</v>
      </c>
      <c r="C6" s="15">
        <f>'Proforma Income Statement'!C7/'Proforma Income Statement'!$C$5</f>
        <v>0.25876983292473743</v>
      </c>
      <c r="D6" s="15">
        <f>'Proforma Income Statement'!D7/'Proforma Income Statement'!$D$5</f>
        <v>0.25899303186893163</v>
      </c>
      <c r="E6" s="15">
        <f>'Proforma Income Statement'!E7/'Proforma Income Statement'!$E$5</f>
        <v>0.26439281661756808</v>
      </c>
      <c r="F6" s="15">
        <f>'Proforma Income Statement'!F7/'Proforma Income Statement'!$F$5</f>
        <v>0.27968648514678096</v>
      </c>
      <c r="G6" s="15">
        <f>'Proforma Income Statement'!G7/'Proforma Income Statement'!$G$5</f>
        <v>0.27203965088217452</v>
      </c>
      <c r="H6" s="15">
        <f>'Proforma Income Statement'!H7/'Proforma Income Statement'!$H$5</f>
        <v>0.27203965088217458</v>
      </c>
      <c r="I6" s="15">
        <f>'Proforma Income Statement'!I7/'Proforma Income Statement'!$I$5</f>
        <v>0.27203965088217458</v>
      </c>
      <c r="J6" s="15">
        <f>'Proforma Income Statement'!J7/'Proforma Income Statement'!$J$5</f>
        <v>0.27203965088217447</v>
      </c>
      <c r="K6" s="39">
        <f>'Proforma Income Statement'!K7/'Proforma Income Statement'!$K$5</f>
        <v>0.27203965088217452</v>
      </c>
    </row>
    <row r="7" spans="1:11" x14ac:dyDescent="0.25">
      <c r="A7" s="14" t="str">
        <f>'Proforma Income Statement'!A8</f>
        <v>Operating expenses</v>
      </c>
      <c r="B7" s="15">
        <f>'Proforma Income Statement'!B8/'Proforma Income Statement'!$B$5</f>
        <v>0.11835642591461748</v>
      </c>
      <c r="C7" s="15">
        <f>'Proforma Income Statement'!C8/'Proforma Income Statement'!$C$5</f>
        <v>0.12600459588446933</v>
      </c>
      <c r="D7" s="15">
        <f>'Proforma Income Statement'!D8/'Proforma Income Statement'!$D$5</f>
        <v>0.13148801205438829</v>
      </c>
      <c r="E7" s="15">
        <f>'Proforma Income Statement'!E8/'Proforma Income Statement'!$E$5</f>
        <v>0.16683249491580832</v>
      </c>
      <c r="F7" s="15">
        <f>'Proforma Income Statement'!F8/'Proforma Income Statement'!$F$5</f>
        <v>0.1660931424003253</v>
      </c>
      <c r="G7" s="15">
        <f>'Proforma Income Statement'!G8/'Proforma Income Statement'!$G$5</f>
        <v>0.16899427288504504</v>
      </c>
      <c r="H7" s="15">
        <f>'Proforma Income Statement'!H8/'Proforma Income Statement'!$H$5</f>
        <v>0.17228929686543248</v>
      </c>
      <c r="I7" s="15">
        <f>'Proforma Income Statement'!I8/'Proforma Income Statement'!$I$5</f>
        <v>0.17598662214712432</v>
      </c>
      <c r="J7" s="15">
        <f>'Proforma Income Statement'!J8/'Proforma Income Statement'!$J$5</f>
        <v>0.18010414834712118</v>
      </c>
      <c r="K7" s="39">
        <f>'Proforma Income Statement'!K8/'Proforma Income Statement'!$K$5</f>
        <v>0.18466989182078852</v>
      </c>
    </row>
    <row r="8" spans="1:11" x14ac:dyDescent="0.25">
      <c r="A8" s="14" t="str">
        <f>'Proforma Income Statement'!A9</f>
        <v>Selling &amp; Distribution expenses</v>
      </c>
      <c r="B8" s="15">
        <f>'Proforma Income Statement'!B9/'Proforma Income Statement'!$B$5</f>
        <v>8.9887150191189813E-2</v>
      </c>
      <c r="C8" s="15">
        <f>'Proforma Income Statement'!C9/'Proforma Income Statement'!$C$5</f>
        <v>0.10043930041933954</v>
      </c>
      <c r="D8" s="15">
        <f>'Proforma Income Statement'!D9/'Proforma Income Statement'!$D$5</f>
        <v>0.10079360552561058</v>
      </c>
      <c r="E8" s="15">
        <f>'Proforma Income Statement'!E9/'Proforma Income Statement'!$E$5</f>
        <v>0.12817138142179063</v>
      </c>
      <c r="F8" s="15">
        <f>'Proforma Income Statement'!F9/'Proforma Income Statement'!$F$5</f>
        <v>0.13045401713875687</v>
      </c>
      <c r="G8" s="15">
        <f>'Proforma Income Statement'!G9/'Proforma Income Statement'!$G$5</f>
        <v>0.13332214441725196</v>
      </c>
      <c r="H8" s="15">
        <f>'Proforma Income Statement'!H9/'Proforma Income Statement'!$H$5</f>
        <v>0.13625231989702696</v>
      </c>
      <c r="I8" s="15">
        <f>'Proforma Income Statement'!I9/'Proforma Income Statement'!$I$5</f>
        <v>0.13924586194147631</v>
      </c>
      <c r="J8" s="15">
        <f>'Proforma Income Statement'!J9/'Proforma Income Statement'!$J$5</f>
        <v>0.14230411637893794</v>
      </c>
      <c r="K8" s="39">
        <f>'Proforma Income Statement'!K9/'Proforma Income Statement'!$K$5</f>
        <v>0.14542845706297305</v>
      </c>
    </row>
    <row r="9" spans="1:11" x14ac:dyDescent="0.25">
      <c r="A9" s="14" t="str">
        <f>'Proforma Income Statement'!A10</f>
        <v>Administrative expenses</v>
      </c>
      <c r="B9" s="15">
        <f>'Proforma Income Statement'!B10/'Proforma Income Statement'!$B$5</f>
        <v>2.8469275723427671E-2</v>
      </c>
      <c r="C9" s="15">
        <f>'Proforma Income Statement'!C10/'Proforma Income Statement'!$C$5</f>
        <v>2.5565295465129787E-2</v>
      </c>
      <c r="D9" s="15">
        <f>'Proforma Income Statement'!D10/'Proforma Income Statement'!$D$5</f>
        <v>3.0694406528777699E-2</v>
      </c>
      <c r="E9" s="15">
        <f>'Proforma Income Statement'!E10/'Proforma Income Statement'!$E$5</f>
        <v>3.8661113494017664E-2</v>
      </c>
      <c r="F9" s="15">
        <f>'Proforma Income Statement'!F10/'Proforma Income Statement'!$F$5</f>
        <v>3.5639125261568427E-2</v>
      </c>
      <c r="G9" s="15">
        <f>'Proforma Income Statement'!G10/'Proforma Income Statement'!$G$5</f>
        <v>3.5672128467793107E-2</v>
      </c>
      <c r="H9" s="15">
        <f>'Proforma Income Statement'!H10/'Proforma Income Statement'!$H$5</f>
        <v>3.6036976968405528E-2</v>
      </c>
      <c r="I9" s="15">
        <f>'Proforma Income Statement'!I10/'Proforma Income Statement'!$I$5</f>
        <v>3.6740760205647996E-2</v>
      </c>
      <c r="J9" s="15">
        <f>'Proforma Income Statement'!J10/'Proforma Income Statement'!$J$5</f>
        <v>3.7800031968183233E-2</v>
      </c>
      <c r="K9" s="39">
        <f>'Proforma Income Statement'!K10/'Proforma Income Statement'!$K$5</f>
        <v>3.9241434757815462E-2</v>
      </c>
    </row>
    <row r="10" spans="1:11" x14ac:dyDescent="0.25">
      <c r="A10" s="14" t="str">
        <f>'Proforma Income Statement'!A11</f>
        <v>Operating profit</v>
      </c>
      <c r="B10" s="15">
        <f>'Proforma Income Statement'!B11/'Proforma Income Statement'!$B$5</f>
        <v>0.1354999228652565</v>
      </c>
      <c r="C10" s="15">
        <f>'Proforma Income Statement'!C11/'Proforma Income Statement'!$C$5</f>
        <v>0.13276523704026813</v>
      </c>
      <c r="D10" s="15">
        <f>'Proforma Income Statement'!D11/'Proforma Income Statement'!$D$5</f>
        <v>0.12750501981454337</v>
      </c>
      <c r="E10" s="15">
        <f>'Proforma Income Statement'!E11/'Proforma Income Statement'!$E$5</f>
        <v>9.7560321701759767E-2</v>
      </c>
      <c r="F10" s="15">
        <f>'Proforma Income Statement'!F11/'Proforma Income Statement'!$F$5</f>
        <v>0.11359334274645563</v>
      </c>
      <c r="G10" s="15">
        <f>'Proforma Income Statement'!G11/'Proforma Income Statement'!$G$5</f>
        <v>0.10304537799712948</v>
      </c>
      <c r="H10" s="15">
        <f>'Proforma Income Statement'!H11/'Proforma Income Statement'!$H$5</f>
        <v>9.9750354016742079E-2</v>
      </c>
      <c r="I10" s="15">
        <f>'Proforma Income Statement'!I11/'Proforma Income Statement'!$I$5</f>
        <v>9.6053028735050269E-2</v>
      </c>
      <c r="J10" s="15">
        <f>'Proforma Income Statement'!J11/'Proforma Income Statement'!$J$5</f>
        <v>9.1935502535053282E-2</v>
      </c>
      <c r="K10" s="39">
        <f>'Proforma Income Statement'!K11/'Proforma Income Statement'!$K$5</f>
        <v>8.7369759061386013E-2</v>
      </c>
    </row>
    <row r="11" spans="1:11" x14ac:dyDescent="0.25">
      <c r="A11" s="14" t="str">
        <f>'Proforma Income Statement'!A12</f>
        <v>Other Income/Miscellaneous Income</v>
      </c>
      <c r="B11" s="15">
        <f>'Proforma Income Statement'!B12/'Proforma Income Statement'!$B$5</f>
        <v>1.4462131349250529E-2</v>
      </c>
      <c r="C11" s="15">
        <f>'Proforma Income Statement'!C12/'Proforma Income Statement'!$C$5</f>
        <v>7.5785790804332766E-3</v>
      </c>
      <c r="D11" s="15">
        <f>'Proforma Income Statement'!D12/'Proforma Income Statement'!$D$5</f>
        <v>2.041459006842631E-2</v>
      </c>
      <c r="E11" s="15">
        <f>'Proforma Income Statement'!E12/'Proforma Income Statement'!$E$5</f>
        <v>2.6970536963312166E-2</v>
      </c>
      <c r="F11" s="15">
        <f>'Proforma Income Statement'!F12/'Proforma Income Statement'!$F$5</f>
        <v>2.9689184505497665E-2</v>
      </c>
      <c r="G11" s="15">
        <f>'Proforma Income Statement'!G12/'Proforma Income Statement'!$G$5</f>
        <v>3.1740125391627703E-2</v>
      </c>
      <c r="H11" s="15">
        <f>'Proforma Income Statement'!H12/'Proforma Income Statement'!$H$5</f>
        <v>3.3932494651931148E-2</v>
      </c>
      <c r="I11" s="15">
        <f>'Proforma Income Statement'!I12/'Proforma Income Statement'!$I$5</f>
        <v>3.6276027106312891E-2</v>
      </c>
      <c r="J11" s="15">
        <f>'Proforma Income Statement'!J12/'Proforma Income Statement'!$J$5</f>
        <v>3.8781126393870921E-2</v>
      </c>
      <c r="K11" s="39">
        <f>'Proforma Income Statement'!K12/'Proforma Income Statement'!$K$5</f>
        <v>4.1458910835928182E-2</v>
      </c>
    </row>
    <row r="12" spans="1:11" x14ac:dyDescent="0.25">
      <c r="A12" s="14" t="str">
        <f>'Proforma Income Statement'!A13</f>
        <v>Finance costs</v>
      </c>
      <c r="B12" s="15">
        <f>'Proforma Income Statement'!B13/'Proforma Income Statement'!$B$5</f>
        <v>5.9344899388119078E-2</v>
      </c>
      <c r="C12" s="15">
        <f>'Proforma Income Statement'!C13/'Proforma Income Statement'!$C$5</f>
        <v>5.1237104154248522E-2</v>
      </c>
      <c r="D12" s="15">
        <f>'Proforma Income Statement'!D13/'Proforma Income Statement'!$D$5</f>
        <v>5.8911735315205153E-2</v>
      </c>
      <c r="E12" s="15">
        <f>'Proforma Income Statement'!E13/'Proforma Income Statement'!$E$5</f>
        <v>6.7768029995584025E-2</v>
      </c>
      <c r="F12" s="15">
        <f>'Proforma Income Statement'!F13/'Proforma Income Statement'!$F$5</f>
        <v>5.6099180696055559E-2</v>
      </c>
      <c r="G12" s="15">
        <f>'Proforma Income Statement'!G13/'Proforma Income Statement'!$G$5</f>
        <v>5.8672189909842479E-2</v>
      </c>
      <c r="H12" s="15">
        <f>'Proforma Income Statement'!H13/'Proforma Income Statement'!$H$5</f>
        <v>5.8672189909842479E-2</v>
      </c>
      <c r="I12" s="15">
        <f>'Proforma Income Statement'!I13/'Proforma Income Statement'!$I$5</f>
        <v>5.8672189909842472E-2</v>
      </c>
      <c r="J12" s="15">
        <f>'Proforma Income Statement'!J13/'Proforma Income Statement'!$J$5</f>
        <v>5.8672189909842472E-2</v>
      </c>
      <c r="K12" s="39">
        <f>'Proforma Income Statement'!K13/'Proforma Income Statement'!$K$5</f>
        <v>5.8672189909842479E-2</v>
      </c>
    </row>
    <row r="13" spans="1:11" x14ac:dyDescent="0.25">
      <c r="A13" s="14" t="str">
        <f>'Proforma Income Statement'!A14</f>
        <v>Profit before contribution to workers' profit participation fund</v>
      </c>
      <c r="B13" s="15">
        <f>'Proforma Income Statement'!B14/'Proforma Income Statement'!$B$5</f>
        <v>9.0617154826387949E-2</v>
      </c>
      <c r="C13" s="15">
        <f>'Proforma Income Statement'!C14/'Proforma Income Statement'!$C$5</f>
        <v>8.9106711966452867E-2</v>
      </c>
      <c r="D13" s="15">
        <f>'Proforma Income Statement'!D14/'Proforma Income Statement'!$D$5</f>
        <v>8.9007874567764517E-2</v>
      </c>
      <c r="E13" s="15">
        <f>'Proforma Income Statement'!E14/'Proforma Income Statement'!$E$5</f>
        <v>5.6762828669487904E-2</v>
      </c>
      <c r="F13" s="15">
        <f>'Proforma Income Statement'!F14/'Proforma Income Statement'!$F$5</f>
        <v>8.7183346555897739E-2</v>
      </c>
      <c r="G13" s="15">
        <f>'Proforma Income Statement'!G14/'Proforma Income Statement'!$G$5</f>
        <v>7.6113313478914715E-2</v>
      </c>
      <c r="H13" s="15">
        <f>'Proforma Income Statement'!H14/'Proforma Income Statement'!$H$5</f>
        <v>7.5010658758830756E-2</v>
      </c>
      <c r="I13" s="15">
        <f>'Proforma Income Statement'!I14/'Proforma Income Statement'!$I$5</f>
        <v>7.3656865931520696E-2</v>
      </c>
      <c r="J13" s="15">
        <f>'Proforma Income Statement'!J14/'Proforma Income Statement'!$J$5</f>
        <v>7.2044439019081724E-2</v>
      </c>
      <c r="K13" s="39">
        <f>'Proforma Income Statement'!K14/'Proforma Income Statement'!$K$5</f>
        <v>7.0156479987471709E-2</v>
      </c>
    </row>
    <row r="14" spans="1:11" x14ac:dyDescent="0.25">
      <c r="A14" s="14" t="str">
        <f>'Proforma Income Statement'!A15</f>
        <v>Contribution to workers' profit participation fund</v>
      </c>
      <c r="B14" s="15">
        <f>'Proforma Income Statement'!B15/'Proforma Income Statement'!$B$5</f>
        <v>4.5543506532028568E-3</v>
      </c>
      <c r="C14" s="15">
        <f>'Proforma Income Statement'!C15/'Proforma Income Statement'!$C$5</f>
        <v>4.4020883069454814E-3</v>
      </c>
      <c r="D14" s="15">
        <f>'Proforma Income Statement'!D15/'Proforma Income Statement'!$D$5</f>
        <v>4.4743915397838525E-3</v>
      </c>
      <c r="E14" s="15">
        <f>'Proforma Income Statement'!E15/'Proforma Income Statement'!$E$5</f>
        <v>3.0138134083749772E-3</v>
      </c>
      <c r="F14" s="15">
        <f>'Proforma Income Statement'!F15/'Proforma Income Statement'!$F$5</f>
        <v>4.7712908728383815E-3</v>
      </c>
      <c r="G14" s="15">
        <f>'Proforma Income Statement'!G15/'Proforma Income Statement'!$G$5</f>
        <v>4.2431869562291101E-3</v>
      </c>
      <c r="H14" s="15">
        <f>'Proforma Income Statement'!H15/'Proforma Income Statement'!$H$5</f>
        <v>4.2431869562291101E-3</v>
      </c>
      <c r="I14" s="15">
        <f>'Proforma Income Statement'!I15/'Proforma Income Statement'!$I$5</f>
        <v>4.2431869562291101E-3</v>
      </c>
      <c r="J14" s="15">
        <f>'Proforma Income Statement'!J15/'Proforma Income Statement'!$J$5</f>
        <v>4.2431869562291101E-3</v>
      </c>
      <c r="K14" s="39">
        <f>'Proforma Income Statement'!K15/'Proforma Income Statement'!$K$5</f>
        <v>4.2431869562291101E-3</v>
      </c>
    </row>
    <row r="15" spans="1:11" x14ac:dyDescent="0.25">
      <c r="A15" s="14" t="str">
        <f>'Proforma Income Statement'!A16</f>
        <v>Share of Profit from Associate</v>
      </c>
      <c r="B15" s="15">
        <f>'Proforma Income Statement'!B16/'Proforma Income Statement'!$B$5</f>
        <v>2.5141216368058933E-4</v>
      </c>
      <c r="C15" s="15">
        <f>'Proforma Income Statement'!C16/'Proforma Income Statement'!$C$5</f>
        <v>1.6438356664926447E-4</v>
      </c>
      <c r="D15" s="15">
        <f>'Proforma Income Statement'!D16/'Proforma Income Statement'!$D$5</f>
        <v>0</v>
      </c>
      <c r="E15" s="15">
        <f>'Proforma Income Statement'!E16/'Proforma Income Statement'!$E$5</f>
        <v>0</v>
      </c>
      <c r="F15" s="15">
        <f>'Proforma Income Statement'!F16/'Proforma Income Statement'!$F$5</f>
        <v>0</v>
      </c>
      <c r="G15" s="15">
        <f>'Proforma Income Statement'!G16/'Proforma Income Statement'!$G$5</f>
        <v>0</v>
      </c>
      <c r="H15" s="15">
        <f>'Proforma Income Statement'!H16/'Proforma Income Statement'!$H$5</f>
        <v>0</v>
      </c>
      <c r="I15" s="15">
        <f>'Proforma Income Statement'!I16/'Proforma Income Statement'!$I$5</f>
        <v>0</v>
      </c>
      <c r="J15" s="15">
        <f>'Proforma Income Statement'!J16/'Proforma Income Statement'!$J$5</f>
        <v>0</v>
      </c>
      <c r="K15" s="39">
        <f>'Proforma Income Statement'!K16/'Proforma Income Statement'!$K$5</f>
        <v>0</v>
      </c>
    </row>
    <row r="16" spans="1:11" x14ac:dyDescent="0.25">
      <c r="A16" s="14" t="str">
        <f>'Proforma Income Statement'!A17</f>
        <v>Profit before taxation</v>
      </c>
      <c r="B16" s="15">
        <f>'Proforma Income Statement'!B17/'Proforma Income Statement'!$B$5</f>
        <v>8.6314216336865687E-2</v>
      </c>
      <c r="C16" s="15">
        <f>'Proforma Income Statement'!C17/'Proforma Income Statement'!$C$5</f>
        <v>8.4869007226156645E-2</v>
      </c>
      <c r="D16" s="15">
        <f>'Proforma Income Statement'!D17/'Proforma Income Statement'!$D$5</f>
        <v>8.4533483027980666E-2</v>
      </c>
      <c r="E16" s="15">
        <f>'Proforma Income Statement'!E17/'Proforma Income Statement'!$E$5</f>
        <v>5.374901526111292E-2</v>
      </c>
      <c r="F16" s="15">
        <f>'Proforma Income Statement'!F17/'Proforma Income Statement'!$F$5</f>
        <v>8.2412055683059357E-2</v>
      </c>
      <c r="G16" s="15">
        <f>'Proforma Income Statement'!G17/'Proforma Income Statement'!$G$5</f>
        <v>7.187012652268561E-2</v>
      </c>
      <c r="H16" s="15">
        <f>'Proforma Income Statement'!H17/'Proforma Income Statement'!$H$5</f>
        <v>7.076747180260165E-2</v>
      </c>
      <c r="I16" s="15">
        <f>'Proforma Income Statement'!I17/'Proforma Income Statement'!$I$5</f>
        <v>6.941367897529159E-2</v>
      </c>
      <c r="J16" s="15">
        <f>'Proforma Income Statement'!J17/'Proforma Income Statement'!$J$5</f>
        <v>6.7801252062852618E-2</v>
      </c>
      <c r="K16" s="39">
        <f>'Proforma Income Statement'!K17/'Proforma Income Statement'!$K$5</f>
        <v>6.5913293031242604E-2</v>
      </c>
    </row>
    <row r="17" spans="1:11" x14ac:dyDescent="0.25">
      <c r="A17" s="14" t="str">
        <f>'Proforma Income Statement'!A18</f>
        <v>Income tax expense</v>
      </c>
      <c r="B17" s="15">
        <f>'Proforma Income Statement'!B18/'Proforma Income Statement'!$B$5</f>
        <v>2.5727695858746458E-2</v>
      </c>
      <c r="C17" s="15">
        <f>'Proforma Income Statement'!C18/'Proforma Income Statement'!$C$5</f>
        <v>2.5414026112442704E-2</v>
      </c>
      <c r="D17" s="15">
        <f>'Proforma Income Statement'!D18/'Proforma Income Statement'!$D$5</f>
        <v>2.6199377001288424E-2</v>
      </c>
      <c r="E17" s="15">
        <f>'Proforma Income Statement'!E18/'Proforma Income Statement'!$E$5</f>
        <v>1.7745265031797675E-2</v>
      </c>
      <c r="F17" s="15">
        <f>'Proforma Income Statement'!F18/'Proforma Income Statement'!$F$5</f>
        <v>3.5683429403199053E-2</v>
      </c>
      <c r="G17" s="15">
        <f>'Proforma Income Statement'!G18/'Proforma Income Statement'!$G$5</f>
        <v>2.2759870648719472E-2</v>
      </c>
      <c r="H17" s="15">
        <f>'Proforma Income Statement'!H18/'Proforma Income Statement'!$H$5</f>
        <v>2.2392796838165634E-2</v>
      </c>
      <c r="I17" s="15">
        <f>'Proforma Income Statement'!I18/'Proforma Income Statement'!$I$5</f>
        <v>2.1856551569467836E-2</v>
      </c>
      <c r="J17" s="15">
        <f>'Proforma Income Statement'!J18/'Proforma Income Statement'!$J$5</f>
        <v>2.1317622454329537E-2</v>
      </c>
      <c r="K17" s="39">
        <f>'Proforma Income Statement'!K18/'Proforma Income Statement'!$K$5</f>
        <v>2.0920661143015128E-2</v>
      </c>
    </row>
    <row r="18" spans="1:11" x14ac:dyDescent="0.25">
      <c r="A18" s="14" t="str">
        <f>'Proforma Income Statement'!A19</f>
        <v>Current Tax</v>
      </c>
      <c r="B18" s="15">
        <f>'Proforma Income Statement'!B19/'Proforma Income Statement'!$B$5</f>
        <v>2.3977713596742702E-2</v>
      </c>
      <c r="C18" s="15">
        <f>'Proforma Income Statement'!C19/'Proforma Income Statement'!$C$5</f>
        <v>2.3621852796317649E-2</v>
      </c>
      <c r="D18" s="15">
        <f>'Proforma Income Statement'!D19/'Proforma Income Statement'!$D$5</f>
        <v>2.5028548862645449E-2</v>
      </c>
      <c r="E18" s="15">
        <f>'Proforma Income Statement'!E19/'Proforma Income Statement'!$E$5</f>
        <v>1.8027822149421262E-2</v>
      </c>
      <c r="F18" s="15">
        <f>'Proforma Income Statement'!F19/'Proforma Income Statement'!$F$5</f>
        <v>2.4983646121141522E-2</v>
      </c>
      <c r="G18" s="15">
        <f>'Proforma Income Statement'!G19/'Proforma Income Statement'!$G$5</f>
        <v>2.1428365425968803E-2</v>
      </c>
      <c r="H18" s="15">
        <f>'Proforma Income Statement'!H19/'Proforma Income Statement'!$H$5</f>
        <v>2.1099604514810948E-2</v>
      </c>
      <c r="I18" s="15">
        <f>'Proforma Income Statement'!I19/'Proforma Income Statement'!$I$5</f>
        <v>2.0695965773400098E-2</v>
      </c>
      <c r="J18" s="15">
        <f>'Proforma Income Statement'!J19/'Proforma Income Statement'!$J$5</f>
        <v>2.0215214245969539E-2</v>
      </c>
      <c r="K18" s="39">
        <f>'Proforma Income Statement'!K19/'Proforma Income Statement'!$K$5</f>
        <v>1.9652311716142658E-2</v>
      </c>
    </row>
    <row r="19" spans="1:11" x14ac:dyDescent="0.25">
      <c r="A19" s="14" t="str">
        <f>'Proforma Income Statement'!A20</f>
        <v>Provision for Tax</v>
      </c>
      <c r="B19" s="15">
        <f>'Proforma Income Statement'!B20/'Proforma Income Statement'!$B$5</f>
        <v>0</v>
      </c>
      <c r="C19" s="15">
        <f>'Proforma Income Statement'!C20/'Proforma Income Statement'!$C$5</f>
        <v>0</v>
      </c>
      <c r="D19" s="15">
        <f>'Proforma Income Statement'!D20/'Proforma Income Statement'!$D$5</f>
        <v>0</v>
      </c>
      <c r="E19" s="15">
        <f>'Proforma Income Statement'!E20/'Proforma Income Statement'!$E$5</f>
        <v>0</v>
      </c>
      <c r="F19" s="15">
        <f>'Proforma Income Statement'!F20/'Proforma Income Statement'!$F$5</f>
        <v>7.4576848781467177E-3</v>
      </c>
      <c r="G19" s="15">
        <f>'Proforma Income Statement'!G20/'Proforma Income Statement'!$G$5</f>
        <v>0</v>
      </c>
      <c r="H19" s="15">
        <f>'Proforma Income Statement'!H20/'Proforma Income Statement'!$H$5</f>
        <v>0</v>
      </c>
      <c r="I19" s="15">
        <f>'Proforma Income Statement'!I20/'Proforma Income Statement'!$I$5</f>
        <v>0</v>
      </c>
      <c r="J19" s="15">
        <f>'Proforma Income Statement'!J20/'Proforma Income Statement'!$J$5</f>
        <v>0</v>
      </c>
      <c r="K19" s="39">
        <f>'Proforma Income Statement'!K20/'Proforma Income Statement'!$K$5</f>
        <v>0</v>
      </c>
    </row>
    <row r="20" spans="1:11" x14ac:dyDescent="0.25">
      <c r="A20" s="14" t="str">
        <f>'Proforma Income Statement'!A21</f>
        <v>Deferred Tax</v>
      </c>
      <c r="B20" s="15">
        <f>'Proforma Income Statement'!B21/'Proforma Income Statement'!$B$5</f>
        <v>1.7499822620037563E-3</v>
      </c>
      <c r="C20" s="15">
        <f>'Proforma Income Statement'!C21/'Proforma Income Statement'!$C$5</f>
        <v>1.7921733161250545E-3</v>
      </c>
      <c r="D20" s="15">
        <f>'Proforma Income Statement'!D21/'Proforma Income Statement'!$D$5</f>
        <v>1.1708281386429748E-3</v>
      </c>
      <c r="E20" s="15">
        <f>'Proforma Income Statement'!E21/'Proforma Income Statement'!$E$5</f>
        <v>-2.8255711762358493E-4</v>
      </c>
      <c r="F20" s="15">
        <f>'Proforma Income Statement'!F21/'Proforma Income Statement'!$F$5</f>
        <v>3.2420984039108133E-3</v>
      </c>
      <c r="G20" s="15">
        <f>'Proforma Income Statement'!G21/'Proforma Income Statement'!$G$5</f>
        <v>1.3315052227506725E-3</v>
      </c>
      <c r="H20" s="15">
        <f>'Proforma Income Statement'!H21/'Proforma Income Statement'!$H$5</f>
        <v>1.2931923233546858E-3</v>
      </c>
      <c r="I20" s="15">
        <f>'Proforma Income Statement'!I21/'Proforma Income Statement'!$I$5</f>
        <v>1.1605857960677367E-3</v>
      </c>
      <c r="J20" s="15">
        <f>'Proforma Income Statement'!J21/'Proforma Income Statement'!$J$5</f>
        <v>1.1024082083599992E-3</v>
      </c>
      <c r="K20" s="39">
        <f>'Proforma Income Statement'!K21/'Proforma Income Statement'!$K$5</f>
        <v>1.2683494268724699E-3</v>
      </c>
    </row>
    <row r="21" spans="1:11" ht="15.75" thickBot="1" x14ac:dyDescent="0.3">
      <c r="A21" s="33" t="str">
        <f>'Proforma Income Statement'!A22</f>
        <v>Profit after tax</v>
      </c>
      <c r="B21" s="40">
        <f>'Proforma Income Statement'!B22/'Proforma Income Statement'!$B$5</f>
        <v>6.0586520478119223E-2</v>
      </c>
      <c r="C21" s="40">
        <f>'Proforma Income Statement'!C22/'Proforma Income Statement'!$C$5</f>
        <v>5.9454981113713945E-2</v>
      </c>
      <c r="D21" s="40">
        <f>'Proforma Income Statement'!D22/'Proforma Income Statement'!$D$5</f>
        <v>5.8334106026692249E-2</v>
      </c>
      <c r="E21" s="40">
        <f>'Proforma Income Statement'!E22/'Proforma Income Statement'!$E$5</f>
        <v>3.6003750229315248E-2</v>
      </c>
      <c r="F21" s="40">
        <f>'Proforma Income Statement'!F22/'Proforma Income Statement'!$F$5</f>
        <v>4.6728626279860304E-2</v>
      </c>
      <c r="G21" s="40">
        <f>'Proforma Income Statement'!G22/'Proforma Income Statement'!$G$5</f>
        <v>4.9110255873966134E-2</v>
      </c>
      <c r="H21" s="40">
        <f>'Proforma Income Statement'!H22/'Proforma Income Statement'!$H$5</f>
        <v>4.8374674964436017E-2</v>
      </c>
      <c r="I21" s="40">
        <f>'Proforma Income Statement'!I22/'Proforma Income Statement'!$I$5</f>
        <v>4.7557127405823754E-2</v>
      </c>
      <c r="J21" s="40">
        <f>'Proforma Income Statement'!J22/'Proforma Income Statement'!$J$5</f>
        <v>4.6483629608523085E-2</v>
      </c>
      <c r="K21" s="41">
        <f>'Proforma Income Statement'!K22/'Proforma Income Statement'!$K$5</f>
        <v>4.4992631888227483E-2</v>
      </c>
    </row>
    <row r="23" spans="1:11" ht="15.75" thickBot="1" x14ac:dyDescent="0.3"/>
    <row r="24" spans="1:11" x14ac:dyDescent="0.25">
      <c r="A24" s="10">
        <f>'Proforma Balance Sheet'!A2</f>
        <v>0</v>
      </c>
      <c r="B24" s="129" t="str">
        <f>'Proforma Balance Sheet'!B2</f>
        <v>Actual</v>
      </c>
      <c r="C24" s="129">
        <f>'Proforma Balance Sheet'!C2</f>
        <v>0</v>
      </c>
      <c r="D24" s="129">
        <f>'Proforma Balance Sheet'!D2</f>
        <v>0</v>
      </c>
      <c r="E24" s="129">
        <f>'Proforma Balance Sheet'!E2</f>
        <v>0</v>
      </c>
      <c r="F24" s="129">
        <f>'Proforma Balance Sheet'!F2</f>
        <v>0</v>
      </c>
      <c r="G24" s="129" t="str">
        <f>'Proforma Balance Sheet'!G2</f>
        <v>Forecasted</v>
      </c>
      <c r="H24" s="129">
        <f>'Proforma Balance Sheet'!H2</f>
        <v>0</v>
      </c>
      <c r="I24" s="129">
        <f>'Proforma Balance Sheet'!I2</f>
        <v>0</v>
      </c>
      <c r="J24" s="129">
        <f>'Proforma Balance Sheet'!J2</f>
        <v>0</v>
      </c>
      <c r="K24" s="130">
        <f>'Proforma Balance Sheet'!K2</f>
        <v>0</v>
      </c>
    </row>
    <row r="25" spans="1:11" x14ac:dyDescent="0.25">
      <c r="A25" s="14"/>
      <c r="B25" s="66"/>
      <c r="C25" s="66"/>
      <c r="D25" s="66"/>
      <c r="E25" s="66"/>
      <c r="F25" s="66"/>
      <c r="G25" s="66"/>
      <c r="H25" s="66"/>
      <c r="I25" s="66"/>
      <c r="J25" s="66"/>
      <c r="K25" s="67"/>
    </row>
    <row r="26" spans="1:11" x14ac:dyDescent="0.25">
      <c r="A26" s="14" t="str">
        <f>'Proforma Balance Sheet'!A4</f>
        <v>Assets</v>
      </c>
      <c r="B26" s="66"/>
      <c r="C26" s="66"/>
      <c r="D26" s="66"/>
      <c r="E26" s="66"/>
      <c r="F26" s="66"/>
      <c r="G26" s="66"/>
      <c r="H26" s="66"/>
      <c r="I26" s="66"/>
      <c r="J26" s="66"/>
      <c r="K26" s="67"/>
    </row>
    <row r="27" spans="1:11" x14ac:dyDescent="0.25">
      <c r="A27" s="14" t="str">
        <f>'Proforma Balance Sheet'!A5</f>
        <v>Non current assets:</v>
      </c>
      <c r="K27" s="95"/>
    </row>
    <row r="28" spans="1:11" x14ac:dyDescent="0.25">
      <c r="A28" s="14" t="str">
        <f>'Proforma Balance Sheet'!A6</f>
        <v>PPE</v>
      </c>
      <c r="B28" s="15">
        <f>'Proforma Balance Sheet'!B6/'Proforma Balance Sheet'!$B$23</f>
        <v>0.2912987924394721</v>
      </c>
      <c r="C28" s="15">
        <f>'Proforma Balance Sheet'!C6/'Proforma Balance Sheet'!$C$23</f>
        <v>0.26243100526154201</v>
      </c>
      <c r="D28" s="15">
        <f>'Proforma Balance Sheet'!D6/'Proforma Balance Sheet'!$D$23</f>
        <v>0.23118460628549975</v>
      </c>
      <c r="E28" s="15">
        <f>'Proforma Balance Sheet'!E6/'Proforma Balance Sheet'!$E$23</f>
        <v>0.19957149181338391</v>
      </c>
      <c r="F28" s="15">
        <f>'Proforma Balance Sheet'!F6/'Proforma Balance Sheet'!$F$23</f>
        <v>0.18970422565216277</v>
      </c>
      <c r="G28" s="15">
        <f>'Proforma Balance Sheet'!G6/'Proforma Balance Sheet'!$G$23</f>
        <v>0.19800351910977307</v>
      </c>
      <c r="H28" s="15">
        <f>'Proforma Balance Sheet'!H6/'Proforma Balance Sheet'!$H$23</f>
        <v>0.18829609069914374</v>
      </c>
      <c r="I28" s="15">
        <f>'Proforma Balance Sheet'!I6/'Proforma Balance Sheet'!$I$23</f>
        <v>0.17757972071099826</v>
      </c>
      <c r="J28" s="15">
        <f>'Proforma Balance Sheet'!J6/'Proforma Balance Sheet'!$J$23</f>
        <v>0.16737964351094015</v>
      </c>
      <c r="K28" s="39">
        <f>'Proforma Balance Sheet'!K6/'Proforma Balance Sheet'!$K$23</f>
        <v>0.15896172268322595</v>
      </c>
    </row>
    <row r="29" spans="1:11" x14ac:dyDescent="0.25">
      <c r="A29" s="14" t="str">
        <f>'Proforma Balance Sheet'!A7</f>
        <v>Intangible assets</v>
      </c>
      <c r="B29" s="15">
        <f>'Proforma Balance Sheet'!B7/'Proforma Balance Sheet'!$B$23</f>
        <v>7.9707826469453273E-5</v>
      </c>
      <c r="C29" s="15">
        <f>'Proforma Balance Sheet'!C7/'Proforma Balance Sheet'!$C$23</f>
        <v>4.2994914483053995E-5</v>
      </c>
      <c r="D29" s="15">
        <f>'Proforma Balance Sheet'!D7/'Proforma Balance Sheet'!$D$23</f>
        <v>4.8258114106552305E-3</v>
      </c>
      <c r="E29" s="15">
        <f>'Proforma Balance Sheet'!E7/'Proforma Balance Sheet'!$E$23</f>
        <v>3.6376704534352182E-3</v>
      </c>
      <c r="F29" s="15">
        <f>'Proforma Balance Sheet'!F7/'Proforma Balance Sheet'!$F$23</f>
        <v>3.2036241520469444E-3</v>
      </c>
      <c r="G29" s="15">
        <f>'Proforma Balance Sheet'!G7/'Proforma Balance Sheet'!$G$23</f>
        <v>3.1377832186046976E-3</v>
      </c>
      <c r="H29" s="15">
        <f>'Proforma Balance Sheet'!H7/'Proforma Balance Sheet'!$H$23</f>
        <v>2.8283796409401467E-3</v>
      </c>
      <c r="I29" s="15">
        <f>'Proforma Balance Sheet'!I7/'Proforma Balance Sheet'!$I$23</f>
        <v>2.5523827147772857E-3</v>
      </c>
      <c r="J29" s="15">
        <f>'Proforma Balance Sheet'!J7/'Proforma Balance Sheet'!$J$23</f>
        <v>2.3225762851973712E-3</v>
      </c>
      <c r="K29" s="39">
        <f>'Proforma Balance Sheet'!K7/'Proforma Balance Sheet'!$K$23</f>
        <v>2.1490988077618673E-3</v>
      </c>
    </row>
    <row r="30" spans="1:11" x14ac:dyDescent="0.25">
      <c r="A30" s="14" t="str">
        <f>'Proforma Balance Sheet'!A8</f>
        <v>Capital work in progress</v>
      </c>
      <c r="B30" s="15">
        <f>'Proforma Balance Sheet'!B8/'Proforma Balance Sheet'!$B$23</f>
        <v>1.1067247362819461E-2</v>
      </c>
      <c r="C30" s="15">
        <f>'Proforma Balance Sheet'!C8/'Proforma Balance Sheet'!$C$23</f>
        <v>3.5446890520925575E-2</v>
      </c>
      <c r="D30" s="15">
        <f>'Proforma Balance Sheet'!D8/'Proforma Balance Sheet'!$D$23</f>
        <v>1.3456032887789732E-2</v>
      </c>
      <c r="E30" s="15">
        <f>'Proforma Balance Sheet'!E8/'Proforma Balance Sheet'!$E$23</f>
        <v>1.3597342542069376E-2</v>
      </c>
      <c r="F30" s="15">
        <f>'Proforma Balance Sheet'!F8/'Proforma Balance Sheet'!$F$23</f>
        <v>2.2063086089960712E-2</v>
      </c>
      <c r="G30" s="15">
        <f>'Proforma Balance Sheet'!G8/'Proforma Balance Sheet'!$G$23</f>
        <v>2.5656469523009467E-2</v>
      </c>
      <c r="H30" s="15">
        <f>'Proforma Balance Sheet'!H8/'Proforma Balance Sheet'!$H$23</f>
        <v>2.7171002070788045E-2</v>
      </c>
      <c r="I30" s="15">
        <f>'Proforma Balance Sheet'!I8/'Proforma Balance Sheet'!$I$23</f>
        <v>2.8510167078575944E-2</v>
      </c>
      <c r="J30" s="15">
        <f>'Proforma Balance Sheet'!J8/'Proforma Balance Sheet'!$J$23</f>
        <v>2.9857146708832952E-2</v>
      </c>
      <c r="K30" s="39">
        <f>'Proforma Balance Sheet'!K8/'Proforma Balance Sheet'!$K$23</f>
        <v>3.1473333854599841E-2</v>
      </c>
    </row>
    <row r="31" spans="1:11" x14ac:dyDescent="0.25">
      <c r="A31" s="14" t="str">
        <f>'Proforma Balance Sheet'!A9</f>
        <v>Investment in subsidiaries and associates</v>
      </c>
      <c r="B31" s="15">
        <f>'Proforma Balance Sheet'!B9/'Proforma Balance Sheet'!$B$23</f>
        <v>4.3284728660138829E-3</v>
      </c>
      <c r="C31" s="15">
        <f>'Proforma Balance Sheet'!C9/'Proforma Balance Sheet'!$C$23</f>
        <v>3.5012368786401606E-3</v>
      </c>
      <c r="D31" s="15">
        <f>'Proforma Balance Sheet'!D9/'Proforma Balance Sheet'!$D$23</f>
        <v>0</v>
      </c>
      <c r="E31" s="15">
        <f>'Proforma Balance Sheet'!E9/'Proforma Balance Sheet'!$E$23</f>
        <v>0</v>
      </c>
      <c r="F31" s="15">
        <f>'Proforma Balance Sheet'!F9/'Proforma Balance Sheet'!$F$23</f>
        <v>0</v>
      </c>
      <c r="G31" s="15">
        <f>'Proforma Balance Sheet'!G9/'Proforma Balance Sheet'!$G$23</f>
        <v>0</v>
      </c>
      <c r="H31" s="15">
        <f>'Proforma Balance Sheet'!H9/'Proforma Balance Sheet'!$H$23</f>
        <v>0</v>
      </c>
      <c r="I31" s="15">
        <f>'Proforma Balance Sheet'!I9/'Proforma Balance Sheet'!$I$23</f>
        <v>0</v>
      </c>
      <c r="J31" s="15">
        <f>'Proforma Balance Sheet'!J9/'Proforma Balance Sheet'!$J$23</f>
        <v>0</v>
      </c>
      <c r="K31" s="39">
        <f>'Proforma Balance Sheet'!K9/'Proforma Balance Sheet'!$K$23</f>
        <v>0</v>
      </c>
    </row>
    <row r="32" spans="1:11" x14ac:dyDescent="0.25">
      <c r="A32" s="14" t="str">
        <f>'Proforma Balance Sheet'!A10</f>
        <v>Right of Use Assets</v>
      </c>
      <c r="B32" s="15">
        <f>'Proforma Balance Sheet'!B10/'Proforma Balance Sheet'!$B$23</f>
        <v>0</v>
      </c>
      <c r="C32" s="15">
        <f>'Proforma Balance Sheet'!C10/'Proforma Balance Sheet'!$C$23</f>
        <v>0</v>
      </c>
      <c r="D32" s="15">
        <f>'Proforma Balance Sheet'!D10/'Proforma Balance Sheet'!$D$23</f>
        <v>0</v>
      </c>
      <c r="E32" s="15">
        <f>'Proforma Balance Sheet'!E10/'Proforma Balance Sheet'!$E$23</f>
        <v>0</v>
      </c>
      <c r="F32" s="15">
        <f>'Proforma Balance Sheet'!F10/'Proforma Balance Sheet'!$F$23</f>
        <v>2.4805491012630271E-4</v>
      </c>
      <c r="G32" s="15">
        <f>'Proforma Balance Sheet'!G10/'Proforma Balance Sheet'!$G$23</f>
        <v>2.587375351375979E-4</v>
      </c>
      <c r="H32" s="15">
        <f>'Proforma Balance Sheet'!H10/'Proforma Balance Sheet'!$H$23</f>
        <v>2.4578148881571017E-4</v>
      </c>
      <c r="I32" s="15">
        <f>'Proforma Balance Sheet'!I10/'Proforma Balance Sheet'!$I$23</f>
        <v>2.3132589480680653E-4</v>
      </c>
      <c r="J32" s="15">
        <f>'Proforma Balance Sheet'!J10/'Proforma Balance Sheet'!$J$23</f>
        <v>2.1729701663806333E-4</v>
      </c>
      <c r="K32" s="39">
        <f>'Proforma Balance Sheet'!K10/'Proforma Balance Sheet'!$K$23</f>
        <v>2.054608987293023E-4</v>
      </c>
    </row>
    <row r="33" spans="1:11" x14ac:dyDescent="0.25">
      <c r="A33" s="14" t="str">
        <f>'Proforma Balance Sheet'!A11</f>
        <v>Trade receivables</v>
      </c>
      <c r="B33" s="15">
        <f>'Proforma Balance Sheet'!B11/'Proforma Balance Sheet'!$B$23</f>
        <v>0.18526228476223888</v>
      </c>
      <c r="C33" s="15">
        <f>'Proforma Balance Sheet'!C11/'Proforma Balance Sheet'!$C$23</f>
        <v>0.20540956272494573</v>
      </c>
      <c r="D33" s="15">
        <f>'Proforma Balance Sheet'!D11/'Proforma Balance Sheet'!$D$23</f>
        <v>0.18469718509413025</v>
      </c>
      <c r="E33" s="15">
        <f>'Proforma Balance Sheet'!E11/'Proforma Balance Sheet'!$E$23</f>
        <v>0.20235184201522666</v>
      </c>
      <c r="F33" s="15">
        <f>'Proforma Balance Sheet'!F11/'Proforma Balance Sheet'!$F$23</f>
        <v>0.25427030200410217</v>
      </c>
      <c r="G33" s="15">
        <f>'Proforma Balance Sheet'!G11/'Proforma Balance Sheet'!$G$23</f>
        <v>0.19952768196356477</v>
      </c>
      <c r="H33" s="15">
        <f>'Proforma Balance Sheet'!H11/'Proforma Balance Sheet'!$H$23</f>
        <v>0.20158523122327943</v>
      </c>
      <c r="I33" s="15">
        <f>'Proforma Balance Sheet'!I11/'Proforma Balance Sheet'!$I$23</f>
        <v>0.20179148389067011</v>
      </c>
      <c r="J33" s="15">
        <f>'Proforma Balance Sheet'!J11/'Proforma Balance Sheet'!$J$23</f>
        <v>0.20160654026500821</v>
      </c>
      <c r="K33" s="39">
        <f>'Proforma Balance Sheet'!K11/'Proforma Balance Sheet'!$K$23</f>
        <v>0.2027475141211483</v>
      </c>
    </row>
    <row r="34" spans="1:11" x14ac:dyDescent="0.25">
      <c r="A34" s="14" t="str">
        <f>'Proforma Balance Sheet'!A12</f>
        <v>Total non current assets</v>
      </c>
      <c r="B34" s="15">
        <f>'Proforma Balance Sheet'!B12/'Proforma Balance Sheet'!$B$23</f>
        <v>0.49203650525701376</v>
      </c>
      <c r="C34" s="15">
        <f>'Proforma Balance Sheet'!C12/'Proforma Balance Sheet'!$C$23</f>
        <v>0.50683169030053654</v>
      </c>
      <c r="D34" s="15">
        <f>'Proforma Balance Sheet'!D12/'Proforma Balance Sheet'!$D$23</f>
        <v>0.43416363567807498</v>
      </c>
      <c r="E34" s="15">
        <f>'Proforma Balance Sheet'!E12/'Proforma Balance Sheet'!$E$23</f>
        <v>0.41915834682411512</v>
      </c>
      <c r="F34" s="15">
        <f>'Proforma Balance Sheet'!F12/'Proforma Balance Sheet'!$F$23</f>
        <v>0.46948929280839891</v>
      </c>
      <c r="G34" s="15">
        <f>'Proforma Balance Sheet'!G12/'Proforma Balance Sheet'!$G$23</f>
        <v>0.42658419135008951</v>
      </c>
      <c r="H34" s="15">
        <f>'Proforma Balance Sheet'!H12/'Proforma Balance Sheet'!$H$23</f>
        <v>0.42012648512296707</v>
      </c>
      <c r="I34" s="15">
        <f>'Proforma Balance Sheet'!I12/'Proforma Balance Sheet'!$I$23</f>
        <v>0.4106650802898284</v>
      </c>
      <c r="J34" s="15">
        <f>'Proforma Balance Sheet'!J12/'Proforma Balance Sheet'!$J$23</f>
        <v>0.40138320378661679</v>
      </c>
      <c r="K34" s="39">
        <f>'Proforma Balance Sheet'!K12/'Proforma Balance Sheet'!$K$23</f>
        <v>0.39553713036546528</v>
      </c>
    </row>
    <row r="35" spans="1:11" x14ac:dyDescent="0.25">
      <c r="A35" s="14"/>
      <c r="B35" s="15">
        <f>'Proforma Balance Sheet'!B13/'Proforma Balance Sheet'!$B$23</f>
        <v>0</v>
      </c>
      <c r="C35" s="15">
        <f>'Proforma Balance Sheet'!C13/'Proforma Balance Sheet'!$C$23</f>
        <v>0</v>
      </c>
      <c r="D35" s="15">
        <f>'Proforma Balance Sheet'!D13/'Proforma Balance Sheet'!$D$23</f>
        <v>0</v>
      </c>
      <c r="E35" s="15">
        <f>'Proforma Balance Sheet'!E13/'Proforma Balance Sheet'!$E$23</f>
        <v>0</v>
      </c>
      <c r="F35" s="15">
        <f>'Proforma Balance Sheet'!F13/'Proforma Balance Sheet'!$F$23</f>
        <v>0</v>
      </c>
      <c r="G35" s="15">
        <f>'Proforma Balance Sheet'!G13/'Proforma Balance Sheet'!$G$23</f>
        <v>0</v>
      </c>
      <c r="H35" s="15">
        <f>'Proforma Balance Sheet'!H13/'Proforma Balance Sheet'!$H$23</f>
        <v>0</v>
      </c>
      <c r="I35" s="15">
        <f>'Proforma Balance Sheet'!I13/'Proforma Balance Sheet'!$I$23</f>
        <v>0</v>
      </c>
      <c r="J35" s="15">
        <f>'Proforma Balance Sheet'!J13/'Proforma Balance Sheet'!$J$23</f>
        <v>0</v>
      </c>
      <c r="K35" s="39">
        <f>'Proforma Balance Sheet'!K13/'Proforma Balance Sheet'!$K$23</f>
        <v>0</v>
      </c>
    </row>
    <row r="36" spans="1:11" x14ac:dyDescent="0.25">
      <c r="A36" s="14" t="str">
        <f>'Proforma Balance Sheet'!A14</f>
        <v>Current assets:</v>
      </c>
      <c r="B36" s="15">
        <f>'Proforma Balance Sheet'!B14/'Proforma Balance Sheet'!$B$23</f>
        <v>0</v>
      </c>
      <c r="C36" s="15">
        <f>'Proforma Balance Sheet'!C14/'Proforma Balance Sheet'!$C$23</f>
        <v>0</v>
      </c>
      <c r="D36" s="15">
        <f>'Proforma Balance Sheet'!D14/'Proforma Balance Sheet'!$D$23</f>
        <v>0</v>
      </c>
      <c r="E36" s="15">
        <f>'Proforma Balance Sheet'!E14/'Proforma Balance Sheet'!$E$23</f>
        <v>0</v>
      </c>
      <c r="F36" s="15">
        <f>'Proforma Balance Sheet'!F14/'Proforma Balance Sheet'!$F$23</f>
        <v>0</v>
      </c>
      <c r="G36" s="15">
        <f>'Proforma Balance Sheet'!G14/'Proforma Balance Sheet'!$G$23</f>
        <v>0</v>
      </c>
      <c r="H36" s="15">
        <f>'Proforma Balance Sheet'!H14/'Proforma Balance Sheet'!$H$23</f>
        <v>0</v>
      </c>
      <c r="I36" s="15">
        <f>'Proforma Balance Sheet'!I14/'Proforma Balance Sheet'!$I$23</f>
        <v>0</v>
      </c>
      <c r="J36" s="15">
        <f>'Proforma Balance Sheet'!J14/'Proforma Balance Sheet'!$J$23</f>
        <v>0</v>
      </c>
      <c r="K36" s="39">
        <f>'Proforma Balance Sheet'!K14/'Proforma Balance Sheet'!$K$23</f>
        <v>0</v>
      </c>
    </row>
    <row r="37" spans="1:11" x14ac:dyDescent="0.25">
      <c r="A37" s="14" t="str">
        <f>'Proforma Balance Sheet'!A15</f>
        <v>Inventories</v>
      </c>
      <c r="B37" s="15">
        <f>'Proforma Balance Sheet'!B15/'Proforma Balance Sheet'!$B$23</f>
        <v>9.2722405451192161E-2</v>
      </c>
      <c r="C37" s="15">
        <f>'Proforma Balance Sheet'!C15/'Proforma Balance Sheet'!$C$23</f>
        <v>0.11785774858360512</v>
      </c>
      <c r="D37" s="15">
        <f>'Proforma Balance Sheet'!D15/'Proforma Balance Sheet'!$D$23</f>
        <v>0.11114839804784363</v>
      </c>
      <c r="E37" s="15">
        <f>'Proforma Balance Sheet'!E15/'Proforma Balance Sheet'!$E$23</f>
        <v>0.12855720319927905</v>
      </c>
      <c r="F37" s="15">
        <f>'Proforma Balance Sheet'!F15/'Proforma Balance Sheet'!$F$23</f>
        <v>9.0732977915712318E-2</v>
      </c>
      <c r="G37" s="15">
        <f>'Proforma Balance Sheet'!G15/'Proforma Balance Sheet'!$G$23</f>
        <v>0.10312218754445401</v>
      </c>
      <c r="H37" s="15">
        <f>'Proforma Balance Sheet'!H15/'Proforma Balance Sheet'!$H$23</f>
        <v>0.10418559377738461</v>
      </c>
      <c r="I37" s="15">
        <f>'Proforma Balance Sheet'!I15/'Proforma Balance Sheet'!$I$23</f>
        <v>0.10429219164911294</v>
      </c>
      <c r="J37" s="15">
        <f>'Proforma Balance Sheet'!J15/'Proforma Balance Sheet'!$J$23</f>
        <v>0.10419660696099864</v>
      </c>
      <c r="K37" s="39">
        <f>'Proforma Balance Sheet'!K15/'Proforma Balance Sheet'!$K$23</f>
        <v>0.10478629816984898</v>
      </c>
    </row>
    <row r="38" spans="1:11" x14ac:dyDescent="0.25">
      <c r="A38" s="14" t="str">
        <f>'Proforma Balance Sheet'!A16</f>
        <v>Trade receivables</v>
      </c>
      <c r="B38" s="15">
        <f>'Proforma Balance Sheet'!B16/'Proforma Balance Sheet'!$B$23</f>
        <v>0.21312136399162998</v>
      </c>
      <c r="C38" s="15">
        <f>'Proforma Balance Sheet'!C16/'Proforma Balance Sheet'!$C$23</f>
        <v>0.22244892681164544</v>
      </c>
      <c r="D38" s="15">
        <f>'Proforma Balance Sheet'!D16/'Proforma Balance Sheet'!$D$23</f>
        <v>0.24700777114733036</v>
      </c>
      <c r="E38" s="15">
        <f>'Proforma Balance Sheet'!E16/'Proforma Balance Sheet'!$E$23</f>
        <v>0.25342766810319461</v>
      </c>
      <c r="F38" s="15">
        <f>'Proforma Balance Sheet'!F16/'Proforma Balance Sheet'!$F$23</f>
        <v>0.23629145653582412</v>
      </c>
      <c r="G38" s="15">
        <f>'Proforma Balance Sheet'!G16/'Proforma Balance Sheet'!$G$23</f>
        <v>0.22520010165579668</v>
      </c>
      <c r="H38" s="15">
        <f>'Proforma Balance Sheet'!H16/'Proforma Balance Sheet'!$H$23</f>
        <v>0.22752238745538897</v>
      </c>
      <c r="I38" s="15">
        <f>'Proforma Balance Sheet'!I16/'Proforma Balance Sheet'!$I$23</f>
        <v>0.22775517781914228</v>
      </c>
      <c r="J38" s="15">
        <f>'Proforma Balance Sheet'!J16/'Proforma Balance Sheet'!$J$23</f>
        <v>0.22754643824531592</v>
      </c>
      <c r="K38" s="39">
        <f>'Proforma Balance Sheet'!K16/'Proforma Balance Sheet'!$K$23</f>
        <v>0.22883421659196293</v>
      </c>
    </row>
    <row r="39" spans="1:11" x14ac:dyDescent="0.25">
      <c r="A39" s="14" t="str">
        <f>'Proforma Balance Sheet'!A17</f>
        <v>Short term investment</v>
      </c>
      <c r="B39" s="15">
        <f>'Proforma Balance Sheet'!B17/'Proforma Balance Sheet'!$B$23</f>
        <v>7.2997226153146536E-2</v>
      </c>
      <c r="C39" s="15">
        <f>'Proforma Balance Sheet'!C17/'Proforma Balance Sheet'!$C$23</f>
        <v>6.1971368324094091E-2</v>
      </c>
      <c r="D39" s="15">
        <f>'Proforma Balance Sheet'!D17/'Proforma Balance Sheet'!$D$23</f>
        <v>5.7777592430618967E-2</v>
      </c>
      <c r="E39" s="15">
        <f>'Proforma Balance Sheet'!E17/'Proforma Balance Sheet'!$E$23</f>
        <v>7.9244736861077317E-2</v>
      </c>
      <c r="F39" s="15">
        <f>'Proforma Balance Sheet'!F17/'Proforma Balance Sheet'!$F$23</f>
        <v>0.10419302084101438</v>
      </c>
      <c r="G39" s="15">
        <f>'Proforma Balance Sheet'!G17/'Proforma Balance Sheet'!$G$23</f>
        <v>0.12430250297304293</v>
      </c>
      <c r="H39" s="15">
        <f>'Proforma Balance Sheet'!H17/'Proforma Balance Sheet'!$H$23</f>
        <v>0.13505144755965975</v>
      </c>
      <c r="I39" s="15">
        <f>'Proforma Balance Sheet'!I17/'Proforma Balance Sheet'!$I$23</f>
        <v>0.14537976397194372</v>
      </c>
      <c r="J39" s="15">
        <f>'Proforma Balance Sheet'!J17/'Proforma Balance Sheet'!$J$23</f>
        <v>0.15619355445444666</v>
      </c>
      <c r="K39" s="39">
        <f>'Proforma Balance Sheet'!K17/'Proforma Balance Sheet'!$K$23</f>
        <v>0.16891497902263675</v>
      </c>
    </row>
    <row r="40" spans="1:11" x14ac:dyDescent="0.25">
      <c r="A40" s="14" t="str">
        <f>'Proforma Balance Sheet'!A18</f>
        <v>Advances, deposits and prepayments</v>
      </c>
      <c r="B40" s="15">
        <f>'Proforma Balance Sheet'!B18/'Proforma Balance Sheet'!$B$23</f>
        <v>8.2986520305126779E-2</v>
      </c>
      <c r="C40" s="15">
        <f>'Proforma Balance Sheet'!C18/'Proforma Balance Sheet'!$C$23</f>
        <v>6.0833908954796505E-2</v>
      </c>
      <c r="D40" s="15">
        <f>'Proforma Balance Sheet'!D18/'Proforma Balance Sheet'!$D$23</f>
        <v>7.2272286875660549E-2</v>
      </c>
      <c r="E40" s="15">
        <f>'Proforma Balance Sheet'!E18/'Proforma Balance Sheet'!$E$23</f>
        <v>7.6215090757985951E-2</v>
      </c>
      <c r="F40" s="15">
        <f>'Proforma Balance Sheet'!F18/'Proforma Balance Sheet'!$F$23</f>
        <v>7.2440520531001584E-2</v>
      </c>
      <c r="G40" s="15">
        <f>'Proforma Balance Sheet'!G18/'Proforma Balance Sheet'!$G$23</f>
        <v>7.0655660053964078E-2</v>
      </c>
      <c r="H40" s="15">
        <f>'Proforma Balance Sheet'!H18/'Proforma Balance Sheet'!$H$23</f>
        <v>7.1384268233079959E-2</v>
      </c>
      <c r="I40" s="15">
        <f>'Proforma Balance Sheet'!I18/'Proforma Balance Sheet'!$I$23</f>
        <v>7.1457305308482058E-2</v>
      </c>
      <c r="J40" s="15">
        <f>'Proforma Balance Sheet'!J18/'Proforma Balance Sheet'!$J$23</f>
        <v>7.1391814075309215E-2</v>
      </c>
      <c r="K40" s="39">
        <f>'Proforma Balance Sheet'!K18/'Proforma Balance Sheet'!$K$23</f>
        <v>7.1795849546059665E-2</v>
      </c>
    </row>
    <row r="41" spans="1:11" x14ac:dyDescent="0.25">
      <c r="A41" s="14" t="str">
        <f>'Proforma Balance Sheet'!A19</f>
        <v>Related party receivables</v>
      </c>
      <c r="B41" s="15">
        <f>'Proforma Balance Sheet'!B19/'Proforma Balance Sheet'!$B$23</f>
        <v>8.3713051274001346E-3</v>
      </c>
      <c r="C41" s="15">
        <f>'Proforma Balance Sheet'!C19/'Proforma Balance Sheet'!$C$23</f>
        <v>1.9334023711132459E-3</v>
      </c>
      <c r="D41" s="15">
        <f>'Proforma Balance Sheet'!D19/'Proforma Balance Sheet'!$D$23</f>
        <v>5.0318118149714573E-3</v>
      </c>
      <c r="E41" s="15">
        <f>'Proforma Balance Sheet'!E19/'Proforma Balance Sheet'!$E$23</f>
        <v>3.3502604453067185E-3</v>
      </c>
      <c r="F41" s="15">
        <f>'Proforma Balance Sheet'!F19/'Proforma Balance Sheet'!$F$23</f>
        <v>2.3652417437040937E-3</v>
      </c>
      <c r="G41" s="15">
        <f>'Proforma Balance Sheet'!G19/'Proforma Balance Sheet'!$G$23</f>
        <v>2.5648092357474081E-3</v>
      </c>
      <c r="H41" s="15">
        <f>'Proforma Balance Sheet'!H19/'Proforma Balance Sheet'!$H$23</f>
        <v>2.5328689977403567E-3</v>
      </c>
      <c r="I41" s="15">
        <f>'Proforma Balance Sheet'!I19/'Proforma Balance Sheet'!$I$23</f>
        <v>2.4783105959366998E-3</v>
      </c>
      <c r="J41" s="15">
        <f>'Proforma Balance Sheet'!J19/'Proforma Balance Sheet'!$J$23</f>
        <v>2.4202106738187303E-3</v>
      </c>
      <c r="K41" s="39">
        <f>'Proforma Balance Sheet'!K19/'Proforma Balance Sheet'!$K$23</f>
        <v>2.3790113662791124E-3</v>
      </c>
    </row>
    <row r="42" spans="1:11" x14ac:dyDescent="0.25">
      <c r="A42" s="14" t="str">
        <f>'Proforma Balance Sheet'!A20</f>
        <v>Other receivables</v>
      </c>
      <c r="B42" s="15">
        <f>'Proforma Balance Sheet'!B20/'Proforma Balance Sheet'!$B$23</f>
        <v>5.7343961024206155E-3</v>
      </c>
      <c r="C42" s="15">
        <f>'Proforma Balance Sheet'!C20/'Proforma Balance Sheet'!$C$23</f>
        <v>5.3047054659647397E-3</v>
      </c>
      <c r="D42" s="15">
        <f>'Proforma Balance Sheet'!D20/'Proforma Balance Sheet'!$D$23</f>
        <v>5.6740400941335195E-3</v>
      </c>
      <c r="E42" s="15">
        <f>'Proforma Balance Sheet'!E20/'Proforma Balance Sheet'!$E$23</f>
        <v>3.7755314446960182E-3</v>
      </c>
      <c r="F42" s="15">
        <f>'Proforma Balance Sheet'!F20/'Proforma Balance Sheet'!$F$23</f>
        <v>5.4045759290413959E-3</v>
      </c>
      <c r="G42" s="15">
        <f>'Proforma Balance Sheet'!G20/'Proforma Balance Sheet'!$G$23</f>
        <v>4.6753891392491038E-3</v>
      </c>
      <c r="H42" s="15">
        <f>'Proforma Balance Sheet'!H20/'Proforma Balance Sheet'!$H$23</f>
        <v>4.7236022160897229E-3</v>
      </c>
      <c r="I42" s="15">
        <f>'Proforma Balance Sheet'!I20/'Proforma Balance Sheet'!$I$23</f>
        <v>4.7284351869916535E-3</v>
      </c>
      <c r="J42" s="15">
        <f>'Proforma Balance Sheet'!J20/'Proforma Balance Sheet'!$J$23</f>
        <v>4.724101535589084E-3</v>
      </c>
      <c r="K42" s="39">
        <f>'Proforma Balance Sheet'!K20/'Proforma Balance Sheet'!$K$23</f>
        <v>4.7508371580484206E-3</v>
      </c>
    </row>
    <row r="43" spans="1:11" x14ac:dyDescent="0.25">
      <c r="A43" s="14" t="str">
        <f>'Proforma Balance Sheet'!A21</f>
        <v>Cash and Cash Equivalents</v>
      </c>
      <c r="B43" s="15">
        <f>'Proforma Balance Sheet'!B21/'Proforma Balance Sheet'!$B$23</f>
        <v>3.2030277612070036E-2</v>
      </c>
      <c r="C43" s="15">
        <f>'Proforma Balance Sheet'!C21/'Proforma Balance Sheet'!$C$23</f>
        <v>2.2818249188244353E-2</v>
      </c>
      <c r="D43" s="15">
        <f>'Proforma Balance Sheet'!D21/'Proforma Balance Sheet'!$D$23</f>
        <v>6.6924463911366527E-2</v>
      </c>
      <c r="E43" s="15">
        <f>'Proforma Balance Sheet'!E21/'Proforma Balance Sheet'!$E$23</f>
        <v>3.6271162364345161E-2</v>
      </c>
      <c r="F43" s="15">
        <f>'Proforma Balance Sheet'!F21/'Proforma Balance Sheet'!$F$23</f>
        <v>1.9082913695303232E-2</v>
      </c>
      <c r="G43" s="15">
        <f>'Proforma Balance Sheet'!G21/'Proforma Balance Sheet'!$G$23</f>
        <v>4.289515804765625E-2</v>
      </c>
      <c r="H43" s="15">
        <f>'Proforma Balance Sheet'!H21/'Proforma Balance Sheet'!$H$23</f>
        <v>3.4473346637689646E-2</v>
      </c>
      <c r="I43" s="15">
        <f>'Proforma Balance Sheet'!I21/'Proforma Balance Sheet'!$I$23</f>
        <v>3.3243735178562141E-2</v>
      </c>
      <c r="J43" s="15">
        <f>'Proforma Balance Sheet'!J21/'Proforma Balance Sheet'!$J$23</f>
        <v>3.214407026790489E-2</v>
      </c>
      <c r="K43" s="39">
        <f>'Proforma Balance Sheet'!K21/'Proforma Balance Sheet'!$K$23</f>
        <v>2.3001677779698769E-2</v>
      </c>
    </row>
    <row r="44" spans="1:11" x14ac:dyDescent="0.25">
      <c r="A44" s="14" t="str">
        <f>'Proforma Balance Sheet'!A22</f>
        <v>Total current assets</v>
      </c>
      <c r="B44" s="15">
        <f>'Proforma Balance Sheet'!B22/'Proforma Balance Sheet'!$B$23</f>
        <v>0.5079634947429863</v>
      </c>
      <c r="C44" s="15">
        <f>'Proforma Balance Sheet'!C22/'Proforma Balance Sheet'!$C$23</f>
        <v>0.49316830969946351</v>
      </c>
      <c r="D44" s="15">
        <f>'Proforma Balance Sheet'!D22/'Proforma Balance Sheet'!$D$23</f>
        <v>0.56583636432192497</v>
      </c>
      <c r="E44" s="15">
        <f>'Proforma Balance Sheet'!E22/'Proforma Balance Sheet'!$E$23</f>
        <v>0.58084165317588488</v>
      </c>
      <c r="F44" s="15">
        <f>'Proforma Balance Sheet'!F22/'Proforma Balance Sheet'!$F$23</f>
        <v>0.53051070719160109</v>
      </c>
      <c r="G44" s="15">
        <f>'Proforma Balance Sheet'!G22/'Proforma Balance Sheet'!$G$23</f>
        <v>0.57341580864991049</v>
      </c>
      <c r="H44" s="15">
        <f>'Proforma Balance Sheet'!H22/'Proforma Balance Sheet'!$H$23</f>
        <v>0.57987351487703298</v>
      </c>
      <c r="I44" s="15">
        <f>'Proforma Balance Sheet'!I22/'Proforma Balance Sheet'!$I$23</f>
        <v>0.58933491971017149</v>
      </c>
      <c r="J44" s="15">
        <f>'Proforma Balance Sheet'!J22/'Proforma Balance Sheet'!$J$23</f>
        <v>0.59861679621338315</v>
      </c>
      <c r="K44" s="39">
        <f>'Proforma Balance Sheet'!K22/'Proforma Balance Sheet'!$K$23</f>
        <v>0.60446286963453466</v>
      </c>
    </row>
    <row r="45" spans="1:11" x14ac:dyDescent="0.25">
      <c r="A45" s="14" t="str">
        <f>'Proforma Balance Sheet'!A23</f>
        <v>Total Assets</v>
      </c>
      <c r="B45" s="15">
        <f>'Proforma Balance Sheet'!B23/'Proforma Balance Sheet'!$B$23</f>
        <v>1</v>
      </c>
      <c r="C45" s="15">
        <f>'Proforma Balance Sheet'!C23/'Proforma Balance Sheet'!$C$23</f>
        <v>1</v>
      </c>
      <c r="D45" s="15">
        <f>'Proforma Balance Sheet'!D23/'Proforma Balance Sheet'!$D$23</f>
        <v>1</v>
      </c>
      <c r="E45" s="15">
        <f>'Proforma Balance Sheet'!E23/'Proforma Balance Sheet'!$E$23</f>
        <v>1</v>
      </c>
      <c r="F45" s="15">
        <f>'Proforma Balance Sheet'!F23/'Proforma Balance Sheet'!$F$23</f>
        <v>1</v>
      </c>
      <c r="G45" s="15">
        <f>'Proforma Balance Sheet'!G23/'Proforma Balance Sheet'!$G$23</f>
        <v>1</v>
      </c>
      <c r="H45" s="15">
        <f>'Proforma Balance Sheet'!H23/'Proforma Balance Sheet'!$H$23</f>
        <v>1</v>
      </c>
      <c r="I45" s="15">
        <f>'Proforma Balance Sheet'!I23/'Proforma Balance Sheet'!$I$23</f>
        <v>1</v>
      </c>
      <c r="J45" s="15">
        <f>'Proforma Balance Sheet'!J23/'Proforma Balance Sheet'!$J$23</f>
        <v>1</v>
      </c>
      <c r="K45" s="39">
        <f>'Proforma Balance Sheet'!K23/'Proforma Balance Sheet'!$K$23</f>
        <v>1</v>
      </c>
    </row>
    <row r="46" spans="1:11" x14ac:dyDescent="0.25">
      <c r="A46" s="14"/>
      <c r="K46" s="95"/>
    </row>
    <row r="47" spans="1:11" x14ac:dyDescent="0.25">
      <c r="A47" s="14" t="str">
        <f>'Proforma Balance Sheet'!A25</f>
        <v>Equity and Liabilities</v>
      </c>
      <c r="K47" s="95"/>
    </row>
    <row r="48" spans="1:11" x14ac:dyDescent="0.25">
      <c r="A48" s="14" t="str">
        <f>'Proforma Balance Sheet'!A26</f>
        <v>Equity:</v>
      </c>
      <c r="K48" s="95"/>
    </row>
    <row r="49" spans="1:11" x14ac:dyDescent="0.25">
      <c r="A49" s="14" t="str">
        <f>'Proforma Balance Sheet'!A27</f>
        <v>Equity attributable to ordinary share holders:</v>
      </c>
      <c r="K49" s="95"/>
    </row>
    <row r="50" spans="1:11" x14ac:dyDescent="0.25">
      <c r="A50" s="14" t="str">
        <f>'Proforma Balance Sheet'!A28</f>
        <v>Share Capital</v>
      </c>
      <c r="B50" s="15">
        <f>'Proforma Balance Sheet'!B28/'Proforma Balance Sheet'!$B$54</f>
        <v>6.826100072712378E-2</v>
      </c>
      <c r="C50" s="15">
        <f>'Proforma Balance Sheet'!C28/'Proforma Balance Sheet'!$C$54</f>
        <v>6.1360584851204207E-2</v>
      </c>
      <c r="D50" s="15">
        <f>'Proforma Balance Sheet'!D28/'Proforma Balance Sheet'!$D$54</f>
        <v>5.7754416160699873E-2</v>
      </c>
      <c r="E50" s="15">
        <f>'Proforma Balance Sheet'!E28/'Proforma Balance Sheet'!$E$54</f>
        <v>5.0873383236136986E-2</v>
      </c>
      <c r="F50" s="15">
        <f>'Proforma Balance Sheet'!F28/'Proforma Balance Sheet'!$F$54</f>
        <v>4.8258532035605962E-2</v>
      </c>
      <c r="G50" s="15">
        <f>'Proforma Balance Sheet'!G28/'Proforma Balance Sheet'!$G$54</f>
        <v>5.230388525923834E-2</v>
      </c>
      <c r="H50" s="15">
        <f>'Proforma Balance Sheet'!H28/'Proforma Balance Sheet'!$H$54</f>
        <v>5.0821130096151433E-2</v>
      </c>
      <c r="I50" s="15">
        <f>'Proforma Balance Sheet'!I28/'Proforma Balance Sheet'!$I$54</f>
        <v>4.9373201597474499E-2</v>
      </c>
      <c r="J50" s="15">
        <f>'Proforma Balance Sheet'!J28/'Proforma Balance Sheet'!$J$54</f>
        <v>4.7795288190813134E-2</v>
      </c>
      <c r="K50" s="39">
        <f>'Proforma Balance Sheet'!K28/'Proforma Balance Sheet'!$K$54</f>
        <v>4.6457141799818802E-2</v>
      </c>
    </row>
    <row r="51" spans="1:11" x14ac:dyDescent="0.25">
      <c r="A51" s="14" t="str">
        <f>'Proforma Balance Sheet'!A29</f>
        <v>Share premium</v>
      </c>
      <c r="B51" s="15">
        <f>'Proforma Balance Sheet'!B29/'Proforma Balance Sheet'!$B$54</f>
        <v>8.476802022584648E-2</v>
      </c>
      <c r="C51" s="15">
        <f>'Proforma Balance Sheet'!C29/'Proforma Balance Sheet'!$C$54</f>
        <v>7.61989311954204E-2</v>
      </c>
      <c r="D51" s="15">
        <f>'Proforma Balance Sheet'!D29/'Proforma Balance Sheet'!$D$54</f>
        <v>0.10845138579138403</v>
      </c>
      <c r="E51" s="15">
        <f>'Proforma Balance Sheet'!E29/'Proforma Balance Sheet'!$E$54</f>
        <v>9.098110959167037E-2</v>
      </c>
      <c r="F51" s="15">
        <f>'Proforma Balance Sheet'!F29/'Proforma Balance Sheet'!$F$54</f>
        <v>8.6304753341936338E-2</v>
      </c>
      <c r="G51" s="15">
        <f>'Proforma Balance Sheet'!G29/'Proforma Balance Sheet'!$G$54</f>
        <v>8.9130214218770473E-2</v>
      </c>
      <c r="H51" s="15">
        <f>'Proforma Balance Sheet'!H29/'Proforma Balance Sheet'!$H$54</f>
        <v>8.2521232774139239E-2</v>
      </c>
      <c r="I51" s="15">
        <f>'Proforma Balance Sheet'!I29/'Proforma Balance Sheet'!$I$54</f>
        <v>7.6391153570360817E-2</v>
      </c>
      <c r="J51" s="15">
        <f>'Proforma Balance Sheet'!J29/'Proforma Balance Sheet'!$J$54</f>
        <v>7.0463993404033712E-2</v>
      </c>
      <c r="K51" s="39">
        <f>'Proforma Balance Sheet'!K29/'Proforma Balance Sheet'!$K$54</f>
        <v>6.5262701032925668E-2</v>
      </c>
    </row>
    <row r="52" spans="1:11" x14ac:dyDescent="0.25">
      <c r="A52" s="14" t="str">
        <f>'Proforma Balance Sheet'!A30</f>
        <v>Revaluation reserve</v>
      </c>
      <c r="B52" s="15">
        <f>'Proforma Balance Sheet'!B30/'Proforma Balance Sheet'!$B$54</f>
        <v>9.3912217872155521E-2</v>
      </c>
      <c r="C52" s="15">
        <f>'Proforma Balance Sheet'!C30/'Proforma Balance Sheet'!$C$54</f>
        <v>8.4299474392936669E-2</v>
      </c>
      <c r="D52" s="15">
        <f>'Proforma Balance Sheet'!D30/'Proforma Balance Sheet'!$D$54</f>
        <v>6.9031079695059075E-2</v>
      </c>
      <c r="E52" s="15">
        <f>'Proforma Balance Sheet'!E30/'Proforma Balance Sheet'!$E$54</f>
        <v>5.7837449019315597E-2</v>
      </c>
      <c r="F52" s="15">
        <f>'Proforma Balance Sheet'!F30/'Proforma Balance Sheet'!$F$54</f>
        <v>5.5122470983018521E-2</v>
      </c>
      <c r="G52" s="15">
        <f>'Proforma Balance Sheet'!G30/'Proforma Balance Sheet'!$G$54</f>
        <v>5.6927080569003689E-2</v>
      </c>
      <c r="H52" s="15">
        <f>'Proforma Balance Sheet'!H30/'Proforma Balance Sheet'!$H$54</f>
        <v>5.2697152251928968E-2</v>
      </c>
      <c r="I52" s="15">
        <f>'Proforma Balance Sheet'!I30/'Proforma Balance Sheet'!$I$54</f>
        <v>4.8774404215724834E-2</v>
      </c>
      <c r="J52" s="15">
        <f>'Proforma Balance Sheet'!J30/'Proforma Balance Sheet'!$J$54</f>
        <v>4.4982502265783618E-2</v>
      </c>
      <c r="K52" s="39">
        <f>'Proforma Balance Sheet'!K30/'Proforma Balance Sheet'!$K$54</f>
        <v>4.1655163497727875E-2</v>
      </c>
    </row>
    <row r="53" spans="1:11" x14ac:dyDescent="0.25">
      <c r="A53" s="14" t="str">
        <f>'Proforma Balance Sheet'!A31</f>
        <v>Retained earnings</v>
      </c>
      <c r="B53" s="15">
        <f>'Proforma Balance Sheet'!B31/'Proforma Balance Sheet'!$B$54</f>
        <v>0.13325920447502346</v>
      </c>
      <c r="C53" s="15">
        <f>'Proforma Balance Sheet'!C31/'Proforma Balance Sheet'!$C$54</f>
        <v>0.14340722455048643</v>
      </c>
      <c r="D53" s="15">
        <f>'Proforma Balance Sheet'!D31/'Proforma Balance Sheet'!$D$54</f>
        <v>0.14298572663533282</v>
      </c>
      <c r="E53" s="15">
        <f>'Proforma Balance Sheet'!E31/'Proforma Balance Sheet'!$E$54</f>
        <v>0.12280081803038365</v>
      </c>
      <c r="F53" s="15">
        <f>'Proforma Balance Sheet'!F31/'Proforma Balance Sheet'!$F$54</f>
        <v>0.12478118654102602</v>
      </c>
      <c r="G53" s="15">
        <f>'Proforma Balance Sheet'!G31/'Proforma Balance Sheet'!$G$54</f>
        <v>0.15737709859794596</v>
      </c>
      <c r="H53" s="15">
        <f>'Proforma Balance Sheet'!H31/'Proforma Balance Sheet'!$H$54</f>
        <v>0.17363915808060493</v>
      </c>
      <c r="I53" s="15">
        <f>'Proforma Balance Sheet'!I31/'Proforma Balance Sheet'!$I$54</f>
        <v>0.18860791643144226</v>
      </c>
      <c r="J53" s="15">
        <f>'Proforma Balance Sheet'!J31/'Proforma Balance Sheet'!$J$54</f>
        <v>0.20167476664452982</v>
      </c>
      <c r="K53" s="39">
        <f>'Proforma Balance Sheet'!K31/'Proforma Balance Sheet'!$K$54</f>
        <v>0.21439181169689739</v>
      </c>
    </row>
    <row r="54" spans="1:11" x14ac:dyDescent="0.25">
      <c r="A54" s="14" t="str">
        <f>'Proforma Balance Sheet'!A32</f>
        <v>Total equity attributable to ordinary share holders</v>
      </c>
      <c r="B54" s="15">
        <f>'Proforma Balance Sheet'!B32/'Proforma Balance Sheet'!$B$54</f>
        <v>0.38020044330014924</v>
      </c>
      <c r="C54" s="15">
        <f>'Proforma Balance Sheet'!C32/'Proforma Balance Sheet'!$C$54</f>
        <v>0.36526621499004769</v>
      </c>
      <c r="D54" s="15">
        <f>'Proforma Balance Sheet'!D32/'Proforma Balance Sheet'!$D$54</f>
        <v>0.37822260828247578</v>
      </c>
      <c r="E54" s="15">
        <f>'Proforma Balance Sheet'!E32/'Proforma Balance Sheet'!$E$54</f>
        <v>0.32249275987750659</v>
      </c>
      <c r="F54" s="15">
        <f>'Proforma Balance Sheet'!F32/'Proforma Balance Sheet'!$F$54</f>
        <v>0.31446694290158683</v>
      </c>
      <c r="G54" s="15">
        <f>'Proforma Balance Sheet'!G32/'Proforma Balance Sheet'!$G$54</f>
        <v>0.35573827864495844</v>
      </c>
      <c r="H54" s="15">
        <f>'Proforma Balance Sheet'!H32/'Proforma Balance Sheet'!$H$54</f>
        <v>0.35967867320282454</v>
      </c>
      <c r="I54" s="15">
        <f>'Proforma Balance Sheet'!I32/'Proforma Balance Sheet'!$I$54</f>
        <v>0.36314667581500237</v>
      </c>
      <c r="J54" s="15">
        <f>'Proforma Balance Sheet'!J32/'Proforma Balance Sheet'!$J$54</f>
        <v>0.36491655050516025</v>
      </c>
      <c r="K54" s="39">
        <f>'Proforma Balance Sheet'!K32/'Proforma Balance Sheet'!$K$54</f>
        <v>0.36776681802736971</v>
      </c>
    </row>
    <row r="55" spans="1:11" x14ac:dyDescent="0.25">
      <c r="A55" s="14" t="str">
        <f>'Proforma Balance Sheet'!A33</f>
        <v>Non-controlling interest</v>
      </c>
      <c r="B55" s="15">
        <f>'Proforma Balance Sheet'!B33/'Proforma Balance Sheet'!$B$54</f>
        <v>6.082733622516226E-2</v>
      </c>
      <c r="C55" s="15">
        <f>'Proforma Balance Sheet'!C33/'Proforma Balance Sheet'!$C$54</f>
        <v>6.1833976985225789E-2</v>
      </c>
      <c r="D55" s="15">
        <f>'Proforma Balance Sheet'!D33/'Proforma Balance Sheet'!$D$54</f>
        <v>5.6996836630205057E-2</v>
      </c>
      <c r="E55" s="15">
        <f>'Proforma Balance Sheet'!E33/'Proforma Balance Sheet'!$E$54</f>
        <v>5.2116939022070194E-2</v>
      </c>
      <c r="F55" s="15">
        <f>'Proforma Balance Sheet'!F33/'Proforma Balance Sheet'!$F$54</f>
        <v>5.4329773458838701E-2</v>
      </c>
      <c r="G55" s="15">
        <f>'Proforma Balance Sheet'!G33/'Proforma Balance Sheet'!$G$54</f>
        <v>6.2094913323899728E-2</v>
      </c>
      <c r="H55" s="15">
        <f>'Proforma Balance Sheet'!H33/'Proforma Balance Sheet'!$H$54</f>
        <v>6.4217157561417673E-2</v>
      </c>
      <c r="I55" s="15">
        <f>'Proforma Balance Sheet'!I33/'Proforma Balance Sheet'!$I$54</f>
        <v>6.7187110354656895E-2</v>
      </c>
      <c r="J55" s="15">
        <f>'Proforma Balance Sheet'!J33/'Proforma Balance Sheet'!$J$54</f>
        <v>7.1060689534742955E-2</v>
      </c>
      <c r="K55" s="39">
        <f>'Proforma Balance Sheet'!K33/'Proforma Balance Sheet'!$K$54</f>
        <v>7.6771378791150674E-2</v>
      </c>
    </row>
    <row r="56" spans="1:11" x14ac:dyDescent="0.25">
      <c r="A56" s="14" t="str">
        <f>'Proforma Balance Sheet'!A34</f>
        <v>Total Equity</v>
      </c>
      <c r="B56" s="15">
        <f>'Proforma Balance Sheet'!B34/'Proforma Balance Sheet'!$B$54</f>
        <v>0.44102777952531147</v>
      </c>
      <c r="C56" s="15">
        <f>'Proforma Balance Sheet'!C34/'Proforma Balance Sheet'!$C$54</f>
        <v>0.42710019197527349</v>
      </c>
      <c r="D56" s="15">
        <f>'Proforma Balance Sheet'!D34/'Proforma Balance Sheet'!$D$54</f>
        <v>0.43521944491268083</v>
      </c>
      <c r="E56" s="15">
        <f>'Proforma Balance Sheet'!E34/'Proforma Balance Sheet'!$E$54</f>
        <v>0.37460969889957679</v>
      </c>
      <c r="F56" s="15">
        <f>'Proforma Balance Sheet'!F34/'Proforma Balance Sheet'!$F$54</f>
        <v>0.36879671636042555</v>
      </c>
      <c r="G56" s="15">
        <f>'Proforma Balance Sheet'!G34/'Proforma Balance Sheet'!$G$54</f>
        <v>0.41783319196885815</v>
      </c>
      <c r="H56" s="15">
        <f>'Proforma Balance Sheet'!H34/'Proforma Balance Sheet'!$H$54</f>
        <v>0.4238958307642422</v>
      </c>
      <c r="I56" s="15">
        <f>'Proforma Balance Sheet'!I34/'Proforma Balance Sheet'!$I$54</f>
        <v>0.43033378616965928</v>
      </c>
      <c r="J56" s="15">
        <f>'Proforma Balance Sheet'!J34/'Proforma Balance Sheet'!$J$54</f>
        <v>0.43597724003990324</v>
      </c>
      <c r="K56" s="39">
        <f>'Proforma Balance Sheet'!K34/'Proforma Balance Sheet'!$K$54</f>
        <v>0.44453819681852041</v>
      </c>
    </row>
    <row r="57" spans="1:11" x14ac:dyDescent="0.25">
      <c r="A57" s="14" t="str">
        <f>'Proforma Balance Sheet'!A35</f>
        <v>Liabilities</v>
      </c>
      <c r="B57" s="15"/>
      <c r="C57" s="15"/>
      <c r="D57" s="15"/>
      <c r="E57" s="15"/>
      <c r="F57" s="15"/>
      <c r="G57" s="15"/>
      <c r="H57" s="15"/>
      <c r="I57" s="15"/>
      <c r="J57" s="15"/>
      <c r="K57" s="39"/>
    </row>
    <row r="58" spans="1:11" x14ac:dyDescent="0.25">
      <c r="A58" s="14" t="str">
        <f>'Proforma Balance Sheet'!A36</f>
        <v>Non current liabilities</v>
      </c>
      <c r="B58" s="15"/>
      <c r="C58" s="15"/>
      <c r="D58" s="15"/>
      <c r="E58" s="15"/>
      <c r="F58" s="15"/>
      <c r="G58" s="15"/>
      <c r="H58" s="15"/>
      <c r="I58" s="15"/>
      <c r="J58" s="15"/>
      <c r="K58" s="39"/>
    </row>
    <row r="59" spans="1:11" x14ac:dyDescent="0.25">
      <c r="A59" s="14" t="str">
        <f>'Proforma Balance Sheet'!A37</f>
        <v>Long term loan</v>
      </c>
      <c r="B59" s="15">
        <f>'Proforma Balance Sheet'!B37/'Proforma Balance Sheet'!$B$54</f>
        <v>0.17130642562324311</v>
      </c>
      <c r="C59" s="15">
        <f>'Proforma Balance Sheet'!C37/'Proforma Balance Sheet'!$C$54</f>
        <v>0.14031428124032586</v>
      </c>
      <c r="D59" s="15">
        <f>'Proforma Balance Sheet'!D37/'Proforma Balance Sheet'!$D$54</f>
        <v>9.9143309693104142E-2</v>
      </c>
      <c r="E59" s="15">
        <f>'Proforma Balance Sheet'!E37/'Proforma Balance Sheet'!$E$54</f>
        <v>0.15846520793918711</v>
      </c>
      <c r="F59" s="15">
        <f>'Proforma Balance Sheet'!F37/'Proforma Balance Sheet'!$F$54</f>
        <v>0.19400507457289087</v>
      </c>
      <c r="G59" s="15">
        <f>'Proforma Balance Sheet'!G37/'Proforma Balance Sheet'!$G$54</f>
        <v>0.14031549012303321</v>
      </c>
      <c r="H59" s="15">
        <f>'Proforma Balance Sheet'!H37/'Proforma Balance Sheet'!$H$54</f>
        <v>0.13603583222343832</v>
      </c>
      <c r="I59" s="15">
        <f>'Proforma Balance Sheet'!I37/'Proforma Balance Sheet'!$I$54</f>
        <v>0.13209448539507979</v>
      </c>
      <c r="J59" s="15">
        <f>'Proforma Balance Sheet'!J37/'Proforma Balance Sheet'!$J$54</f>
        <v>0.12804780901404414</v>
      </c>
      <c r="K59" s="39">
        <f>'Proforma Balance Sheet'!K37/'Proforma Balance Sheet'!$K$54</f>
        <v>0.12483718321421337</v>
      </c>
    </row>
    <row r="60" spans="1:11" x14ac:dyDescent="0.25">
      <c r="A60" s="14" t="str">
        <f>'Proforma Balance Sheet'!A38</f>
        <v>Finance lease</v>
      </c>
      <c r="B60" s="15">
        <f>'Proforma Balance Sheet'!B38/'Proforma Balance Sheet'!$B$54</f>
        <v>0</v>
      </c>
      <c r="C60" s="15">
        <f>'Proforma Balance Sheet'!C38/'Proforma Balance Sheet'!$C$54</f>
        <v>1.1950840956086081E-4</v>
      </c>
      <c r="D60" s="15">
        <f>'Proforma Balance Sheet'!D38/'Proforma Balance Sheet'!$D$54</f>
        <v>1.7550819085710302E-5</v>
      </c>
      <c r="E60" s="15">
        <f>'Proforma Balance Sheet'!E38/'Proforma Balance Sheet'!$E$54</f>
        <v>0</v>
      </c>
      <c r="F60" s="15">
        <f>'Proforma Balance Sheet'!F38/'Proforma Balance Sheet'!$F$54</f>
        <v>0</v>
      </c>
      <c r="G60" s="15">
        <f>'Proforma Balance Sheet'!G38/'Proforma Balance Sheet'!$G$54</f>
        <v>0</v>
      </c>
      <c r="H60" s="15">
        <f>'Proforma Balance Sheet'!H38/'Proforma Balance Sheet'!$H$54</f>
        <v>0</v>
      </c>
      <c r="I60" s="15">
        <f>'Proforma Balance Sheet'!I38/'Proforma Balance Sheet'!$I$54</f>
        <v>0</v>
      </c>
      <c r="J60" s="15">
        <f>'Proforma Balance Sheet'!J38/'Proforma Balance Sheet'!$J$54</f>
        <v>0</v>
      </c>
      <c r="K60" s="39">
        <f>'Proforma Balance Sheet'!K38/'Proforma Balance Sheet'!$K$54</f>
        <v>0</v>
      </c>
    </row>
    <row r="61" spans="1:11" x14ac:dyDescent="0.25">
      <c r="A61" s="14" t="str">
        <f>'Proforma Balance Sheet'!A39</f>
        <v>Net deffered tax liability</v>
      </c>
      <c r="B61" s="15">
        <f>'Proforma Balance Sheet'!B39/'Proforma Balance Sheet'!$B$54</f>
        <v>7.4828429265832806E-3</v>
      </c>
      <c r="C61" s="15">
        <f>'Proforma Balance Sheet'!C39/'Proforma Balance Sheet'!$C$54</f>
        <v>7.7150667864702626E-3</v>
      </c>
      <c r="D61" s="15">
        <f>'Proforma Balance Sheet'!D39/'Proforma Balance Sheet'!$D$54</f>
        <v>7.0225295316119823E-3</v>
      </c>
      <c r="E61" s="15">
        <f>'Proforma Balance Sheet'!E39/'Proforma Balance Sheet'!$E$54</f>
        <v>5.7685107699957947E-3</v>
      </c>
      <c r="F61" s="15">
        <f>'Proforma Balance Sheet'!F39/'Proforma Balance Sheet'!$F$54</f>
        <v>6.5453796996857256E-3</v>
      </c>
      <c r="G61" s="15">
        <f>'Proforma Balance Sheet'!G39/'Proforma Balance Sheet'!$G$54</f>
        <v>7.2817082523635021E-3</v>
      </c>
      <c r="H61" s="15">
        <f>'Proforma Balance Sheet'!H39/'Proforma Balance Sheet'!$H$54</f>
        <v>7.2507725343603094E-3</v>
      </c>
      <c r="I61" s="15">
        <f>'Proforma Balance Sheet'!I39/'Proforma Balance Sheet'!$I$54</f>
        <v>7.162877819083543E-3</v>
      </c>
      <c r="J61" s="15">
        <f>'Proforma Balance Sheet'!J39/'Proforma Balance Sheet'!$J$54</f>
        <v>7.0331838240343739E-3</v>
      </c>
      <c r="K61" s="39">
        <f>'Proforma Balance Sheet'!K39/'Proforma Balance Sheet'!$K$54</f>
        <v>7.0215385095510783E-3</v>
      </c>
    </row>
    <row r="62" spans="1:11" x14ac:dyDescent="0.25">
      <c r="A62" s="14" t="str">
        <f>'Proforma Balance Sheet'!A40</f>
        <v>Total non current liabilities</v>
      </c>
      <c r="B62" s="15">
        <f>'Proforma Balance Sheet'!B40/'Proforma Balance Sheet'!$B$54</f>
        <v>0.17878926854982638</v>
      </c>
      <c r="C62" s="15">
        <f>'Proforma Balance Sheet'!C40/'Proforma Balance Sheet'!$C$54</f>
        <v>0.148148856436357</v>
      </c>
      <c r="D62" s="15">
        <f>'Proforma Balance Sheet'!D40/'Proforma Balance Sheet'!$D$54</f>
        <v>0.10618339004380184</v>
      </c>
      <c r="E62" s="15">
        <f>'Proforma Balance Sheet'!E40/'Proforma Balance Sheet'!$E$54</f>
        <v>0.16423371870918291</v>
      </c>
      <c r="F62" s="15">
        <f>'Proforma Balance Sheet'!F40/'Proforma Balance Sheet'!$F$54</f>
        <v>0.20055045427257659</v>
      </c>
      <c r="G62" s="15">
        <f>'Proforma Balance Sheet'!G40/'Proforma Balance Sheet'!$G$54</f>
        <v>0.1475971983753967</v>
      </c>
      <c r="H62" s="15">
        <f>'Proforma Balance Sheet'!H40/'Proforma Balance Sheet'!$H$54</f>
        <v>0.14328660475779861</v>
      </c>
      <c r="I62" s="15">
        <f>'Proforma Balance Sheet'!I40/'Proforma Balance Sheet'!$I$54</f>
        <v>0.13925736321416332</v>
      </c>
      <c r="J62" s="15">
        <f>'Proforma Balance Sheet'!J40/'Proforma Balance Sheet'!$J$54</f>
        <v>0.13508099283807853</v>
      </c>
      <c r="K62" s="39">
        <f>'Proforma Balance Sheet'!K40/'Proforma Balance Sheet'!$K$54</f>
        <v>0.13185872172376445</v>
      </c>
    </row>
    <row r="63" spans="1:11" x14ac:dyDescent="0.25">
      <c r="A63" s="14" t="str">
        <f>'Proforma Balance Sheet'!A41</f>
        <v>Current liabilities</v>
      </c>
      <c r="B63" s="15"/>
      <c r="C63" s="15"/>
      <c r="D63" s="15"/>
      <c r="E63" s="15"/>
      <c r="F63" s="15"/>
      <c r="G63" s="15">
        <f>'Proforma Balance Sheet'!G41/'Proforma Balance Sheet'!$G$54</f>
        <v>0</v>
      </c>
      <c r="H63" s="15">
        <f>'Proforma Balance Sheet'!H41/'Proforma Balance Sheet'!$H$54</f>
        <v>0</v>
      </c>
      <c r="I63" s="15">
        <f>'Proforma Balance Sheet'!I41/'Proforma Balance Sheet'!$I$54</f>
        <v>0</v>
      </c>
      <c r="J63" s="15">
        <f>'Proforma Balance Sheet'!J41/'Proforma Balance Sheet'!$J$54</f>
        <v>0</v>
      </c>
      <c r="K63" s="39">
        <f>'Proforma Balance Sheet'!K41/'Proforma Balance Sheet'!$K$54</f>
        <v>0</v>
      </c>
    </row>
    <row r="64" spans="1:11" x14ac:dyDescent="0.25">
      <c r="A64" s="14" t="str">
        <f>'Proforma Balance Sheet'!A43</f>
        <v>Trade payables</v>
      </c>
      <c r="B64" s="15">
        <f>'Proforma Balance Sheet'!B43/'Proforma Balance Sheet'!$B$54</f>
        <v>1.9314517184985648E-2</v>
      </c>
      <c r="C64" s="15">
        <f>'Proforma Balance Sheet'!C43/'Proforma Balance Sheet'!$C$54</f>
        <v>5.7200387707691515E-2</v>
      </c>
      <c r="D64" s="15">
        <f>'Proforma Balance Sheet'!D43/'Proforma Balance Sheet'!$D$54</f>
        <v>9.5682181060177285E-2</v>
      </c>
      <c r="E64" s="15">
        <f>'Proforma Balance Sheet'!E43/'Proforma Balance Sheet'!$E$54</f>
        <v>7.9394555834151781E-2</v>
      </c>
      <c r="F64" s="15">
        <f>'Proforma Balance Sheet'!F43/'Proforma Balance Sheet'!$F$54</f>
        <v>8.8950764233512322E-2</v>
      </c>
      <c r="G64" s="15">
        <f>'Proforma Balance Sheet'!G43/'Proforma Balance Sheet'!$G$54</f>
        <v>8.8249834023937893E-2</v>
      </c>
      <c r="H64" s="15">
        <f>'Proforma Balance Sheet'!H43/'Proforma Balance Sheet'!$H$54</f>
        <v>8.7769140988900554E-2</v>
      </c>
      <c r="I64" s="15">
        <f>'Proforma Balance Sheet'!I43/'Proforma Balance Sheet'!$I$54</f>
        <v>8.7278972613329092E-2</v>
      </c>
      <c r="J64" s="15">
        <f>'Proforma Balance Sheet'!J43/'Proforma Balance Sheet'!$J$54</f>
        <v>8.648234418906138E-2</v>
      </c>
      <c r="K64" s="39">
        <f>'Proforma Balance Sheet'!K43/'Proforma Balance Sheet'!$K$54</f>
        <v>8.6044302824189137E-2</v>
      </c>
    </row>
    <row r="65" spans="1:11" x14ac:dyDescent="0.25">
      <c r="A65" s="14" t="str">
        <f>'Proforma Balance Sheet'!A44</f>
        <v>Short term loan from banks</v>
      </c>
      <c r="B65" s="15">
        <f>'Proforma Balance Sheet'!B44/'Proforma Balance Sheet'!$B$54</f>
        <v>0.21518076466964214</v>
      </c>
      <c r="C65" s="15">
        <f>'Proforma Balance Sheet'!C44/'Proforma Balance Sheet'!$C$54</f>
        <v>0.26419976242161858</v>
      </c>
      <c r="D65" s="15">
        <f>'Proforma Balance Sheet'!D44/'Proforma Balance Sheet'!$D$54</f>
        <v>0.26750763550533291</v>
      </c>
      <c r="E65" s="15">
        <f>'Proforma Balance Sheet'!E44/'Proforma Balance Sheet'!$E$54</f>
        <v>0.27882442773206351</v>
      </c>
      <c r="F65" s="15">
        <f>'Proforma Balance Sheet'!F44/'Proforma Balance Sheet'!$F$54</f>
        <v>0.23589152334087146</v>
      </c>
      <c r="G65" s="15">
        <f>'Proforma Balance Sheet'!G44/'Proforma Balance Sheet'!$G$54</f>
        <v>0.24069117310216681</v>
      </c>
      <c r="H65" s="15">
        <f>'Proforma Balance Sheet'!H44/'Proforma Balance Sheet'!$H$54</f>
        <v>0.23938013867604208</v>
      </c>
      <c r="I65" s="15">
        <f>'Proforma Balance Sheet'!I44/'Proforma Balance Sheet'!$I$54</f>
        <v>0.23804326135906173</v>
      </c>
      <c r="J65" s="15">
        <f>'Proforma Balance Sheet'!J44/'Proforma Balance Sheet'!$J$54</f>
        <v>0.23587054985105468</v>
      </c>
      <c r="K65" s="39">
        <f>'Proforma Balance Sheet'!K44/'Proforma Balance Sheet'!$K$54</f>
        <v>0.23467584290180671</v>
      </c>
    </row>
    <row r="66" spans="1:11" x14ac:dyDescent="0.25">
      <c r="A66" s="14" t="str">
        <f>'Proforma Balance Sheet'!A45</f>
        <v>Current portion of long term loan</v>
      </c>
      <c r="B66" s="15">
        <f>'Proforma Balance Sheet'!B45/'Proforma Balance Sheet'!$B$54</f>
        <v>8.8531072944008721E-2</v>
      </c>
      <c r="C66" s="15">
        <f>'Proforma Balance Sheet'!C45/'Proforma Balance Sheet'!$C$54</f>
        <v>3.3095094759858307E-2</v>
      </c>
      <c r="D66" s="15">
        <f>'Proforma Balance Sheet'!D45/'Proforma Balance Sheet'!$D$54</f>
        <v>3.3707619515486308E-2</v>
      </c>
      <c r="E66" s="15">
        <f>'Proforma Balance Sheet'!E45/'Proforma Balance Sheet'!$E$54</f>
        <v>3.9616301995998422E-2</v>
      </c>
      <c r="F66" s="15">
        <f>'Proforma Balance Sheet'!F45/'Proforma Balance Sheet'!$F$54</f>
        <v>5.5776878105726929E-2</v>
      </c>
      <c r="G66" s="15">
        <f>'Proforma Balance Sheet'!G45/'Proforma Balance Sheet'!$G$54</f>
        <v>3.905524016535579E-2</v>
      </c>
      <c r="H66" s="15">
        <f>'Proforma Balance Sheet'!H45/'Proforma Balance Sheet'!$H$54</f>
        <v>3.7864045472968767E-2</v>
      </c>
      <c r="I66" s="15">
        <f>'Proforma Balance Sheet'!I45/'Proforma Balance Sheet'!$I$54</f>
        <v>3.6767015866176714E-2</v>
      </c>
      <c r="J66" s="15">
        <f>'Proforma Balance Sheet'!J45/'Proforma Balance Sheet'!$J$54</f>
        <v>3.5640668961823947E-2</v>
      </c>
      <c r="K66" s="39">
        <f>'Proforma Balance Sheet'!K45/'Proforma Balance Sheet'!$K$54</f>
        <v>3.4747027343328858E-2</v>
      </c>
    </row>
    <row r="67" spans="1:11" x14ac:dyDescent="0.25">
      <c r="A67" s="14" t="str">
        <f>'Proforma Balance Sheet'!A46</f>
        <v>Current portio of finance lease</v>
      </c>
      <c r="B67" s="15">
        <f>'Proforma Balance Sheet'!B46/'Proforma Balance Sheet'!$B$54</f>
        <v>5.3023530170651416E-5</v>
      </c>
      <c r="C67" s="15">
        <f>'Proforma Balance Sheet'!C46/'Proforma Balance Sheet'!$C$54</f>
        <v>1.2406100231645615E-4</v>
      </c>
      <c r="D67" s="15">
        <f>'Proforma Balance Sheet'!D46/'Proforma Balance Sheet'!$D$54</f>
        <v>9.2684890543549503E-5</v>
      </c>
      <c r="E67" s="15">
        <f>'Proforma Balance Sheet'!E46/'Proforma Balance Sheet'!$E$54</f>
        <v>1.5173306976455557E-5</v>
      </c>
      <c r="F67" s="15">
        <f>'Proforma Balance Sheet'!F46/'Proforma Balance Sheet'!$F$54</f>
        <v>0</v>
      </c>
      <c r="G67" s="15">
        <f>'Proforma Balance Sheet'!G46/'Proforma Balance Sheet'!$G$54</f>
        <v>0</v>
      </c>
      <c r="H67" s="15">
        <f>'Proforma Balance Sheet'!H46/'Proforma Balance Sheet'!$H$54</f>
        <v>0</v>
      </c>
      <c r="I67" s="15">
        <f>'Proforma Balance Sheet'!I46/'Proforma Balance Sheet'!$I$54</f>
        <v>0</v>
      </c>
      <c r="J67" s="15">
        <f>'Proforma Balance Sheet'!J46/'Proforma Balance Sheet'!$J$54</f>
        <v>0</v>
      </c>
      <c r="K67" s="39">
        <f>'Proforma Balance Sheet'!K46/'Proforma Balance Sheet'!$K$54</f>
        <v>0</v>
      </c>
    </row>
    <row r="68" spans="1:11" x14ac:dyDescent="0.25">
      <c r="A68" s="14" t="str">
        <f>'Proforma Balance Sheet'!A47</f>
        <v>Provision for income tax</v>
      </c>
      <c r="B68" s="15">
        <f>'Proforma Balance Sheet'!B47/'Proforma Balance Sheet'!$B$54</f>
        <v>1.842095056742335E-2</v>
      </c>
      <c r="C68" s="15">
        <f>'Proforma Balance Sheet'!C47/'Proforma Balance Sheet'!$C$54</f>
        <v>2.0968770252430061E-2</v>
      </c>
      <c r="D68" s="15">
        <f>'Proforma Balance Sheet'!D47/'Proforma Balance Sheet'!$D$54</f>
        <v>2.0111576647262853E-2</v>
      </c>
      <c r="E68" s="15">
        <f>'Proforma Balance Sheet'!E47/'Proforma Balance Sheet'!$E$54</f>
        <v>2.3393344095935673E-2</v>
      </c>
      <c r="F68" s="15">
        <f>'Proforma Balance Sheet'!F47/'Proforma Balance Sheet'!$F$54</f>
        <v>1.5132450317831498E-2</v>
      </c>
      <c r="G68" s="15">
        <f>'Proforma Balance Sheet'!G47/'Proforma Balance Sheet'!$G$54</f>
        <v>1.8685268483211639E-2</v>
      </c>
      <c r="H68" s="15">
        <f>'Proforma Balance Sheet'!H47/'Proforma Balance Sheet'!$H$54</f>
        <v>1.858349063266921E-2</v>
      </c>
      <c r="I68" s="15">
        <f>'Proforma Balance Sheet'!I47/'Proforma Balance Sheet'!$I$54</f>
        <v>1.8479706554196632E-2</v>
      </c>
      <c r="J68" s="15">
        <f>'Proforma Balance Sheet'!J47/'Proforma Balance Sheet'!$J$54</f>
        <v>1.8311035234262335E-2</v>
      </c>
      <c r="K68" s="39">
        <f>'Proforma Balance Sheet'!K47/'Proforma Balance Sheet'!$K$54</f>
        <v>1.821828808521761E-2</v>
      </c>
    </row>
    <row r="69" spans="1:11" x14ac:dyDescent="0.25">
      <c r="A69" s="14" t="str">
        <f>'Proforma Balance Sheet'!A48</f>
        <v>Provision for WPFF and welfare fund</v>
      </c>
      <c r="B69" s="15">
        <f>'Proforma Balance Sheet'!B48/'Proforma Balance Sheet'!$B$54</f>
        <v>8.0597748410419431E-3</v>
      </c>
      <c r="C69" s="15">
        <f>'Proforma Balance Sheet'!C48/'Proforma Balance Sheet'!$C$54</f>
        <v>2.8564137323129641E-3</v>
      </c>
      <c r="D69" s="15">
        <f>'Proforma Balance Sheet'!D48/'Proforma Balance Sheet'!$D$54</f>
        <v>2.6746147636456871E-3</v>
      </c>
      <c r="E69" s="15">
        <f>'Proforma Balance Sheet'!E48/'Proforma Balance Sheet'!$E$54</f>
        <v>1.2781224198806973E-3</v>
      </c>
      <c r="F69" s="15">
        <f>'Proforma Balance Sheet'!F48/'Proforma Balance Sheet'!$F$54</f>
        <v>2.056717887907171E-3</v>
      </c>
      <c r="G69" s="15">
        <f>'Proforma Balance Sheet'!G48/'Proforma Balance Sheet'!$G$54</f>
        <v>1.2381571794693728E-2</v>
      </c>
      <c r="H69" s="15">
        <f>'Proforma Balance Sheet'!H48/'Proforma Balance Sheet'!$H$54</f>
        <v>1.334213195858047E-2</v>
      </c>
      <c r="I69" s="15">
        <f>'Proforma Balance Sheet'!I48/'Proforma Balance Sheet'!$I$54</f>
        <v>1.421915813380306E-2</v>
      </c>
      <c r="J69" s="15">
        <f>'Proforma Balance Sheet'!J48/'Proforma Balance Sheet'!$J$54</f>
        <v>1.4966978848458743E-2</v>
      </c>
      <c r="K69" s="39">
        <f>'Proforma Balance Sheet'!K48/'Proforma Balance Sheet'!$K$54</f>
        <v>1.5703882969948721E-2</v>
      </c>
    </row>
    <row r="70" spans="1:11" x14ac:dyDescent="0.25">
      <c r="A70" s="14" t="str">
        <f>'Proforma Balance Sheet'!A49</f>
        <v>Liabilities for expenses and other provision</v>
      </c>
      <c r="B70" s="15">
        <f>'Proforma Balance Sheet'!B49/'Proforma Balance Sheet'!$B$54</f>
        <v>3.0622848187589674E-2</v>
      </c>
      <c r="C70" s="15">
        <f>'Proforma Balance Sheet'!C49/'Proforma Balance Sheet'!$C$54</f>
        <v>4.6306461712141624E-2</v>
      </c>
      <c r="D70" s="15">
        <f>'Proforma Balance Sheet'!D49/'Proforma Balance Sheet'!$D$54</f>
        <v>3.8820852661068724E-2</v>
      </c>
      <c r="E70" s="15">
        <f>'Proforma Balance Sheet'!E49/'Proforma Balance Sheet'!$E$54</f>
        <v>3.7014718702037097E-2</v>
      </c>
      <c r="F70" s="15">
        <f>'Proforma Balance Sheet'!F49/'Proforma Balance Sheet'!$F$54</f>
        <v>3.1631375955481579E-2</v>
      </c>
      <c r="G70" s="15">
        <f>'Proforma Balance Sheet'!G49/'Proforma Balance Sheet'!$G$54</f>
        <v>3.4625656957267804E-2</v>
      </c>
      <c r="H70" s="15">
        <f>'Proforma Balance Sheet'!H49/'Proforma Balance Sheet'!$H$54</f>
        <v>3.5309523004182698E-2</v>
      </c>
      <c r="I70" s="15">
        <f>'Proforma Balance Sheet'!I49/'Proforma Balance Sheet'!$I$54</f>
        <v>3.5566068860787767E-2</v>
      </c>
      <c r="J70" s="15">
        <f>'Proforma Balance Sheet'!J49/'Proforma Balance Sheet'!$J$54</f>
        <v>3.7644977227554471E-2</v>
      </c>
      <c r="K70" s="39">
        <f>'Proforma Balance Sheet'!K49/'Proforma Balance Sheet'!$K$54</f>
        <v>3.4213737333224123E-2</v>
      </c>
    </row>
    <row r="71" spans="1:11" x14ac:dyDescent="0.25">
      <c r="A71" s="14" t="str">
        <f>'Proforma Balance Sheet'!A50</f>
        <v>Unclaimed dividend</v>
      </c>
      <c r="B71" s="15">
        <f>'Proforma Balance Sheet'!B50/'Proforma Balance Sheet'!$B$54</f>
        <v>0</v>
      </c>
      <c r="C71" s="15">
        <f>'Proforma Balance Sheet'!C50/'Proforma Balance Sheet'!$C$54</f>
        <v>0</v>
      </c>
      <c r="D71" s="15">
        <f>'Proforma Balance Sheet'!D50/'Proforma Balance Sheet'!$D$54</f>
        <v>0</v>
      </c>
      <c r="E71" s="15">
        <f>'Proforma Balance Sheet'!E50/'Proforma Balance Sheet'!$E$54</f>
        <v>1.6199383041966423E-3</v>
      </c>
      <c r="F71" s="15">
        <f>'Proforma Balance Sheet'!F50/'Proforma Balance Sheet'!$F$54</f>
        <v>1.0587154658087327E-3</v>
      </c>
      <c r="G71" s="15">
        <f>'Proforma Balance Sheet'!G50/'Proforma Balance Sheet'!$G$54</f>
        <v>7.5329795443337759E-4</v>
      </c>
      <c r="H71" s="15">
        <f>'Proforma Balance Sheet'!H50/'Proforma Balance Sheet'!$H$54</f>
        <v>4.8051266741084501E-4</v>
      </c>
      <c r="I71" s="15">
        <f>'Proforma Balance Sheet'!I50/'Proforma Balance Sheet'!$I$54</f>
        <v>0</v>
      </c>
      <c r="J71" s="15">
        <f>'Proforma Balance Sheet'!J50/'Proforma Balance Sheet'!$J$54</f>
        <v>0</v>
      </c>
      <c r="K71" s="39">
        <f>'Proforma Balance Sheet'!K50/'Proforma Balance Sheet'!$K$54</f>
        <v>0</v>
      </c>
    </row>
    <row r="72" spans="1:11" x14ac:dyDescent="0.25">
      <c r="A72" s="14" t="str">
        <f>'Proforma Balance Sheet'!A51</f>
        <v>Lease liabilities</v>
      </c>
      <c r="B72" s="15">
        <f>'Proforma Balance Sheet'!B51/'Proforma Balance Sheet'!$B$54</f>
        <v>0</v>
      </c>
      <c r="C72" s="15">
        <f>'Proforma Balance Sheet'!C51/'Proforma Balance Sheet'!$C$54</f>
        <v>0</v>
      </c>
      <c r="D72" s="15">
        <f>'Proforma Balance Sheet'!D51/'Proforma Balance Sheet'!$D$54</f>
        <v>0</v>
      </c>
      <c r="E72" s="15">
        <f>'Proforma Balance Sheet'!E51/'Proforma Balance Sheet'!$E$54</f>
        <v>0</v>
      </c>
      <c r="F72" s="15">
        <f>'Proforma Balance Sheet'!F51/'Proforma Balance Sheet'!$F$54</f>
        <v>1.5440405985818153E-4</v>
      </c>
      <c r="G72" s="15">
        <f>'Proforma Balance Sheet'!G51/'Proforma Balance Sheet'!$G$54</f>
        <v>1.275671746781572E-4</v>
      </c>
      <c r="H72" s="15">
        <f>'Proforma Balance Sheet'!H51/'Proforma Balance Sheet'!$H$54</f>
        <v>8.8581077204500969E-5</v>
      </c>
      <c r="I72" s="15">
        <f>'Proforma Balance Sheet'!I51/'Proforma Balance Sheet'!$I$54</f>
        <v>5.4667228822411435E-5</v>
      </c>
      <c r="J72" s="15">
        <f>'Proforma Balance Sheet'!J51/'Proforma Balance Sheet'!$J$54</f>
        <v>2.5212809802716314E-5</v>
      </c>
      <c r="K72" s="39">
        <f>'Proforma Balance Sheet'!K51/'Proforma Balance Sheet'!$K$54</f>
        <v>0</v>
      </c>
    </row>
    <row r="73" spans="1:11" x14ac:dyDescent="0.25">
      <c r="A73" s="14" t="str">
        <f>'Proforma Balance Sheet'!A52</f>
        <v>Total current liablities</v>
      </c>
      <c r="B73" s="15">
        <f>'Proforma Balance Sheet'!B52/'Proforma Balance Sheet'!$B$54</f>
        <v>0.38018295192486212</v>
      </c>
      <c r="C73" s="15">
        <f>'Proforma Balance Sheet'!C52/'Proforma Balance Sheet'!$C$54</f>
        <v>0.42475095158836951</v>
      </c>
      <c r="D73" s="15">
        <f>'Proforma Balance Sheet'!D52/'Proforma Balance Sheet'!$D$54</f>
        <v>0.45859716504351733</v>
      </c>
      <c r="E73" s="15">
        <f>'Proforma Balance Sheet'!E52/'Proforma Balance Sheet'!$E$54</f>
        <v>0.4611565823912403</v>
      </c>
      <c r="F73" s="15">
        <f>'Proforma Balance Sheet'!F52/'Proforma Balance Sheet'!$F$54</f>
        <v>0.43065282936699784</v>
      </c>
      <c r="G73" s="15">
        <f>'Proforma Balance Sheet'!G52/'Proforma Balance Sheet'!$G$54</f>
        <v>0.4345696096557452</v>
      </c>
      <c r="H73" s="15">
        <f>'Proforma Balance Sheet'!H52/'Proforma Balance Sheet'!$H$54</f>
        <v>0.43281756447795916</v>
      </c>
      <c r="I73" s="15">
        <f>'Proforma Balance Sheet'!I52/'Proforma Balance Sheet'!$I$54</f>
        <v>0.4304088506161774</v>
      </c>
      <c r="J73" s="15">
        <f>'Proforma Balance Sheet'!J52/'Proforma Balance Sheet'!$J$54</f>
        <v>0.42894176712201831</v>
      </c>
      <c r="K73" s="39">
        <f>'Proforma Balance Sheet'!K52/'Proforma Balance Sheet'!$K$54</f>
        <v>0.42360308145771519</v>
      </c>
    </row>
    <row r="74" spans="1:11" x14ac:dyDescent="0.25">
      <c r="A74" s="14" t="str">
        <f>'Proforma Balance Sheet'!A53</f>
        <v>Total Liabilites</v>
      </c>
      <c r="B74" s="15">
        <f>'Proforma Balance Sheet'!B53/'Proforma Balance Sheet'!$B$54</f>
        <v>0.55897222047468853</v>
      </c>
      <c r="C74" s="15">
        <f>'Proforma Balance Sheet'!C53/'Proforma Balance Sheet'!$C$54</f>
        <v>0.57289980802472651</v>
      </c>
      <c r="D74" s="15">
        <f>'Proforma Balance Sheet'!D53/'Proforma Balance Sheet'!$D$54</f>
        <v>0.56478055508731917</v>
      </c>
      <c r="E74" s="15">
        <f>'Proforma Balance Sheet'!E53/'Proforma Balance Sheet'!$E$54</f>
        <v>0.62539030110042315</v>
      </c>
      <c r="F74" s="15">
        <f>'Proforma Balance Sheet'!F53/'Proforma Balance Sheet'!$F$54</f>
        <v>0.63120328363957445</v>
      </c>
      <c r="G74" s="15">
        <f>'Proforma Balance Sheet'!G53/'Proforma Balance Sheet'!$G$54</f>
        <v>0.58216680803114196</v>
      </c>
      <c r="H74" s="15">
        <f>'Proforma Balance Sheet'!H53/'Proforma Balance Sheet'!$H$54</f>
        <v>0.5761041692357578</v>
      </c>
      <c r="I74" s="15">
        <f>'Proforma Balance Sheet'!I53/'Proforma Balance Sheet'!$I$54</f>
        <v>0.56966621383034066</v>
      </c>
      <c r="J74" s="15">
        <f>'Proforma Balance Sheet'!J53/'Proforma Balance Sheet'!$J$54</f>
        <v>0.56402275996009688</v>
      </c>
      <c r="K74" s="39">
        <f>'Proforma Balance Sheet'!K53/'Proforma Balance Sheet'!$K$54</f>
        <v>0.55546180318147964</v>
      </c>
    </row>
    <row r="75" spans="1:11" ht="15.75" thickBot="1" x14ac:dyDescent="0.3">
      <c r="A75" s="33" t="str">
        <f>'Proforma Balance Sheet'!A54</f>
        <v>Total equity and liabilities</v>
      </c>
      <c r="B75" s="40">
        <f>'Proforma Balance Sheet'!B54/'Proforma Balance Sheet'!$B$54</f>
        <v>1</v>
      </c>
      <c r="C75" s="40">
        <f>'Proforma Balance Sheet'!C54/'Proforma Balance Sheet'!$C$54</f>
        <v>1</v>
      </c>
      <c r="D75" s="40">
        <f>'Proforma Balance Sheet'!D54/'Proforma Balance Sheet'!$D$54</f>
        <v>1</v>
      </c>
      <c r="E75" s="40">
        <f>'Proforma Balance Sheet'!E54/'Proforma Balance Sheet'!$E$54</f>
        <v>1</v>
      </c>
      <c r="F75" s="40">
        <f>'Proforma Balance Sheet'!F54/'Proforma Balance Sheet'!$F$54</f>
        <v>1</v>
      </c>
      <c r="G75" s="40">
        <f>'Proforma Balance Sheet'!G54/'Proforma Balance Sheet'!$G$54</f>
        <v>1</v>
      </c>
      <c r="H75" s="40">
        <f>'Proforma Balance Sheet'!H54/'Proforma Balance Sheet'!$H$54</f>
        <v>1</v>
      </c>
      <c r="I75" s="40">
        <f>'Proforma Balance Sheet'!I54/'Proforma Balance Sheet'!$I$54</f>
        <v>1</v>
      </c>
      <c r="J75" s="40">
        <f>'Proforma Balance Sheet'!J54/'Proforma Balance Sheet'!$J$54</f>
        <v>1</v>
      </c>
      <c r="K75" s="41">
        <f>'Proforma Balance Sheet'!K54/'Proforma Balance Sheet'!$K$54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1"/>
  <sheetViews>
    <sheetView workbookViewId="0">
      <selection activeCell="G15" sqref="G15"/>
    </sheetView>
  </sheetViews>
  <sheetFormatPr defaultRowHeight="15" x14ac:dyDescent="0.25"/>
  <cols>
    <col min="1" max="1" width="11.140625" customWidth="1"/>
    <col min="3" max="3" width="11" bestFit="1" customWidth="1"/>
    <col min="4" max="4" width="11.42578125" bestFit="1" customWidth="1"/>
    <col min="5" max="5" width="17.7109375" bestFit="1" customWidth="1"/>
    <col min="7" max="7" width="18" bestFit="1" customWidth="1"/>
  </cols>
  <sheetData>
    <row r="1" spans="1:8" ht="15.75" thickBot="1" x14ac:dyDescent="0.3">
      <c r="A1" t="s">
        <v>147</v>
      </c>
      <c r="B1" t="s">
        <v>148</v>
      </c>
      <c r="C1" t="s">
        <v>149</v>
      </c>
      <c r="D1" t="s">
        <v>150</v>
      </c>
      <c r="E1" t="s">
        <v>151</v>
      </c>
    </row>
    <row r="2" spans="1:8" x14ac:dyDescent="0.25">
      <c r="A2" s="96">
        <v>44734</v>
      </c>
      <c r="B2" s="97">
        <v>6425.73</v>
      </c>
      <c r="C2" s="98">
        <v>54</v>
      </c>
      <c r="D2" s="93">
        <f>(B2-B3)/B3</f>
        <v>5.1432459701071034E-3</v>
      </c>
      <c r="E2" s="93">
        <f>(C2-C3)/C3</f>
        <v>6.2992125984252023E-2</v>
      </c>
      <c r="G2" s="10" t="s">
        <v>152</v>
      </c>
      <c r="H2" s="131">
        <f>_xlfn.COVARIANCE.S(D2:D37,E2:E37)</f>
        <v>3.1407041885922202E-3</v>
      </c>
    </row>
    <row r="3" spans="1:8" x14ac:dyDescent="0.25">
      <c r="A3" s="96">
        <v>44703</v>
      </c>
      <c r="B3" s="97">
        <v>6392.85</v>
      </c>
      <c r="C3" s="98">
        <v>50.8</v>
      </c>
      <c r="D3" s="93">
        <f t="shared" ref="D3:D37" si="0">(B3-B4)/B4</f>
        <v>-3.9486692529365909E-2</v>
      </c>
      <c r="E3" s="93">
        <f t="shared" ref="E3:E37" si="1">(C3-C4)/C4</f>
        <v>-4.511278195488732E-2</v>
      </c>
      <c r="G3" s="14" t="s">
        <v>153</v>
      </c>
      <c r="H3" s="95">
        <f>_xlfn.VAR.S(D2:D37)</f>
        <v>2.7175055381109467E-3</v>
      </c>
    </row>
    <row r="4" spans="1:8" ht="15.75" thickBot="1" x14ac:dyDescent="0.3">
      <c r="A4" s="96">
        <v>44673</v>
      </c>
      <c r="B4" s="97">
        <v>6655.66</v>
      </c>
      <c r="C4" s="98">
        <v>53.2</v>
      </c>
      <c r="D4" s="93">
        <f t="shared" si="0"/>
        <v>-1.511875853639409E-2</v>
      </c>
      <c r="E4" s="93">
        <f t="shared" si="1"/>
        <v>4.5186640471512857E-2</v>
      </c>
      <c r="G4" s="141" t="s">
        <v>154</v>
      </c>
      <c r="H4" s="142">
        <f>H2/H3</f>
        <v>1.1557305567720966</v>
      </c>
    </row>
    <row r="5" spans="1:8" x14ac:dyDescent="0.25">
      <c r="A5" s="96">
        <v>44642</v>
      </c>
      <c r="B5" s="97">
        <v>6757.83</v>
      </c>
      <c r="C5" s="98">
        <v>50.9</v>
      </c>
      <c r="D5" s="93">
        <f t="shared" si="0"/>
        <v>2.7287133649087059E-3</v>
      </c>
      <c r="E5" s="93">
        <f t="shared" si="1"/>
        <v>0</v>
      </c>
    </row>
    <row r="6" spans="1:8" x14ac:dyDescent="0.25">
      <c r="A6" s="96">
        <v>44614</v>
      </c>
      <c r="B6" s="97">
        <v>6739.44</v>
      </c>
      <c r="C6" s="98">
        <v>50.9</v>
      </c>
      <c r="D6" s="93">
        <f t="shared" si="0"/>
        <v>-2.6976924154200929E-2</v>
      </c>
      <c r="E6" s="93">
        <f t="shared" si="1"/>
        <v>-4.5028142589118178E-2</v>
      </c>
    </row>
    <row r="7" spans="1:8" x14ac:dyDescent="0.25">
      <c r="A7" s="96">
        <v>44583</v>
      </c>
      <c r="B7" s="97">
        <v>6926.29</v>
      </c>
      <c r="C7" s="98">
        <v>53.3</v>
      </c>
      <c r="D7" s="93">
        <f t="shared" si="0"/>
        <v>2.5107116692443792E-2</v>
      </c>
      <c r="E7" s="93">
        <f t="shared" si="1"/>
        <v>3.8986354775828465E-2</v>
      </c>
    </row>
    <row r="8" spans="1:8" x14ac:dyDescent="0.25">
      <c r="A8" s="96">
        <v>44916</v>
      </c>
      <c r="B8" s="97">
        <v>6756.65</v>
      </c>
      <c r="C8" s="98">
        <v>51.3</v>
      </c>
      <c r="D8" s="93">
        <f t="shared" si="0"/>
        <v>7.9662850110020708E-3</v>
      </c>
      <c r="E8" s="93">
        <f t="shared" si="1"/>
        <v>3.9138943248531455E-3</v>
      </c>
    </row>
    <row r="9" spans="1:8" x14ac:dyDescent="0.25">
      <c r="A9" s="96">
        <v>44886</v>
      </c>
      <c r="B9" s="97">
        <v>6703.25</v>
      </c>
      <c r="C9" s="98">
        <v>51.1</v>
      </c>
      <c r="D9" s="93">
        <f t="shared" si="0"/>
        <v>-4.2521432836161943E-2</v>
      </c>
      <c r="E9" s="93">
        <f t="shared" si="1"/>
        <v>-0.10820244328097724</v>
      </c>
    </row>
    <row r="10" spans="1:8" x14ac:dyDescent="0.25">
      <c r="A10" s="96">
        <v>44855</v>
      </c>
      <c r="B10" s="97">
        <v>7000.94</v>
      </c>
      <c r="C10" s="98">
        <v>57.3</v>
      </c>
      <c r="D10" s="93">
        <f t="shared" si="0"/>
        <v>-4.4765814848622555E-2</v>
      </c>
      <c r="E10" s="93">
        <f t="shared" si="1"/>
        <v>-9.3354430379746917E-2</v>
      </c>
    </row>
    <row r="11" spans="1:8" x14ac:dyDescent="0.25">
      <c r="A11" s="96">
        <v>44825</v>
      </c>
      <c r="B11" s="97">
        <v>7329.03</v>
      </c>
      <c r="C11" s="98">
        <v>63.2</v>
      </c>
      <c r="D11" s="93">
        <f t="shared" si="0"/>
        <v>6.6934624499944681E-2</v>
      </c>
      <c r="E11" s="93">
        <f t="shared" si="1"/>
        <v>-2.0155038759689877E-2</v>
      </c>
    </row>
    <row r="12" spans="1:8" x14ac:dyDescent="0.25">
      <c r="A12" s="96">
        <v>44794</v>
      </c>
      <c r="B12" s="97">
        <v>6869.24</v>
      </c>
      <c r="C12" s="98">
        <v>64.5</v>
      </c>
      <c r="D12" s="93">
        <f t="shared" si="0"/>
        <v>6.9100813197930003E-2</v>
      </c>
      <c r="E12" s="93">
        <f t="shared" si="1"/>
        <v>7.8125E-3</v>
      </c>
    </row>
    <row r="13" spans="1:8" x14ac:dyDescent="0.25">
      <c r="A13" s="96">
        <v>44763</v>
      </c>
      <c r="B13" s="97">
        <v>6425.25</v>
      </c>
      <c r="C13" s="98">
        <v>64</v>
      </c>
      <c r="D13" s="93">
        <f t="shared" si="0"/>
        <v>4.4674561985406092E-2</v>
      </c>
      <c r="E13" s="93">
        <f t="shared" si="1"/>
        <v>-2.8831562974203421E-2</v>
      </c>
    </row>
    <row r="14" spans="1:8" x14ac:dyDescent="0.25">
      <c r="A14" s="96">
        <v>44733</v>
      </c>
      <c r="B14" s="97">
        <v>6150.48</v>
      </c>
      <c r="C14" s="98">
        <v>65.900000000000006</v>
      </c>
      <c r="D14" s="93">
        <f t="shared" si="0"/>
        <v>2.6623357113527337E-2</v>
      </c>
      <c r="E14" s="93">
        <f t="shared" si="1"/>
        <v>0.17889087656529531</v>
      </c>
    </row>
    <row r="15" spans="1:8" x14ac:dyDescent="0.25">
      <c r="A15" s="96">
        <v>44702</v>
      </c>
      <c r="B15" s="97">
        <v>5990.98</v>
      </c>
      <c r="C15" s="98">
        <v>55.9</v>
      </c>
      <c r="D15" s="93">
        <f t="shared" si="0"/>
        <v>9.3322334983694077E-2</v>
      </c>
      <c r="E15" s="93">
        <f t="shared" si="1"/>
        <v>0.13157894736842105</v>
      </c>
    </row>
    <row r="16" spans="1:8" x14ac:dyDescent="0.25">
      <c r="A16" s="96">
        <v>44672</v>
      </c>
      <c r="B16" s="97">
        <v>5479.61</v>
      </c>
      <c r="C16" s="98">
        <v>49.4</v>
      </c>
      <c r="D16" s="93">
        <f t="shared" si="0"/>
        <v>3.8166709610924984E-2</v>
      </c>
      <c r="E16" s="93">
        <f t="shared" si="1"/>
        <v>-6.0362173038230231E-3</v>
      </c>
    </row>
    <row r="17" spans="1:5" x14ac:dyDescent="0.25">
      <c r="A17" s="96">
        <v>44641</v>
      </c>
      <c r="B17" s="97">
        <v>5278.16</v>
      </c>
      <c r="C17" s="98">
        <v>49.7</v>
      </c>
      <c r="D17" s="93">
        <f t="shared" si="0"/>
        <v>-2.3429217416402876E-2</v>
      </c>
      <c r="E17" s="93">
        <f t="shared" si="1"/>
        <v>-1.7786561264822105E-2</v>
      </c>
    </row>
    <row r="18" spans="1:5" x14ac:dyDescent="0.25">
      <c r="A18" s="96">
        <v>44613</v>
      </c>
      <c r="B18" s="97">
        <v>5404.79</v>
      </c>
      <c r="C18" s="98">
        <v>50.6</v>
      </c>
      <c r="D18" s="93">
        <f t="shared" si="0"/>
        <v>-4.3376296049813572E-2</v>
      </c>
      <c r="E18" s="93">
        <f t="shared" si="1"/>
        <v>1.9801980198020084E-3</v>
      </c>
    </row>
    <row r="19" spans="1:5" x14ac:dyDescent="0.25">
      <c r="A19" s="96">
        <v>44582</v>
      </c>
      <c r="B19" s="97">
        <v>5649.86</v>
      </c>
      <c r="C19" s="98">
        <v>50.5</v>
      </c>
      <c r="D19" s="93">
        <f t="shared" si="0"/>
        <v>4.5871389803149032E-2</v>
      </c>
      <c r="E19" s="93">
        <f t="shared" si="1"/>
        <v>-7.8585461689587143E-3</v>
      </c>
    </row>
    <row r="20" spans="1:5" x14ac:dyDescent="0.25">
      <c r="A20" s="96">
        <v>44915</v>
      </c>
      <c r="B20" s="97">
        <v>5402.06</v>
      </c>
      <c r="C20" s="98">
        <v>50.9</v>
      </c>
      <c r="D20" s="93">
        <f t="shared" si="0"/>
        <v>0.10997279548947576</v>
      </c>
      <c r="E20" s="93">
        <f t="shared" si="1"/>
        <v>0.10173160173160163</v>
      </c>
    </row>
    <row r="21" spans="1:5" x14ac:dyDescent="0.25">
      <c r="A21" s="96">
        <v>44885</v>
      </c>
      <c r="B21" s="97">
        <v>4866.84</v>
      </c>
      <c r="C21" s="98">
        <v>46.2</v>
      </c>
      <c r="D21" s="93">
        <f t="shared" si="0"/>
        <v>4.2797300922390747E-3</v>
      </c>
      <c r="E21" s="93">
        <f t="shared" si="1"/>
        <v>-2.3255813953488254E-2</v>
      </c>
    </row>
    <row r="22" spans="1:5" x14ac:dyDescent="0.25">
      <c r="A22" s="96">
        <v>44854</v>
      </c>
      <c r="B22" s="97">
        <v>4846.1000000000004</v>
      </c>
      <c r="C22" s="98">
        <v>47.3</v>
      </c>
      <c r="D22" s="93">
        <f t="shared" si="0"/>
        <v>-2.3611354565217749E-2</v>
      </c>
      <c r="E22" s="93">
        <f t="shared" si="1"/>
        <v>-0.12730627306273073</v>
      </c>
    </row>
    <row r="23" spans="1:5" x14ac:dyDescent="0.25">
      <c r="A23" s="96">
        <v>44824</v>
      </c>
      <c r="B23" s="97">
        <v>4963.29</v>
      </c>
      <c r="C23" s="98">
        <v>54.2</v>
      </c>
      <c r="D23" s="93">
        <f t="shared" si="0"/>
        <v>1.7246891870288539E-2</v>
      </c>
      <c r="E23" s="93">
        <f t="shared" si="1"/>
        <v>3.6328871892925538E-2</v>
      </c>
    </row>
    <row r="24" spans="1:5" x14ac:dyDescent="0.25">
      <c r="A24" s="96">
        <v>44793</v>
      </c>
      <c r="B24" s="97">
        <v>4879.1400000000003</v>
      </c>
      <c r="C24" s="98">
        <v>52.3</v>
      </c>
      <c r="D24" s="93">
        <f t="shared" si="0"/>
        <v>0.15772514367338808</v>
      </c>
      <c r="E24" s="93">
        <f t="shared" si="1"/>
        <v>0.13203463203463189</v>
      </c>
    </row>
    <row r="25" spans="1:5" x14ac:dyDescent="0.25">
      <c r="A25" s="96">
        <v>44762</v>
      </c>
      <c r="B25" s="97">
        <v>4214.42</v>
      </c>
      <c r="C25" s="98">
        <v>46.2</v>
      </c>
      <c r="D25" s="93">
        <f t="shared" si="0"/>
        <v>5.6489215558474672E-2</v>
      </c>
      <c r="E25" s="93">
        <f t="shared" si="1"/>
        <v>2.1691973969631545E-3</v>
      </c>
    </row>
    <row r="26" spans="1:5" x14ac:dyDescent="0.25">
      <c r="A26" s="96">
        <v>44732</v>
      </c>
      <c r="B26" s="97">
        <v>3989.08</v>
      </c>
      <c r="C26" s="98">
        <v>46.1</v>
      </c>
      <c r="D26" s="93">
        <f t="shared" si="0"/>
        <v>-1.7574450059599483E-2</v>
      </c>
      <c r="E26" s="93">
        <f t="shared" si="1"/>
        <v>0</v>
      </c>
    </row>
    <row r="27" spans="1:5" x14ac:dyDescent="0.25">
      <c r="A27" s="96">
        <v>44701</v>
      </c>
      <c r="B27" s="97">
        <v>4060.44</v>
      </c>
      <c r="C27" s="98">
        <v>46.1</v>
      </c>
      <c r="D27" s="93">
        <f t="shared" si="0"/>
        <v>1.3013062959673439E-2</v>
      </c>
      <c r="E27" s="93">
        <f t="shared" si="1"/>
        <v>0</v>
      </c>
    </row>
    <row r="28" spans="1:5" x14ac:dyDescent="0.25">
      <c r="A28" s="96">
        <v>44671</v>
      </c>
      <c r="B28" s="97">
        <v>4008.28</v>
      </c>
      <c r="C28" s="98">
        <v>46.1</v>
      </c>
      <c r="D28" s="93">
        <f t="shared" si="0"/>
        <v>0</v>
      </c>
      <c r="E28" s="93">
        <f t="shared" si="1"/>
        <v>0</v>
      </c>
    </row>
    <row r="29" spans="1:5" x14ac:dyDescent="0.25">
      <c r="A29" s="96">
        <v>44640</v>
      </c>
      <c r="B29" s="97">
        <v>4008.28</v>
      </c>
      <c r="C29" s="98">
        <v>46.1</v>
      </c>
      <c r="D29" s="93">
        <f t="shared" si="0"/>
        <v>-0.10533857712344484</v>
      </c>
      <c r="E29" s="93">
        <f t="shared" si="1"/>
        <v>-0.27515723270440251</v>
      </c>
    </row>
    <row r="30" spans="1:5" x14ac:dyDescent="0.25">
      <c r="A30" s="96">
        <v>44612</v>
      </c>
      <c r="B30" s="97">
        <v>4480.22</v>
      </c>
      <c r="C30" s="98">
        <v>63.6</v>
      </c>
      <c r="D30" s="93">
        <f t="shared" si="0"/>
        <v>2.3648384101664826E-3</v>
      </c>
      <c r="E30" s="93">
        <f t="shared" si="1"/>
        <v>0.13368983957219252</v>
      </c>
    </row>
    <row r="31" spans="1:5" x14ac:dyDescent="0.25">
      <c r="A31" s="96">
        <v>44581</v>
      </c>
      <c r="B31" s="97">
        <v>4469.6499999999996</v>
      </c>
      <c r="C31" s="98">
        <v>56.1</v>
      </c>
      <c r="D31" s="93">
        <f t="shared" si="0"/>
        <v>3.7548310887436684E-3</v>
      </c>
      <c r="E31" s="93">
        <f t="shared" si="1"/>
        <v>-5.714285714285712E-2</v>
      </c>
    </row>
    <row r="32" spans="1:5" x14ac:dyDescent="0.25">
      <c r="A32" s="96">
        <v>44914</v>
      </c>
      <c r="B32" s="97">
        <v>4452.93</v>
      </c>
      <c r="C32" s="98">
        <v>59.5</v>
      </c>
      <c r="D32" s="93">
        <f t="shared" si="0"/>
        <v>-5.8861697203593834E-2</v>
      </c>
      <c r="E32" s="93">
        <f t="shared" si="1"/>
        <v>-5.5555555555555552E-2</v>
      </c>
    </row>
    <row r="33" spans="1:5" x14ac:dyDescent="0.25">
      <c r="A33" s="96">
        <v>44884</v>
      </c>
      <c r="B33" s="97">
        <v>4731.43</v>
      </c>
      <c r="C33" s="98">
        <v>63</v>
      </c>
      <c r="D33" s="93">
        <f t="shared" si="0"/>
        <v>1.0363236456042337E-2</v>
      </c>
      <c r="E33" s="93">
        <f t="shared" si="1"/>
        <v>-3.9634146341463332E-2</v>
      </c>
    </row>
    <row r="34" spans="1:5" x14ac:dyDescent="0.25">
      <c r="A34" s="96">
        <v>44853</v>
      </c>
      <c r="B34" s="97">
        <v>4682.8999999999996</v>
      </c>
      <c r="C34" s="98">
        <v>65.599999999999994</v>
      </c>
      <c r="D34" s="93">
        <f t="shared" si="0"/>
        <v>-5.3506426309162261E-2</v>
      </c>
      <c r="E34" s="93">
        <f t="shared" si="1"/>
        <v>-2.9872818692694619E-2</v>
      </c>
    </row>
    <row r="35" spans="1:5" x14ac:dyDescent="0.25">
      <c r="A35" s="96">
        <v>44823</v>
      </c>
      <c r="B35" s="97">
        <v>4947.63</v>
      </c>
      <c r="C35" s="98">
        <v>67.62</v>
      </c>
      <c r="D35" s="93">
        <f t="shared" si="0"/>
        <v>-2.9071170794600289E-2</v>
      </c>
      <c r="E35" s="93">
        <f t="shared" si="1"/>
        <v>-0.22905027932960884</v>
      </c>
    </row>
    <row r="36" spans="1:5" x14ac:dyDescent="0.25">
      <c r="A36" s="96">
        <v>44792</v>
      </c>
      <c r="B36" s="97">
        <v>5095.7700000000004</v>
      </c>
      <c r="C36" s="98">
        <v>87.71</v>
      </c>
      <c r="D36" s="93">
        <f t="shared" si="0"/>
        <v>-8.3716205565900776E-3</v>
      </c>
      <c r="E36" s="93">
        <f t="shared" si="1"/>
        <v>6.3409311348205502E-2</v>
      </c>
    </row>
    <row r="37" spans="1:5" x14ac:dyDescent="0.25">
      <c r="A37" s="96">
        <v>44761</v>
      </c>
      <c r="B37" s="97">
        <v>5138.79</v>
      </c>
      <c r="C37" s="98">
        <v>82.48</v>
      </c>
      <c r="D37" s="93">
        <f t="shared" si="0"/>
        <v>-5.2167064456749075E-2</v>
      </c>
      <c r="E37" s="93">
        <f t="shared" si="1"/>
        <v>-0.1006433322429396</v>
      </c>
    </row>
    <row r="38" spans="1:5" x14ac:dyDescent="0.25">
      <c r="A38" s="96">
        <v>44731</v>
      </c>
      <c r="B38" s="97">
        <v>5421.62</v>
      </c>
      <c r="C38" s="98">
        <v>91.71</v>
      </c>
      <c r="D38" s="93"/>
      <c r="E38" s="93"/>
    </row>
    <row r="39" spans="1:5" x14ac:dyDescent="0.25">
      <c r="B39" s="97"/>
    </row>
    <row r="40" spans="1:5" x14ac:dyDescent="0.25">
      <c r="B40" s="97"/>
    </row>
    <row r="41" spans="1:5" x14ac:dyDescent="0.25">
      <c r="B41" s="97"/>
    </row>
    <row r="42" spans="1:5" x14ac:dyDescent="0.25">
      <c r="B42" s="97"/>
    </row>
    <row r="43" spans="1:5" x14ac:dyDescent="0.25">
      <c r="B43" s="97"/>
    </row>
    <row r="44" spans="1:5" x14ac:dyDescent="0.25">
      <c r="B44" s="97"/>
    </row>
    <row r="45" spans="1:5" x14ac:dyDescent="0.25">
      <c r="B45" s="97"/>
    </row>
    <row r="46" spans="1:5" x14ac:dyDescent="0.25">
      <c r="B46" s="97"/>
    </row>
    <row r="47" spans="1:5" x14ac:dyDescent="0.25">
      <c r="B47" s="97"/>
    </row>
    <row r="48" spans="1:5" x14ac:dyDescent="0.25">
      <c r="B48" s="97"/>
    </row>
    <row r="49" spans="2:2" x14ac:dyDescent="0.25">
      <c r="B49" s="97"/>
    </row>
    <row r="50" spans="2:2" x14ac:dyDescent="0.25">
      <c r="B50" s="97"/>
    </row>
    <row r="51" spans="2:2" x14ac:dyDescent="0.25">
      <c r="B51" s="97"/>
    </row>
    <row r="52" spans="2:2" x14ac:dyDescent="0.25">
      <c r="B52" s="97"/>
    </row>
    <row r="53" spans="2:2" x14ac:dyDescent="0.25">
      <c r="B53" s="97"/>
    </row>
    <row r="54" spans="2:2" x14ac:dyDescent="0.25">
      <c r="B54" s="97"/>
    </row>
    <row r="55" spans="2:2" x14ac:dyDescent="0.25">
      <c r="B55" s="97"/>
    </row>
    <row r="56" spans="2:2" x14ac:dyDescent="0.25">
      <c r="B56" s="97"/>
    </row>
    <row r="57" spans="2:2" x14ac:dyDescent="0.25">
      <c r="B57" s="97"/>
    </row>
    <row r="58" spans="2:2" x14ac:dyDescent="0.25">
      <c r="B58" s="97"/>
    </row>
    <row r="59" spans="2:2" x14ac:dyDescent="0.25">
      <c r="B59" s="97"/>
    </row>
    <row r="60" spans="2:2" x14ac:dyDescent="0.25">
      <c r="B60" s="97"/>
    </row>
    <row r="61" spans="2:2" x14ac:dyDescent="0.25">
      <c r="B61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3"/>
  <sheetViews>
    <sheetView tabSelected="1" workbookViewId="0">
      <selection activeCell="B3" sqref="B3"/>
    </sheetView>
  </sheetViews>
  <sheetFormatPr defaultRowHeight="15" x14ac:dyDescent="0.25"/>
  <cols>
    <col min="1" max="1" width="21.42578125" bestFit="1" customWidth="1"/>
    <col min="2" max="2" width="11.140625" customWidth="1"/>
    <col min="3" max="3" width="16.85546875" bestFit="1" customWidth="1"/>
    <col min="4" max="4" width="13.28515625" customWidth="1"/>
    <col min="5" max="5" width="15.28515625" customWidth="1"/>
    <col min="6" max="6" width="15" customWidth="1"/>
    <col min="7" max="7" width="25.140625" customWidth="1"/>
  </cols>
  <sheetData>
    <row r="2" spans="1:7" x14ac:dyDescent="0.25">
      <c r="A2" t="s">
        <v>155</v>
      </c>
      <c r="B2" s="45">
        <v>7.5300000000000006E-2</v>
      </c>
    </row>
    <row r="3" spans="1:7" x14ac:dyDescent="0.25">
      <c r="A3" t="s">
        <v>156</v>
      </c>
      <c r="B3" s="45">
        <v>0.13009999999999999</v>
      </c>
    </row>
    <row r="4" spans="1:7" x14ac:dyDescent="0.25">
      <c r="A4" t="str">
        <f>'Beta Calculation'!G4</f>
        <v>Beta</v>
      </c>
      <c r="B4" s="98">
        <f>'Beta Calculation'!H4</f>
        <v>1.1557305567720966</v>
      </c>
    </row>
    <row r="6" spans="1:7" x14ac:dyDescent="0.25">
      <c r="A6" s="2" t="s">
        <v>157</v>
      </c>
      <c r="B6" s="132">
        <f>B2+(B3-B2)*B4</f>
        <v>0.13863403451111089</v>
      </c>
    </row>
    <row r="7" spans="1:7" ht="15.75" thickBot="1" x14ac:dyDescent="0.3"/>
    <row r="8" spans="1:7" x14ac:dyDescent="0.25">
      <c r="A8" s="143" t="s">
        <v>158</v>
      </c>
      <c r="B8" s="144">
        <f>(D9*G9)+(D11*G11)</f>
        <v>0.10598707739427816</v>
      </c>
      <c r="C8" s="38"/>
      <c r="D8" s="107" t="s">
        <v>160</v>
      </c>
      <c r="E8" s="64" t="s">
        <v>161</v>
      </c>
      <c r="F8" s="64" t="s">
        <v>162</v>
      </c>
      <c r="G8" s="65" t="s">
        <v>163</v>
      </c>
    </row>
    <row r="9" spans="1:7" x14ac:dyDescent="0.25">
      <c r="A9" s="14" t="s">
        <v>159</v>
      </c>
      <c r="C9" s="103">
        <f>'Proforma Balance Sheet'!G34</f>
        <v>9518910131.0660095</v>
      </c>
      <c r="D9" s="106">
        <f>C9/(C9+C11)</f>
        <v>0.52305000714737249</v>
      </c>
      <c r="E9" s="111">
        <f>B6</f>
        <v>0.13863403451111089</v>
      </c>
      <c r="G9" s="99">
        <f>E9</f>
        <v>0.13863403451111089</v>
      </c>
    </row>
    <row r="10" spans="1:7" x14ac:dyDescent="0.25">
      <c r="A10" s="14"/>
      <c r="C10" s="103"/>
      <c r="D10" s="109"/>
      <c r="E10" s="66"/>
      <c r="G10" s="95"/>
    </row>
    <row r="11" spans="1:7" x14ac:dyDescent="0.25">
      <c r="A11" s="58" t="s">
        <v>164</v>
      </c>
      <c r="B11" s="2"/>
      <c r="C11" s="104">
        <f>SUM(C12:C13)</f>
        <v>8679942752.9642525</v>
      </c>
      <c r="D11" s="108">
        <f>C11/(C11+C9)</f>
        <v>0.47694999285262746</v>
      </c>
      <c r="E11" s="112">
        <v>0.1</v>
      </c>
      <c r="F11" s="45">
        <f>Assumptions!G49</f>
        <v>0.29815399614198534</v>
      </c>
      <c r="G11" s="100">
        <f>E11*(1-F11)</f>
        <v>7.0184600385801474E-2</v>
      </c>
    </row>
    <row r="12" spans="1:7" x14ac:dyDescent="0.25">
      <c r="A12" s="14" t="s">
        <v>165</v>
      </c>
      <c r="C12" s="103">
        <f>'Proforma Balance Sheet'!G37</f>
        <v>3196611868.4443378</v>
      </c>
      <c r="D12" s="109"/>
      <c r="E12" s="112"/>
      <c r="F12" s="45"/>
      <c r="G12" s="95"/>
    </row>
    <row r="13" spans="1:7" ht="15.75" thickBot="1" x14ac:dyDescent="0.3">
      <c r="A13" s="33" t="s">
        <v>166</v>
      </c>
      <c r="B13" s="27"/>
      <c r="C13" s="105">
        <f>'Proforma Balance Sheet'!G44</f>
        <v>5483330884.5199146</v>
      </c>
      <c r="D13" s="110"/>
      <c r="E13" s="113"/>
      <c r="F13" s="101"/>
      <c r="G13" s="10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9"/>
  <sheetViews>
    <sheetView workbookViewId="0">
      <selection activeCell="G14" sqref="G14"/>
    </sheetView>
  </sheetViews>
  <sheetFormatPr defaultRowHeight="15" x14ac:dyDescent="0.25"/>
  <cols>
    <col min="1" max="1" width="33" bestFit="1" customWidth="1"/>
    <col min="2" max="2" width="17.7109375" bestFit="1" customWidth="1"/>
    <col min="3" max="3" width="15.42578125" bestFit="1" customWidth="1"/>
    <col min="4" max="6" width="16.85546875" bestFit="1" customWidth="1"/>
    <col min="7" max="7" width="13.42578125" bestFit="1" customWidth="1"/>
  </cols>
  <sheetData>
    <row r="2" spans="1:7" x14ac:dyDescent="0.25">
      <c r="A2" t="s">
        <v>0</v>
      </c>
      <c r="B2" s="8" t="s">
        <v>78</v>
      </c>
      <c r="C2" s="8" t="s">
        <v>79</v>
      </c>
      <c r="D2" s="8" t="s">
        <v>80</v>
      </c>
      <c r="E2" s="8" t="s">
        <v>81</v>
      </c>
      <c r="F2" s="8" t="s">
        <v>82</v>
      </c>
    </row>
    <row r="4" spans="1:7" x14ac:dyDescent="0.25">
      <c r="A4" t="s">
        <v>145</v>
      </c>
      <c r="B4" s="3">
        <f>'Proforma Income Statement'!G17+'Proforma Income Statement'!G13</f>
        <v>1422160613.8387022</v>
      </c>
      <c r="C4" s="3">
        <f>'Proforma Income Statement'!H17+'Proforma Income Statement'!H13</f>
        <v>1514788135.8520865</v>
      </c>
      <c r="D4" s="3">
        <f>'Proforma Income Statement'!I17+'Proforma Income Statement'!I13</f>
        <v>1610186424.940901</v>
      </c>
      <c r="E4" s="3">
        <f>'Proforma Income Statement'!J17+'Proforma Income Statement'!J13</f>
        <v>1707921571.7957397</v>
      </c>
      <c r="F4" s="3">
        <f>'Proforma Income Statement'!K17+'Proforma Income Statement'!K13</f>
        <v>1807311038.5714941</v>
      </c>
    </row>
    <row r="5" spans="1:7" x14ac:dyDescent="0.25">
      <c r="A5" t="s">
        <v>146</v>
      </c>
      <c r="B5" s="53">
        <f>B4-'Proforma Income Statement'!B18</f>
        <v>1255067620.8387022</v>
      </c>
      <c r="C5" s="53">
        <f>C4-'Proforma Income Statement'!C18</f>
        <v>1261619032.8520865</v>
      </c>
      <c r="D5" s="53">
        <f>D4-'Proforma Income Statement'!D18</f>
        <v>1316967260.940901</v>
      </c>
      <c r="E5" s="53">
        <f>E4-'Proforma Income Statement'!E18</f>
        <v>1539965157.7957397</v>
      </c>
      <c r="F5" s="53">
        <f>F4-'Proforma Income Statement'!F18</f>
        <v>1445418238.5714941</v>
      </c>
    </row>
    <row r="7" spans="1:7" x14ac:dyDescent="0.25">
      <c r="A7" t="s">
        <v>141</v>
      </c>
      <c r="B7" s="3">
        <f>Assumptions!G67</f>
        <v>95472360.453918979</v>
      </c>
      <c r="C7" s="3">
        <f>Assumptions!H67</f>
        <v>96773842.303424791</v>
      </c>
      <c r="D7" s="3">
        <f>Assumptions!I67</f>
        <v>95938188.158287153</v>
      </c>
      <c r="E7" s="3">
        <f>Assumptions!J67</f>
        <v>92848179.525809705</v>
      </c>
      <c r="F7" s="3">
        <f>Assumptions!K67</f>
        <v>91434102.586066216</v>
      </c>
    </row>
    <row r="8" spans="1:7" x14ac:dyDescent="0.25">
      <c r="A8" t="s">
        <v>142</v>
      </c>
      <c r="B8" s="3">
        <f>'Proforma Balance Sheet'!G6-'Proforma Balance Sheet'!F6+Assumptions!G67</f>
        <v>143056789.07603699</v>
      </c>
      <c r="C8" s="3">
        <f>'Proforma Balance Sheet'!H6-'Proforma Balance Sheet'!G6+Assumptions!H67</f>
        <v>146906351.83411402</v>
      </c>
      <c r="D8" s="3">
        <f>'Proforma Balance Sheet'!I6-'Proforma Balance Sheet'!H6+Assumptions!I67</f>
        <v>150859504.81243527</v>
      </c>
      <c r="E8" s="3">
        <f>'Proforma Balance Sheet'!J6-'Proforma Balance Sheet'!I6+Assumptions!J67</f>
        <v>154919034.52855629</v>
      </c>
      <c r="F8" s="3">
        <f>'Proforma Balance Sheet'!K6-'Proforma Balance Sheet'!J6+Assumptions!K67</f>
        <v>159087803.51028726</v>
      </c>
    </row>
    <row r="9" spans="1:7" x14ac:dyDescent="0.25">
      <c r="A9" t="s">
        <v>143</v>
      </c>
      <c r="B9" s="3">
        <f>Assumptions!G189</f>
        <v>-222609347.87598228</v>
      </c>
      <c r="C9" s="3">
        <f>Assumptions!H189</f>
        <v>49220323.882991791</v>
      </c>
      <c r="D9" s="3">
        <f>Assumptions!I189</f>
        <v>62217052.087627411</v>
      </c>
      <c r="E9" s="3">
        <f>Assumptions!J189</f>
        <v>9567417.7348384857</v>
      </c>
      <c r="F9" s="3">
        <f>Assumptions!K189</f>
        <v>180293459.01912117</v>
      </c>
    </row>
    <row r="11" spans="1:7" x14ac:dyDescent="0.25">
      <c r="A11" t="s">
        <v>144</v>
      </c>
      <c r="B11" s="53">
        <f>B5+B7-B8-B9</f>
        <v>1430092540.0925665</v>
      </c>
      <c r="C11" s="53">
        <f t="shared" ref="C11:F11" si="0">C5+C7-C8-C9</f>
        <v>1162266199.4384055</v>
      </c>
      <c r="D11" s="53">
        <f t="shared" si="0"/>
        <v>1199828892.1991253</v>
      </c>
      <c r="E11" s="53">
        <f t="shared" si="0"/>
        <v>1468326885.0581546</v>
      </c>
      <c r="F11" s="53">
        <f t="shared" si="0"/>
        <v>1197471078.6281519</v>
      </c>
      <c r="G11" s="53"/>
    </row>
    <row r="12" spans="1:7" x14ac:dyDescent="0.25">
      <c r="A12" t="s">
        <v>172</v>
      </c>
      <c r="B12" s="3"/>
      <c r="C12" s="3"/>
      <c r="D12" s="3"/>
      <c r="E12" s="3"/>
      <c r="F12" s="3">
        <f>(F11*(1+0.02))/(WACC!B8-0.02)</f>
        <v>14204698394.389109</v>
      </c>
    </row>
    <row r="13" spans="1:7" x14ac:dyDescent="0.25">
      <c r="A13" t="s">
        <v>173</v>
      </c>
      <c r="B13" s="3">
        <f>B11/((1+WACC!$B$8)^1)</f>
        <v>1293046337.8124504</v>
      </c>
      <c r="C13" s="3">
        <f>C11/((1+WACC!$B$8)^2)</f>
        <v>950179164.08997595</v>
      </c>
      <c r="D13" s="3">
        <f>D11/((1+WACC!$B$8)^3)</f>
        <v>886888774.19903302</v>
      </c>
      <c r="E13" s="3">
        <f>E11/((1+WACC!$B$8)^4)</f>
        <v>981346867.18246365</v>
      </c>
      <c r="F13" s="3">
        <f>(F11+F12)/((1+WACC!$B$8)^5)</f>
        <v>9307469777.7087498</v>
      </c>
    </row>
    <row r="14" spans="1:7" x14ac:dyDescent="0.25">
      <c r="A14" t="s">
        <v>174</v>
      </c>
      <c r="B14" s="3">
        <f>SUM(B13:F13)</f>
        <v>13418930920.992672</v>
      </c>
    </row>
    <row r="15" spans="1:7" x14ac:dyDescent="0.25">
      <c r="A15" t="str">
        <f>WACC!A11</f>
        <v>Interest bearing debt</v>
      </c>
      <c r="B15" s="3">
        <f>WACC!C11</f>
        <v>8679942752.9642525</v>
      </c>
    </row>
    <row r="16" spans="1:7" x14ac:dyDescent="0.25">
      <c r="A16" t="str">
        <f>'Proforma Balance Sheet'!A21</f>
        <v>Cash and Cash Equivalents</v>
      </c>
      <c r="B16" s="3">
        <f>'Proforma Balance Sheet'!F21</f>
        <v>448971952</v>
      </c>
    </row>
    <row r="17" spans="1:2" x14ac:dyDescent="0.25">
      <c r="A17" t="s">
        <v>175</v>
      </c>
      <c r="B17" s="3">
        <f>B14-B15+B16</f>
        <v>5187960120.0284195</v>
      </c>
    </row>
    <row r="18" spans="1:2" x14ac:dyDescent="0.25">
      <c r="A18" t="s">
        <v>176</v>
      </c>
      <c r="B18" s="1">
        <f>Assumptions!F113</f>
        <v>113539932</v>
      </c>
    </row>
    <row r="19" spans="1:2" x14ac:dyDescent="0.25">
      <c r="A19" s="88" t="s">
        <v>177</v>
      </c>
      <c r="B19" s="133">
        <f>B17/B18</f>
        <v>45.69282391351458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Assumptions</vt:lpstr>
      <vt:lpstr>Proforma Income Statement</vt:lpstr>
      <vt:lpstr>Proforma Balance Sheet</vt:lpstr>
      <vt:lpstr>Common Size</vt:lpstr>
      <vt:lpstr>Beta Calculation</vt:lpstr>
      <vt:lpstr>WACC</vt:lpstr>
      <vt:lpstr>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2024-03-09T23:56:06Z</dcterms:modified>
</cp:coreProperties>
</file>